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6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trlProps/ctrlProp16.xml" ContentType="application/vnd.ms-excel.controlproperties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trlProps/ctrlProp22.xml" ContentType="application/vnd.ms-excel.controlproperties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ctrlProps/ctrlProp31.xml" ContentType="application/vnd.ms-excel.controlproperties+xml"/>
  <Override PartName="/xl/drawings/drawing20.xml" ContentType="application/vnd.openxmlformats-officedocument.drawing+xml"/>
  <Override PartName="/xl/charts/chart14.xml" ContentType="application/vnd.openxmlformats-officedocument.drawingml.chart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ika Lewenski\Courses\Chapter 1. Models and Analysis\A. Corporate Models Templates and Exercises\B. Corporate Model Exercises\"/>
    </mc:Choice>
  </mc:AlternateContent>
  <bookViews>
    <workbookView xWindow="0" yWindow="0" windowWidth="19200" windowHeight="6400" firstSheet="3" activeTab="3" xr2:uid="{00000000-000D-0000-FFFF-FFFF00000000}"/>
  </bookViews>
  <sheets>
    <sheet name="Football Field Diagram" sheetId="1" r:id="rId1"/>
    <sheet name="Synergy Value and Premium" sheetId="18" r:id="rId2"/>
    <sheet name="Accretion and Dilution" sheetId="17" r:id="rId3"/>
    <sheet name="Simple PE Formula" sheetId="2" r:id="rId4"/>
    <sheet name="PE Ratio Changing Drivers" sheetId="3" r:id="rId5"/>
    <sheet name="EV to EBITDA" sheetId="4" r:id="rId6"/>
    <sheet name="L&amp;G" sheetId="49" r:id="rId7"/>
    <sheet name="AMZN" sheetId="26" r:id="rId8"/>
    <sheet name="S&amp;P 500" sheetId="27" r:id="rId9"/>
    <sheet name="Inflation and PE" sheetId="6" r:id="rId10"/>
    <sheet name="Simple Industrial" sheetId="22" r:id="rId11"/>
    <sheet name="Simple Bank" sheetId="40" r:id="rId12"/>
    <sheet name="Reserve Example Zero NPV" sheetId="43" r:id="rId13"/>
    <sheet name="Reserve Example Pos NPV" sheetId="44" r:id="rId14"/>
    <sheet name="Simple Insurance" sheetId="41" r:id="rId15"/>
    <sheet name="Aflac Financials" sheetId="42" r:id="rId16"/>
    <sheet name="Graph of Assumptions and ROE" sheetId="48" r:id="rId17"/>
    <sheet name="MB Regression" sheetId="46" r:id="rId18"/>
    <sheet name="Aflac DCF" sheetId="45" r:id="rId19"/>
    <sheet name="Amazon Assumptions" sheetId="13" r:id="rId20"/>
    <sheet name="Amazon Model" sheetId="14" r:id="rId21"/>
    <sheet name="Amazon DCF" sheetId="15" r:id="rId22"/>
    <sheet name="Sensitivity and Presentation" sheetId="19" r:id="rId23"/>
    <sheet name="Tornado Diagram" sheetId="39" r:id="rId24"/>
    <sheet name="Forecast and Actual" sheetId="21" r:id="rId25"/>
    <sheet name="Amazon LBO Value" sheetId="16" r:id="rId26"/>
    <sheet name="Model of Financial Company" sheetId="25" r:id="rId27"/>
  </sheets>
  <functionGroups builtInGroupCount="19"/>
  <definedNames>
    <definedName name="comment">'Accretion and Dilution'!$G$1</definedName>
    <definedName name="End_Col" localSheetId="4">'PE Ratio Changing Drivers'!$N$16</definedName>
    <definedName name="End_Col">'Simple PE Formula'!$G$44</definedName>
    <definedName name="End_Row" localSheetId="4">'PE Ratio Changing Drivers'!$N$14</definedName>
    <definedName name="End_Row">'Simple PE Formula'!$G$42</definedName>
    <definedName name="G">'PE Ratio Changing Drivers'!$E$16</definedName>
    <definedName name="PE" localSheetId="4">'PE Ratio Changing Drivers'!$F$42</definedName>
    <definedName name="PE">'Simple PE Formula'!$E$19</definedName>
    <definedName name="ROI">'PE Ratio Changing Drivers'!$E$10</definedName>
    <definedName name="solver_adj" localSheetId="11" hidden="1">'Simple Bank'!$L$60:$O$60</definedName>
    <definedName name="solver_adj" localSheetId="14" hidden="1">'Simple Insurance'!$L$65:$O$65</definedName>
    <definedName name="solver_cvg" localSheetId="11" hidden="1">0.0001</definedName>
    <definedName name="solver_cvg" localSheetId="14" hidden="1">0.0001</definedName>
    <definedName name="solver_drv" localSheetId="11" hidden="1">1</definedName>
    <definedName name="solver_drv" localSheetId="14" hidden="1">1</definedName>
    <definedName name="solver_eng" localSheetId="11" hidden="1">1</definedName>
    <definedName name="solver_eng" localSheetId="14" hidden="1">1</definedName>
    <definedName name="solver_est" localSheetId="11" hidden="1">1</definedName>
    <definedName name="solver_est" localSheetId="14" hidden="1">1</definedName>
    <definedName name="solver_itr" localSheetId="11" hidden="1">100</definedName>
    <definedName name="solver_itr" localSheetId="14" hidden="1">100</definedName>
    <definedName name="solver_lhs1" localSheetId="11" hidden="1">'Simple Bank'!$L$85:$O$85</definedName>
    <definedName name="solver_lhs1" localSheetId="14" hidden="1">'Simple Insurance'!$L$89:$O$89</definedName>
    <definedName name="solver_lin" localSheetId="11" hidden="1">2</definedName>
    <definedName name="solver_lin" localSheetId="14" hidden="1">2</definedName>
    <definedName name="solver_mip" localSheetId="11" hidden="1">2147483647</definedName>
    <definedName name="solver_mip" localSheetId="14" hidden="1">2147483647</definedName>
    <definedName name="solver_mni" localSheetId="11" hidden="1">30</definedName>
    <definedName name="solver_mni" localSheetId="14" hidden="1">30</definedName>
    <definedName name="solver_mrt" localSheetId="11" hidden="1">0.075</definedName>
    <definedName name="solver_mrt" localSheetId="14" hidden="1">0.075</definedName>
    <definedName name="solver_msl" localSheetId="11" hidden="1">2</definedName>
    <definedName name="solver_msl" localSheetId="14" hidden="1">2</definedName>
    <definedName name="solver_neg" localSheetId="11" hidden="1">2</definedName>
    <definedName name="solver_neg" localSheetId="14" hidden="1">2</definedName>
    <definedName name="solver_nod" localSheetId="11" hidden="1">2147483647</definedName>
    <definedName name="solver_nod" localSheetId="14" hidden="1">2147483647</definedName>
    <definedName name="solver_num" localSheetId="11" hidden="1">1</definedName>
    <definedName name="solver_num" localSheetId="14" hidden="1">1</definedName>
    <definedName name="solver_nwt" localSheetId="11" hidden="1">1</definedName>
    <definedName name="solver_nwt" localSheetId="14" hidden="1">1</definedName>
    <definedName name="solver_pre" localSheetId="11" hidden="1">0.000001</definedName>
    <definedName name="solver_pre" localSheetId="14" hidden="1">0.000001</definedName>
    <definedName name="solver_rbv" localSheetId="11" hidden="1">1</definedName>
    <definedName name="solver_rbv" localSheetId="14" hidden="1">1</definedName>
    <definedName name="solver_rel1" localSheetId="11" hidden="1">2</definedName>
    <definedName name="solver_rel1" localSheetId="14" hidden="1">2</definedName>
    <definedName name="solver_rhs1" localSheetId="11" hidden="1">0</definedName>
    <definedName name="solver_rhs1" localSheetId="14" hidden="1">0</definedName>
    <definedName name="solver_rlx" localSheetId="11" hidden="1">1</definedName>
    <definedName name="solver_rlx" localSheetId="14" hidden="1">1</definedName>
    <definedName name="solver_rsd" localSheetId="11" hidden="1">0</definedName>
    <definedName name="solver_rsd" localSheetId="14" hidden="1">0</definedName>
    <definedName name="solver_scl" localSheetId="11" hidden="1">2</definedName>
    <definedName name="solver_scl" localSheetId="14" hidden="1">2</definedName>
    <definedName name="solver_sho" localSheetId="11" hidden="1">2</definedName>
    <definedName name="solver_sho" localSheetId="14" hidden="1">2</definedName>
    <definedName name="solver_ssz" localSheetId="11" hidden="1">100</definedName>
    <definedName name="solver_ssz" localSheetId="14" hidden="1">100</definedName>
    <definedName name="solver_tim" localSheetId="11" hidden="1">100</definedName>
    <definedName name="solver_tim" localSheetId="14" hidden="1">100</definedName>
    <definedName name="solver_tol" localSheetId="11" hidden="1">0.05</definedName>
    <definedName name="solver_tol" localSheetId="14" hidden="1">0.05</definedName>
    <definedName name="solver_typ" localSheetId="11" hidden="1">1</definedName>
    <definedName name="solver_typ" localSheetId="14" hidden="1">1</definedName>
    <definedName name="solver_val" localSheetId="11" hidden="1">0</definedName>
    <definedName name="solver_val" localSheetId="14" hidden="1">0</definedName>
    <definedName name="solver_ver" localSheetId="11" hidden="1">3</definedName>
    <definedName name="solver_ver" localSheetId="14" hidden="1">3</definedName>
    <definedName name="Start_Col" localSheetId="4">'PE Ratio Changing Drivers'!$N$15</definedName>
    <definedName name="Start_Col">'Simple PE Formula'!$G$43</definedName>
    <definedName name="Start_Row" localSheetId="4">'PE Ratio Changing Drivers'!$N$13</definedName>
    <definedName name="Start_Row">'Simple PE Formula'!$G$41</definedName>
  </definedNames>
  <calcPr calcId="171027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" i="2" l="1"/>
  <c r="E15" i="2" l="1"/>
  <c r="E9" i="17" l="1"/>
  <c r="E26" i="18" l="1"/>
  <c r="E14" i="19" l="1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E95" i="15" l="1"/>
  <c r="E88" i="15"/>
  <c r="F36" i="19"/>
  <c r="F37" i="19"/>
  <c r="F38" i="19"/>
  <c r="F39" i="19"/>
  <c r="F35" i="19"/>
  <c r="I32" i="19"/>
  <c r="M32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I339" i="14"/>
  <c r="J339" i="14"/>
  <c r="K339" i="14"/>
  <c r="L339" i="14"/>
  <c r="H339" i="14"/>
  <c r="M338" i="14"/>
  <c r="N338" i="14"/>
  <c r="O338" i="14"/>
  <c r="P338" i="14"/>
  <c r="Q338" i="14"/>
  <c r="R338" i="14"/>
  <c r="S338" i="14"/>
  <c r="T338" i="14"/>
  <c r="U338" i="14"/>
  <c r="V338" i="14"/>
  <c r="W338" i="14"/>
  <c r="X338" i="14"/>
  <c r="Y338" i="14"/>
  <c r="Z338" i="14"/>
  <c r="AA338" i="14"/>
  <c r="AB338" i="14"/>
  <c r="H7" i="48" l="1"/>
  <c r="I7" i="48"/>
  <c r="J7" i="48"/>
  <c r="K7" i="48"/>
  <c r="L7" i="48"/>
  <c r="M7" i="48"/>
  <c r="N7" i="48"/>
  <c r="O7" i="48"/>
  <c r="P7" i="48"/>
  <c r="Q7" i="48"/>
  <c r="R7" i="48"/>
  <c r="G7" i="48"/>
  <c r="D3" i="48"/>
  <c r="D2" i="48"/>
  <c r="E18" i="44"/>
  <c r="M69" i="40" l="1"/>
  <c r="N69" i="40"/>
  <c r="O69" i="40"/>
  <c r="L69" i="40"/>
  <c r="F52" i="22" l="1"/>
  <c r="F86" i="22" l="1"/>
  <c r="F3" i="22"/>
  <c r="G3" i="22"/>
  <c r="H3" i="22"/>
  <c r="I3" i="22"/>
  <c r="J3" i="22"/>
  <c r="K3" i="22"/>
  <c r="L3" i="22"/>
  <c r="M3" i="22"/>
  <c r="N3" i="22"/>
  <c r="O3" i="22"/>
  <c r="N16" i="3"/>
  <c r="N15" i="3"/>
  <c r="N14" i="3"/>
  <c r="N13" i="3"/>
  <c r="C16" i="3"/>
  <c r="C10" i="3"/>
  <c r="C22" i="3"/>
  <c r="G43" i="2" l="1"/>
  <c r="G44" i="2"/>
  <c r="G42" i="2"/>
  <c r="G41" i="2"/>
  <c r="D341" i="14" l="1"/>
  <c r="I337" i="14"/>
  <c r="J337" i="14"/>
  <c r="K337" i="14"/>
  <c r="L337" i="14"/>
  <c r="M337" i="14"/>
  <c r="N337" i="14"/>
  <c r="O337" i="14"/>
  <c r="P337" i="14"/>
  <c r="Q337" i="14"/>
  <c r="R337" i="14"/>
  <c r="S337" i="14"/>
  <c r="T337" i="14"/>
  <c r="U337" i="14"/>
  <c r="V337" i="14"/>
  <c r="W337" i="14"/>
  <c r="X337" i="14"/>
  <c r="Y337" i="14"/>
  <c r="Z337" i="14"/>
  <c r="AA337" i="14"/>
  <c r="AB337" i="14"/>
  <c r="H337" i="14"/>
  <c r="L95" i="41" l="1"/>
  <c r="E19" i="45" l="1"/>
  <c r="E18" i="45"/>
  <c r="I78" i="45" l="1"/>
  <c r="J78" i="45"/>
  <c r="K78" i="45"/>
  <c r="L78" i="45"/>
  <c r="M78" i="45"/>
  <c r="N78" i="45"/>
  <c r="O78" i="45"/>
  <c r="P78" i="45"/>
  <c r="Q78" i="45"/>
  <c r="R78" i="45"/>
  <c r="S78" i="45"/>
  <c r="T78" i="45"/>
  <c r="U78" i="45"/>
  <c r="V78" i="45"/>
  <c r="W78" i="45"/>
  <c r="X78" i="45"/>
  <c r="Y78" i="45"/>
  <c r="Z78" i="45"/>
  <c r="AA78" i="45"/>
  <c r="H78" i="45"/>
  <c r="E78" i="45"/>
  <c r="E69" i="45"/>
  <c r="E63" i="45"/>
  <c r="E73" i="45" s="1"/>
  <c r="E83" i="45" s="1"/>
  <c r="E95" i="45" s="1"/>
  <c r="G58" i="45"/>
  <c r="K42" i="45"/>
  <c r="O42" i="45"/>
  <c r="S42" i="45"/>
  <c r="W42" i="45"/>
  <c r="AA42" i="45"/>
  <c r="E42" i="45"/>
  <c r="L42" i="45" s="1"/>
  <c r="N7" i="42"/>
  <c r="O7" i="42"/>
  <c r="P7" i="42"/>
  <c r="Q7" i="42"/>
  <c r="R7" i="42"/>
  <c r="S7" i="42"/>
  <c r="T7" i="42"/>
  <c r="U7" i="42"/>
  <c r="V7" i="42"/>
  <c r="W7" i="42"/>
  <c r="I7" i="42"/>
  <c r="J7" i="42"/>
  <c r="K7" i="42"/>
  <c r="L7" i="42"/>
  <c r="M7" i="42"/>
  <c r="H7" i="42"/>
  <c r="I273" i="42"/>
  <c r="J273" i="42"/>
  <c r="K273" i="42"/>
  <c r="L273" i="42"/>
  <c r="M273" i="42"/>
  <c r="N273" i="42"/>
  <c r="O273" i="42"/>
  <c r="P273" i="42"/>
  <c r="Q273" i="42"/>
  <c r="R273" i="42"/>
  <c r="S273" i="42"/>
  <c r="T273" i="42"/>
  <c r="U273" i="42"/>
  <c r="V273" i="42"/>
  <c r="W273" i="42"/>
  <c r="H273" i="42"/>
  <c r="H191" i="42"/>
  <c r="H253" i="42" s="1"/>
  <c r="H186" i="42"/>
  <c r="I184" i="42" s="1"/>
  <c r="H250" i="42"/>
  <c r="I133" i="42"/>
  <c r="J133" i="42"/>
  <c r="K133" i="42"/>
  <c r="L133" i="42"/>
  <c r="M133" i="42"/>
  <c r="N133" i="42"/>
  <c r="O133" i="42"/>
  <c r="P133" i="42"/>
  <c r="Q133" i="42"/>
  <c r="R133" i="42"/>
  <c r="S133" i="42"/>
  <c r="T133" i="42"/>
  <c r="U133" i="42"/>
  <c r="V133" i="42"/>
  <c r="W133" i="42"/>
  <c r="H133" i="42"/>
  <c r="H139" i="42"/>
  <c r="I138" i="42"/>
  <c r="J138" i="42"/>
  <c r="K138" i="42"/>
  <c r="L138" i="42"/>
  <c r="M138" i="42"/>
  <c r="N138" i="42"/>
  <c r="O138" i="42"/>
  <c r="P138" i="42"/>
  <c r="Q138" i="42"/>
  <c r="R138" i="42"/>
  <c r="S138" i="42"/>
  <c r="T138" i="42"/>
  <c r="U138" i="42"/>
  <c r="V138" i="42"/>
  <c r="W138" i="42"/>
  <c r="H138" i="42"/>
  <c r="N132" i="42"/>
  <c r="O132" i="42"/>
  <c r="P132" i="42"/>
  <c r="Q132" i="42"/>
  <c r="R132" i="42"/>
  <c r="S132" i="42"/>
  <c r="T132" i="42"/>
  <c r="U132" i="42"/>
  <c r="V132" i="42"/>
  <c r="W132" i="42"/>
  <c r="I132" i="42"/>
  <c r="J132" i="42"/>
  <c r="K132" i="42"/>
  <c r="L132" i="42"/>
  <c r="M132" i="42"/>
  <c r="H132" i="42"/>
  <c r="F56" i="45"/>
  <c r="E56" i="45"/>
  <c r="G5" i="45"/>
  <c r="G4" i="45"/>
  <c r="F4" i="45"/>
  <c r="H3" i="45"/>
  <c r="I249" i="42"/>
  <c r="J249" i="42"/>
  <c r="K249" i="42"/>
  <c r="L249" i="42"/>
  <c r="M249" i="42"/>
  <c r="N249" i="42"/>
  <c r="O249" i="42"/>
  <c r="P249" i="42"/>
  <c r="Q249" i="42"/>
  <c r="R249" i="42"/>
  <c r="S249" i="42"/>
  <c r="T249" i="42"/>
  <c r="U249" i="42"/>
  <c r="V249" i="42"/>
  <c r="W249" i="42"/>
  <c r="H249" i="42"/>
  <c r="Q238" i="42"/>
  <c r="V238" i="42"/>
  <c r="I141" i="42"/>
  <c r="J141" i="42"/>
  <c r="K141" i="42"/>
  <c r="L141" i="42"/>
  <c r="M141" i="42"/>
  <c r="N141" i="42"/>
  <c r="O141" i="42"/>
  <c r="P141" i="42"/>
  <c r="Q141" i="42"/>
  <c r="R141" i="42"/>
  <c r="S141" i="42"/>
  <c r="T141" i="42"/>
  <c r="U141" i="42"/>
  <c r="V141" i="42"/>
  <c r="W141" i="42"/>
  <c r="H141" i="42"/>
  <c r="I194" i="42"/>
  <c r="J194" i="42"/>
  <c r="K194" i="42"/>
  <c r="L194" i="42"/>
  <c r="H194" i="42"/>
  <c r="I186" i="42"/>
  <c r="J184" i="42" s="1"/>
  <c r="J186" i="42"/>
  <c r="K184" i="42" s="1"/>
  <c r="K186" i="42"/>
  <c r="L184" i="42" s="1"/>
  <c r="L186" i="42"/>
  <c r="M184" i="42" s="1"/>
  <c r="I250" i="42"/>
  <c r="I267" i="42" s="1"/>
  <c r="J250" i="42"/>
  <c r="J267" i="42" s="1"/>
  <c r="K250" i="42"/>
  <c r="L246" i="42" s="1"/>
  <c r="L250" i="42"/>
  <c r="M246" i="42" s="1"/>
  <c r="H246" i="42"/>
  <c r="I246" i="42"/>
  <c r="I200" i="42"/>
  <c r="J200" i="42"/>
  <c r="J264" i="42" s="1"/>
  <c r="K200" i="42"/>
  <c r="K264" i="42" s="1"/>
  <c r="L200" i="42"/>
  <c r="M200" i="42" s="1"/>
  <c r="N200" i="42" s="1"/>
  <c r="O200" i="42" s="1"/>
  <c r="P200" i="42" s="1"/>
  <c r="Q200" i="42" s="1"/>
  <c r="R200" i="42" s="1"/>
  <c r="S200" i="42" s="1"/>
  <c r="T200" i="42" s="1"/>
  <c r="U200" i="42" s="1"/>
  <c r="V200" i="42" s="1"/>
  <c r="W200" i="42" s="1"/>
  <c r="W264" i="42" s="1"/>
  <c r="H200" i="42"/>
  <c r="H264" i="42" s="1"/>
  <c r="I199" i="42"/>
  <c r="J199" i="42"/>
  <c r="J256" i="42" s="1"/>
  <c r="K199" i="42"/>
  <c r="K256" i="42" s="1"/>
  <c r="L199" i="42"/>
  <c r="H199" i="42"/>
  <c r="H256" i="42" s="1"/>
  <c r="I136" i="42"/>
  <c r="J136" i="42"/>
  <c r="K136" i="42"/>
  <c r="L136" i="42"/>
  <c r="M136" i="42"/>
  <c r="N136" i="42"/>
  <c r="O136" i="42"/>
  <c r="P136" i="42"/>
  <c r="Q136" i="42"/>
  <c r="R136" i="42"/>
  <c r="S136" i="42"/>
  <c r="T136" i="42"/>
  <c r="U136" i="42"/>
  <c r="V136" i="42"/>
  <c r="W136" i="42"/>
  <c r="H136" i="42"/>
  <c r="I135" i="42"/>
  <c r="J135" i="42"/>
  <c r="K135" i="42"/>
  <c r="L135" i="42"/>
  <c r="M135" i="42"/>
  <c r="N135" i="42"/>
  <c r="O135" i="42"/>
  <c r="P135" i="42"/>
  <c r="Q135" i="42"/>
  <c r="R135" i="42"/>
  <c r="S135" i="42"/>
  <c r="T135" i="42"/>
  <c r="U135" i="42"/>
  <c r="V135" i="42"/>
  <c r="W135" i="42"/>
  <c r="H135" i="42"/>
  <c r="I226" i="42"/>
  <c r="J226" i="42"/>
  <c r="K226" i="42"/>
  <c r="L226" i="42"/>
  <c r="M226" i="42" s="1"/>
  <c r="N226" i="42" s="1"/>
  <c r="O226" i="42" s="1"/>
  <c r="P226" i="42" s="1"/>
  <c r="Q226" i="42" s="1"/>
  <c r="R226" i="42" s="1"/>
  <c r="S226" i="42" s="1"/>
  <c r="T226" i="42" s="1"/>
  <c r="U226" i="42" s="1"/>
  <c r="V226" i="42" s="1"/>
  <c r="W226" i="42" s="1"/>
  <c r="H226" i="42"/>
  <c r="N121" i="42"/>
  <c r="O121" i="42"/>
  <c r="P121" i="42"/>
  <c r="Q121" i="42"/>
  <c r="R121" i="42"/>
  <c r="S121" i="42"/>
  <c r="T121" i="42"/>
  <c r="U121" i="42"/>
  <c r="V121" i="42"/>
  <c r="W121" i="42"/>
  <c r="I121" i="42"/>
  <c r="J121" i="42"/>
  <c r="K121" i="42"/>
  <c r="L121" i="42"/>
  <c r="M121" i="42"/>
  <c r="H121" i="42"/>
  <c r="I139" i="42"/>
  <c r="J139" i="42"/>
  <c r="K139" i="42"/>
  <c r="L139" i="42"/>
  <c r="M139" i="42"/>
  <c r="N139" i="42"/>
  <c r="O139" i="42"/>
  <c r="P139" i="42"/>
  <c r="Q139" i="42"/>
  <c r="R139" i="42"/>
  <c r="S139" i="42"/>
  <c r="T139" i="42"/>
  <c r="U139" i="42"/>
  <c r="V139" i="42"/>
  <c r="W139" i="42"/>
  <c r="I219" i="42"/>
  <c r="J219" i="42"/>
  <c r="K219" i="42"/>
  <c r="L219" i="42"/>
  <c r="M219" i="42"/>
  <c r="H219" i="42"/>
  <c r="I124" i="42"/>
  <c r="I220" i="42" s="1"/>
  <c r="J124" i="42"/>
  <c r="J220" i="42" s="1"/>
  <c r="K124" i="42"/>
  <c r="K220" i="42" s="1"/>
  <c r="L124" i="42"/>
  <c r="L220" i="42" s="1"/>
  <c r="M124" i="42"/>
  <c r="M220" i="42" s="1"/>
  <c r="N124" i="42"/>
  <c r="N220" i="42" s="1"/>
  <c r="O124" i="42"/>
  <c r="O220" i="42" s="1"/>
  <c r="P124" i="42"/>
  <c r="P220" i="42" s="1"/>
  <c r="Q124" i="42"/>
  <c r="Q220" i="42" s="1"/>
  <c r="R124" i="42"/>
  <c r="R220" i="42" s="1"/>
  <c r="S124" i="42"/>
  <c r="S220" i="42" s="1"/>
  <c r="T124" i="42"/>
  <c r="T220" i="42" s="1"/>
  <c r="U124" i="42"/>
  <c r="U220" i="42" s="1"/>
  <c r="V124" i="42"/>
  <c r="V220" i="42" s="1"/>
  <c r="W124" i="42"/>
  <c r="W220" i="42" s="1"/>
  <c r="H124" i="42"/>
  <c r="I123" i="42"/>
  <c r="J123" i="42"/>
  <c r="K123" i="42"/>
  <c r="L123" i="42"/>
  <c r="M123" i="42"/>
  <c r="N123" i="42"/>
  <c r="O123" i="42"/>
  <c r="P123" i="42"/>
  <c r="Q123" i="42"/>
  <c r="R123" i="42"/>
  <c r="S123" i="42"/>
  <c r="T123" i="42"/>
  <c r="U123" i="42"/>
  <c r="V123" i="42"/>
  <c r="W123" i="42"/>
  <c r="H123" i="42"/>
  <c r="N122" i="42"/>
  <c r="N181" i="42" s="1"/>
  <c r="N217" i="42" s="1"/>
  <c r="O122" i="42"/>
  <c r="O181" i="42" s="1"/>
  <c r="O217" i="42" s="1"/>
  <c r="P122" i="42"/>
  <c r="P181" i="42" s="1"/>
  <c r="P217" i="42" s="1"/>
  <c r="Q122" i="42"/>
  <c r="Q181" i="42" s="1"/>
  <c r="Q217" i="42" s="1"/>
  <c r="R122" i="42"/>
  <c r="R181" i="42" s="1"/>
  <c r="R217" i="42" s="1"/>
  <c r="S122" i="42"/>
  <c r="S181" i="42" s="1"/>
  <c r="S217" i="42" s="1"/>
  <c r="T122" i="42"/>
  <c r="T181" i="42" s="1"/>
  <c r="T217" i="42" s="1"/>
  <c r="U122" i="42"/>
  <c r="U181" i="42" s="1"/>
  <c r="U217" i="42" s="1"/>
  <c r="V122" i="42"/>
  <c r="V181" i="42" s="1"/>
  <c r="V217" i="42" s="1"/>
  <c r="W122" i="42"/>
  <c r="W181" i="42" s="1"/>
  <c r="W217" i="42" s="1"/>
  <c r="I122" i="42"/>
  <c r="I181" i="42" s="1"/>
  <c r="I217" i="42" s="1"/>
  <c r="J122" i="42"/>
  <c r="J181" i="42" s="1"/>
  <c r="J217" i="42" s="1"/>
  <c r="K122" i="42"/>
  <c r="K181" i="42" s="1"/>
  <c r="K217" i="42" s="1"/>
  <c r="L122" i="42"/>
  <c r="L181" i="42" s="1"/>
  <c r="L217" i="42" s="1"/>
  <c r="M122" i="42"/>
  <c r="M181" i="42" s="1"/>
  <c r="M217" i="42" s="1"/>
  <c r="H122" i="42"/>
  <c r="I192" i="42"/>
  <c r="I195" i="42" s="1"/>
  <c r="J192" i="42"/>
  <c r="J195" i="42" s="1"/>
  <c r="K192" i="42"/>
  <c r="K263" i="42" s="1"/>
  <c r="L192" i="42"/>
  <c r="L195" i="42" s="1"/>
  <c r="H192" i="42"/>
  <c r="H195" i="42" s="1"/>
  <c r="I191" i="42"/>
  <c r="I253" i="42" s="1"/>
  <c r="J191" i="42"/>
  <c r="J253" i="42" s="1"/>
  <c r="K191" i="42"/>
  <c r="K253" i="42" s="1"/>
  <c r="L191" i="42"/>
  <c r="L253" i="42" s="1"/>
  <c r="I188" i="42"/>
  <c r="I196" i="42" s="1"/>
  <c r="I215" i="42" s="1"/>
  <c r="J188" i="42"/>
  <c r="J196" i="42" s="1"/>
  <c r="J215" i="42" s="1"/>
  <c r="K188" i="42"/>
  <c r="K196" i="42" s="1"/>
  <c r="K215" i="42" s="1"/>
  <c r="L188" i="42"/>
  <c r="L196" i="42" s="1"/>
  <c r="L215" i="42" s="1"/>
  <c r="M188" i="42"/>
  <c r="M196" i="42" s="1"/>
  <c r="M215" i="42" s="1"/>
  <c r="H188" i="42"/>
  <c r="H196" i="42" s="1"/>
  <c r="H215" i="42" s="1"/>
  <c r="H184" i="42"/>
  <c r="H189" i="42" s="1"/>
  <c r="G20" i="41"/>
  <c r="H20" i="41"/>
  <c r="I20" i="41"/>
  <c r="J20" i="41"/>
  <c r="K20" i="41"/>
  <c r="F20" i="41"/>
  <c r="I114" i="42"/>
  <c r="I149" i="42" s="1"/>
  <c r="J114" i="42"/>
  <c r="J149" i="42" s="1"/>
  <c r="K114" i="42"/>
  <c r="L114" i="42"/>
  <c r="L149" i="42" s="1"/>
  <c r="M114" i="42"/>
  <c r="M149" i="42" s="1"/>
  <c r="N114" i="42"/>
  <c r="N149" i="42" s="1"/>
  <c r="O114" i="42"/>
  <c r="O149" i="42" s="1"/>
  <c r="P114" i="42"/>
  <c r="P149" i="42" s="1"/>
  <c r="Q114" i="42"/>
  <c r="Q149" i="42" s="1"/>
  <c r="R114" i="42"/>
  <c r="R149" i="42" s="1"/>
  <c r="S114" i="42"/>
  <c r="S149" i="42" s="1"/>
  <c r="T114" i="42"/>
  <c r="T149" i="42" s="1"/>
  <c r="U114" i="42"/>
  <c r="U149" i="42" s="1"/>
  <c r="V114" i="42"/>
  <c r="V149" i="42" s="1"/>
  <c r="W114" i="42"/>
  <c r="W149" i="42" s="1"/>
  <c r="H114" i="42"/>
  <c r="I118" i="42"/>
  <c r="I180" i="42" s="1"/>
  <c r="I213" i="42" s="1"/>
  <c r="J118" i="42"/>
  <c r="J180" i="42" s="1"/>
  <c r="J213" i="42" s="1"/>
  <c r="K118" i="42"/>
  <c r="K180" i="42" s="1"/>
  <c r="K213" i="42" s="1"/>
  <c r="L118" i="42"/>
  <c r="L180" i="42" s="1"/>
  <c r="L213" i="42" s="1"/>
  <c r="M118" i="42"/>
  <c r="M180" i="42" s="1"/>
  <c r="M213" i="42" s="1"/>
  <c r="N118" i="42"/>
  <c r="N180" i="42" s="1"/>
  <c r="N213" i="42" s="1"/>
  <c r="O118" i="42"/>
  <c r="O180" i="42" s="1"/>
  <c r="O213" i="42" s="1"/>
  <c r="P118" i="42"/>
  <c r="P180" i="42" s="1"/>
  <c r="P213" i="42" s="1"/>
  <c r="Q118" i="42"/>
  <c r="Q180" i="42" s="1"/>
  <c r="Q213" i="42" s="1"/>
  <c r="R118" i="42"/>
  <c r="R180" i="42" s="1"/>
  <c r="R213" i="42" s="1"/>
  <c r="S118" i="42"/>
  <c r="S180" i="42" s="1"/>
  <c r="S213" i="42" s="1"/>
  <c r="T118" i="42"/>
  <c r="T180" i="42" s="1"/>
  <c r="T213" i="42" s="1"/>
  <c r="U118" i="42"/>
  <c r="U180" i="42" s="1"/>
  <c r="U213" i="42" s="1"/>
  <c r="V118" i="42"/>
  <c r="V180" i="42" s="1"/>
  <c r="V213" i="42" s="1"/>
  <c r="W118" i="42"/>
  <c r="W180" i="42" s="1"/>
  <c r="W213" i="42" s="1"/>
  <c r="H118" i="42"/>
  <c r="I177" i="42"/>
  <c r="J177" i="42"/>
  <c r="K177" i="42"/>
  <c r="L177" i="42"/>
  <c r="M177" i="42"/>
  <c r="N177" i="42"/>
  <c r="O177" i="42"/>
  <c r="P177" i="42"/>
  <c r="Q177" i="42"/>
  <c r="R177" i="42"/>
  <c r="S177" i="42"/>
  <c r="T177" i="42"/>
  <c r="U177" i="42"/>
  <c r="V177" i="42"/>
  <c r="W177" i="42"/>
  <c r="I116" i="42"/>
  <c r="I173" i="42" s="1"/>
  <c r="J116" i="42"/>
  <c r="J173" i="42" s="1"/>
  <c r="K116" i="42"/>
  <c r="K173" i="42" s="1"/>
  <c r="L116" i="42"/>
  <c r="L173" i="42" s="1"/>
  <c r="M116" i="42"/>
  <c r="M173" i="42" s="1"/>
  <c r="N116" i="42"/>
  <c r="N173" i="42" s="1"/>
  <c r="O116" i="42"/>
  <c r="O173" i="42" s="1"/>
  <c r="P116" i="42"/>
  <c r="P173" i="42" s="1"/>
  <c r="Q116" i="42"/>
  <c r="Q173" i="42" s="1"/>
  <c r="R116" i="42"/>
  <c r="R173" i="42" s="1"/>
  <c r="S116" i="42"/>
  <c r="S173" i="42" s="1"/>
  <c r="T116" i="42"/>
  <c r="T173" i="42" s="1"/>
  <c r="U116" i="42"/>
  <c r="U173" i="42" s="1"/>
  <c r="V116" i="42"/>
  <c r="V173" i="42" s="1"/>
  <c r="W116" i="42"/>
  <c r="W173" i="42" s="1"/>
  <c r="H116" i="42"/>
  <c r="E1" i="41"/>
  <c r="G72" i="44"/>
  <c r="F46" i="44"/>
  <c r="G41" i="44"/>
  <c r="E12" i="44"/>
  <c r="J12" i="44" s="1"/>
  <c r="E11" i="44"/>
  <c r="N11" i="44" s="1"/>
  <c r="F7" i="44"/>
  <c r="H4" i="44"/>
  <c r="N13" i="44" s="1"/>
  <c r="N27" i="44" s="1"/>
  <c r="G80" i="43"/>
  <c r="F52" i="43"/>
  <c r="G52" i="43" s="1"/>
  <c r="G47" i="43"/>
  <c r="P14" i="43"/>
  <c r="P33" i="43" s="1"/>
  <c r="K14" i="43"/>
  <c r="K33" i="43" s="1"/>
  <c r="K59" i="43" s="1"/>
  <c r="E13" i="43"/>
  <c r="L13" i="43" s="1"/>
  <c r="E12" i="43"/>
  <c r="P12" i="43" s="1"/>
  <c r="F7" i="43"/>
  <c r="E32" i="43" s="1"/>
  <c r="H4" i="43"/>
  <c r="L14" i="43" s="1"/>
  <c r="L33" i="43" s="1"/>
  <c r="G80" i="41"/>
  <c r="H80" i="41"/>
  <c r="I80" i="41"/>
  <c r="J80" i="41"/>
  <c r="K80" i="41"/>
  <c r="F80" i="41"/>
  <c r="G77" i="41"/>
  <c r="H77" i="41"/>
  <c r="I77" i="41"/>
  <c r="J77" i="41"/>
  <c r="K77" i="41"/>
  <c r="F77" i="41"/>
  <c r="I170" i="42"/>
  <c r="I207" i="42" s="1"/>
  <c r="J170" i="42"/>
  <c r="J207" i="42" s="1"/>
  <c r="K170" i="42"/>
  <c r="K207" i="42" s="1"/>
  <c r="L170" i="42"/>
  <c r="L207" i="42" s="1"/>
  <c r="M170" i="42"/>
  <c r="H170" i="42"/>
  <c r="H207" i="42" s="1"/>
  <c r="H169" i="42"/>
  <c r="I115" i="42"/>
  <c r="I165" i="42" s="1"/>
  <c r="J115" i="42"/>
  <c r="J165" i="42" s="1"/>
  <c r="K115" i="42"/>
  <c r="K165" i="42" s="1"/>
  <c r="L115" i="42"/>
  <c r="L165" i="42" s="1"/>
  <c r="M115" i="42"/>
  <c r="M165" i="42" s="1"/>
  <c r="N115" i="42"/>
  <c r="N165" i="42" s="1"/>
  <c r="O115" i="42"/>
  <c r="O165" i="42" s="1"/>
  <c r="P115" i="42"/>
  <c r="P165" i="42" s="1"/>
  <c r="Q115" i="42"/>
  <c r="Q165" i="42" s="1"/>
  <c r="R115" i="42"/>
  <c r="R165" i="42" s="1"/>
  <c r="S115" i="42"/>
  <c r="S165" i="42" s="1"/>
  <c r="T115" i="42"/>
  <c r="T165" i="42" s="1"/>
  <c r="U115" i="42"/>
  <c r="U165" i="42" s="1"/>
  <c r="V115" i="42"/>
  <c r="V165" i="42" s="1"/>
  <c r="W115" i="42"/>
  <c r="W165" i="42" s="1"/>
  <c r="H115" i="42"/>
  <c r="H165" i="42" s="1"/>
  <c r="I162" i="42"/>
  <c r="I205" i="42" s="1"/>
  <c r="J162" i="42"/>
  <c r="J205" i="42" s="1"/>
  <c r="K162" i="42"/>
  <c r="K205" i="42" s="1"/>
  <c r="L162" i="42"/>
  <c r="L205" i="42" s="1"/>
  <c r="M162" i="42"/>
  <c r="M205" i="42" s="1"/>
  <c r="H162" i="42"/>
  <c r="H205" i="42" s="1"/>
  <c r="I157" i="42"/>
  <c r="J157" i="42"/>
  <c r="K157" i="42"/>
  <c r="L157" i="42"/>
  <c r="M157" i="42"/>
  <c r="N157" i="42"/>
  <c r="O157" i="42"/>
  <c r="P157" i="42"/>
  <c r="Q157" i="42"/>
  <c r="R157" i="42"/>
  <c r="S157" i="42"/>
  <c r="T157" i="42"/>
  <c r="U157" i="42"/>
  <c r="V157" i="42"/>
  <c r="W157" i="42"/>
  <c r="I146" i="42"/>
  <c r="I204" i="42" s="1"/>
  <c r="J146" i="42"/>
  <c r="J204" i="42" s="1"/>
  <c r="K146" i="42"/>
  <c r="K204" i="42" s="1"/>
  <c r="L146" i="42"/>
  <c r="L204" i="42" s="1"/>
  <c r="H146" i="42"/>
  <c r="H204" i="42" s="1"/>
  <c r="H145" i="42"/>
  <c r="L27" i="41"/>
  <c r="M27" i="41" s="1"/>
  <c r="N27" i="41" s="1"/>
  <c r="O27" i="41" s="1"/>
  <c r="N153" i="42"/>
  <c r="O153" i="42"/>
  <c r="P153" i="42"/>
  <c r="Q153" i="42"/>
  <c r="R153" i="42"/>
  <c r="S153" i="42"/>
  <c r="T153" i="42"/>
  <c r="U153" i="42"/>
  <c r="V153" i="42"/>
  <c r="W153" i="42"/>
  <c r="I153" i="42"/>
  <c r="J153" i="42"/>
  <c r="K153" i="42"/>
  <c r="L153" i="42"/>
  <c r="M153" i="42"/>
  <c r="H153" i="42"/>
  <c r="I12" i="44" l="1"/>
  <c r="H13" i="44"/>
  <c r="H27" i="44" s="1"/>
  <c r="J11" i="44"/>
  <c r="N12" i="44"/>
  <c r="J13" i="44"/>
  <c r="J27" i="44" s="1"/>
  <c r="F13" i="44"/>
  <c r="M13" i="44"/>
  <c r="M27" i="44" s="1"/>
  <c r="F12" i="44"/>
  <c r="G13" i="44"/>
  <c r="G27" i="44" s="1"/>
  <c r="G51" i="44" s="1"/>
  <c r="O14" i="43"/>
  <c r="O33" i="43" s="1"/>
  <c r="O59" i="43" s="1"/>
  <c r="I14" i="43"/>
  <c r="I33" i="43" s="1"/>
  <c r="H263" i="42"/>
  <c r="Z42" i="45"/>
  <c r="V42" i="45"/>
  <c r="R42" i="45"/>
  <c r="N42" i="45"/>
  <c r="J42" i="45"/>
  <c r="H31" i="45"/>
  <c r="Y42" i="45"/>
  <c r="U42" i="45"/>
  <c r="Q42" i="45"/>
  <c r="M42" i="45"/>
  <c r="I42" i="45"/>
  <c r="H42" i="45"/>
  <c r="X42" i="45"/>
  <c r="T42" i="45"/>
  <c r="P42" i="45"/>
  <c r="L263" i="42"/>
  <c r="J263" i="42"/>
  <c r="I263" i="42"/>
  <c r="I3" i="45"/>
  <c r="H5" i="45"/>
  <c r="F58" i="45"/>
  <c r="J3" i="45"/>
  <c r="H4" i="45"/>
  <c r="I4" i="45"/>
  <c r="I5" i="45"/>
  <c r="U238" i="42"/>
  <c r="O238" i="42"/>
  <c r="K237" i="42"/>
  <c r="S238" i="42"/>
  <c r="N238" i="42"/>
  <c r="W238" i="42"/>
  <c r="R238" i="42"/>
  <c r="M238" i="42"/>
  <c r="I256" i="42"/>
  <c r="I237" i="42"/>
  <c r="H237" i="42"/>
  <c r="J238" i="42"/>
  <c r="L256" i="42"/>
  <c r="L237" i="42"/>
  <c r="I264" i="42"/>
  <c r="I238" i="42"/>
  <c r="H238" i="42"/>
  <c r="K195" i="42"/>
  <c r="J237" i="42"/>
  <c r="E141" i="42"/>
  <c r="T238" i="42"/>
  <c r="P238" i="42"/>
  <c r="L238" i="42"/>
  <c r="K238" i="42"/>
  <c r="K246" i="42"/>
  <c r="J246" i="42"/>
  <c r="K267" i="42"/>
  <c r="L267" i="42"/>
  <c r="Q264" i="42"/>
  <c r="H267" i="42"/>
  <c r="M264" i="42"/>
  <c r="U264" i="42"/>
  <c r="T264" i="42"/>
  <c r="P264" i="42"/>
  <c r="L264" i="42"/>
  <c r="S264" i="42"/>
  <c r="O264" i="42"/>
  <c r="V264" i="42"/>
  <c r="R264" i="42"/>
  <c r="N264" i="42"/>
  <c r="L198" i="42"/>
  <c r="H198" i="42"/>
  <c r="J198" i="42"/>
  <c r="I198" i="42"/>
  <c r="M199" i="42"/>
  <c r="M237" i="42" s="1"/>
  <c r="K198" i="42"/>
  <c r="L189" i="42"/>
  <c r="J189" i="42"/>
  <c r="M189" i="42"/>
  <c r="K154" i="42"/>
  <c r="K158" i="42" s="1"/>
  <c r="E135" i="42"/>
  <c r="E136" i="42"/>
  <c r="L150" i="42"/>
  <c r="L210" i="42" s="1"/>
  <c r="K189" i="42"/>
  <c r="E121" i="42"/>
  <c r="L154" i="42"/>
  <c r="K174" i="42"/>
  <c r="K211" i="42" s="1"/>
  <c r="K178" i="42"/>
  <c r="K212" i="42" s="1"/>
  <c r="E114" i="42"/>
  <c r="H154" i="42"/>
  <c r="I189" i="42"/>
  <c r="E139" i="42"/>
  <c r="I154" i="42"/>
  <c r="E123" i="42"/>
  <c r="E124" i="42"/>
  <c r="E138" i="42"/>
  <c r="H220" i="42"/>
  <c r="K149" i="42"/>
  <c r="K150" i="42" s="1"/>
  <c r="K210" i="42" s="1"/>
  <c r="J150" i="42"/>
  <c r="J210" i="42" s="1"/>
  <c r="E122" i="42"/>
  <c r="J154" i="42"/>
  <c r="J235" i="42" s="1"/>
  <c r="E115" i="42"/>
  <c r="L174" i="42"/>
  <c r="L211" i="42" s="1"/>
  <c r="L178" i="42"/>
  <c r="L212" i="42" s="1"/>
  <c r="J174" i="42"/>
  <c r="J211" i="42" s="1"/>
  <c r="J178" i="42"/>
  <c r="J212" i="42" s="1"/>
  <c r="H181" i="42"/>
  <c r="H217" i="42" s="1"/>
  <c r="I150" i="42"/>
  <c r="I210" i="42" s="1"/>
  <c r="I174" i="42"/>
  <c r="I211" i="42" s="1"/>
  <c r="I178" i="42"/>
  <c r="I212" i="42" s="1"/>
  <c r="E132" i="42"/>
  <c r="E133" i="42"/>
  <c r="H157" i="42"/>
  <c r="M207" i="42"/>
  <c r="E116" i="42"/>
  <c r="H173" i="42"/>
  <c r="H174" i="42" s="1"/>
  <c r="H211" i="42" s="1"/>
  <c r="H177" i="42"/>
  <c r="H178" i="42" s="1"/>
  <c r="H212" i="42" s="1"/>
  <c r="E118" i="42"/>
  <c r="H180" i="42"/>
  <c r="H213" i="42" s="1"/>
  <c r="P48" i="43"/>
  <c r="P19" i="43"/>
  <c r="P38" i="43" s="1"/>
  <c r="P44" i="43" s="1"/>
  <c r="P59" i="43"/>
  <c r="L59" i="43"/>
  <c r="I59" i="43"/>
  <c r="G66" i="43"/>
  <c r="G49" i="43"/>
  <c r="N32" i="44"/>
  <c r="N52" i="44" s="1"/>
  <c r="N18" i="44"/>
  <c r="G12" i="43"/>
  <c r="K12" i="43"/>
  <c r="O12" i="43"/>
  <c r="G13" i="43"/>
  <c r="G14" i="43"/>
  <c r="G33" i="43" s="1"/>
  <c r="E15" i="43"/>
  <c r="F11" i="44"/>
  <c r="G61" i="44"/>
  <c r="I12" i="43"/>
  <c r="M12" i="43"/>
  <c r="M13" i="43"/>
  <c r="I13" i="43"/>
  <c r="J13" i="43"/>
  <c r="O13" i="43"/>
  <c r="J32" i="44"/>
  <c r="J52" i="44" s="1"/>
  <c r="J53" i="44" s="1"/>
  <c r="J18" i="44"/>
  <c r="J61" i="44"/>
  <c r="J51" i="44"/>
  <c r="G46" i="44"/>
  <c r="F12" i="43"/>
  <c r="J12" i="43"/>
  <c r="N12" i="43"/>
  <c r="F13" i="43"/>
  <c r="K13" i="43"/>
  <c r="P13" i="43"/>
  <c r="P11" i="44"/>
  <c r="L11" i="44"/>
  <c r="H11" i="44"/>
  <c r="O11" i="44"/>
  <c r="K11" i="44"/>
  <c r="G11" i="44"/>
  <c r="M11" i="44"/>
  <c r="M51" i="44"/>
  <c r="M61" i="44"/>
  <c r="N61" i="44"/>
  <c r="N51" i="44"/>
  <c r="N14" i="43"/>
  <c r="N33" i="43" s="1"/>
  <c r="J14" i="43"/>
  <c r="J33" i="43" s="1"/>
  <c r="F14" i="43"/>
  <c r="H12" i="43"/>
  <c r="L12" i="43"/>
  <c r="H13" i="43"/>
  <c r="N13" i="43"/>
  <c r="H14" i="43"/>
  <c r="H33" i="43" s="1"/>
  <c r="M14" i="43"/>
  <c r="M33" i="43" s="1"/>
  <c r="E26" i="44"/>
  <c r="E14" i="44"/>
  <c r="I11" i="44"/>
  <c r="P12" i="44"/>
  <c r="L12" i="44"/>
  <c r="H12" i="44"/>
  <c r="O12" i="44"/>
  <c r="K12" i="44"/>
  <c r="G12" i="44"/>
  <c r="M12" i="44"/>
  <c r="P13" i="44"/>
  <c r="P27" i="44" s="1"/>
  <c r="L13" i="44"/>
  <c r="L27" i="44" s="1"/>
  <c r="O13" i="44"/>
  <c r="O27" i="44" s="1"/>
  <c r="K13" i="44"/>
  <c r="K27" i="44" s="1"/>
  <c r="I13" i="44"/>
  <c r="I27" i="44" s="1"/>
  <c r="H149" i="42"/>
  <c r="H150" i="42" s="1"/>
  <c r="H210" i="42" s="1"/>
  <c r="H51" i="44" l="1"/>
  <c r="H61" i="44"/>
  <c r="J31" i="45"/>
  <c r="I31" i="45"/>
  <c r="J4" i="45"/>
  <c r="K3" i="45"/>
  <c r="J5" i="45"/>
  <c r="L235" i="42"/>
  <c r="K254" i="42"/>
  <c r="I235" i="42"/>
  <c r="J255" i="42"/>
  <c r="J232" i="42"/>
  <c r="H262" i="42"/>
  <c r="H265" i="42" s="1"/>
  <c r="H268" i="42" s="1"/>
  <c r="H235" i="42"/>
  <c r="I255" i="42"/>
  <c r="I232" i="42"/>
  <c r="K262" i="42"/>
  <c r="K265" i="42" s="1"/>
  <c r="K268" i="42" s="1"/>
  <c r="K235" i="42"/>
  <c r="K255" i="42"/>
  <c r="K232" i="42"/>
  <c r="H255" i="42"/>
  <c r="H232" i="42"/>
  <c r="L255" i="42"/>
  <c r="L232" i="42"/>
  <c r="L158" i="42"/>
  <c r="L234" i="42" s="1"/>
  <c r="L262" i="42"/>
  <c r="L265" i="42" s="1"/>
  <c r="L268" i="42" s="1"/>
  <c r="J158" i="42"/>
  <c r="K234" i="42" s="1"/>
  <c r="J262" i="42"/>
  <c r="J265" i="42" s="1"/>
  <c r="J268" i="42" s="1"/>
  <c r="I158" i="42"/>
  <c r="I262" i="42"/>
  <c r="I265" i="42" s="1"/>
  <c r="I268" i="42" s="1"/>
  <c r="M256" i="42"/>
  <c r="N199" i="42"/>
  <c r="N237" i="42" s="1"/>
  <c r="H158" i="42"/>
  <c r="K166" i="42"/>
  <c r="K206" i="42" s="1"/>
  <c r="K208" i="42" s="1"/>
  <c r="K214" i="42" s="1"/>
  <c r="J166" i="42"/>
  <c r="J206" i="42" s="1"/>
  <c r="J208" i="42" s="1"/>
  <c r="J214" i="42" s="1"/>
  <c r="I51" i="44"/>
  <c r="I61" i="44"/>
  <c r="P61" i="44"/>
  <c r="P51" i="44"/>
  <c r="M59" i="43"/>
  <c r="L19" i="43"/>
  <c r="L38" i="43" s="1"/>
  <c r="L48" i="43"/>
  <c r="N59" i="43"/>
  <c r="K18" i="44"/>
  <c r="K32" i="44"/>
  <c r="K52" i="44" s="1"/>
  <c r="P18" i="44"/>
  <c r="P32" i="44"/>
  <c r="P52" i="44" s="1"/>
  <c r="M19" i="43"/>
  <c r="M38" i="43" s="1"/>
  <c r="M48" i="43"/>
  <c r="N58" i="44"/>
  <c r="N42" i="44"/>
  <c r="K51" i="44"/>
  <c r="K61" i="44"/>
  <c r="I32" i="44"/>
  <c r="I52" i="44" s="1"/>
  <c r="I53" i="44" s="1"/>
  <c r="I18" i="44"/>
  <c r="H59" i="43"/>
  <c r="H19" i="43"/>
  <c r="H38" i="43" s="1"/>
  <c r="H48" i="43"/>
  <c r="O32" i="44"/>
  <c r="O52" i="44" s="1"/>
  <c r="O18" i="44"/>
  <c r="N48" i="43"/>
  <c r="N19" i="43"/>
  <c r="N38" i="43" s="1"/>
  <c r="J58" i="44"/>
  <c r="J42" i="44"/>
  <c r="I19" i="43"/>
  <c r="I38" i="43" s="1"/>
  <c r="I48" i="43"/>
  <c r="O48" i="43"/>
  <c r="O19" i="43"/>
  <c r="O38" i="43" s="1"/>
  <c r="N53" i="44"/>
  <c r="O51" i="44"/>
  <c r="O61" i="44"/>
  <c r="E15" i="44"/>
  <c r="G15" i="44" s="1"/>
  <c r="H15" i="44" s="1"/>
  <c r="I15" i="44" s="1"/>
  <c r="J15" i="44" s="1"/>
  <c r="K15" i="44" s="1"/>
  <c r="L15" i="44" s="1"/>
  <c r="M15" i="44" s="1"/>
  <c r="N15" i="44" s="1"/>
  <c r="O15" i="44" s="1"/>
  <c r="P15" i="44" s="1"/>
  <c r="G14" i="44"/>
  <c r="F18" i="43"/>
  <c r="M32" i="44"/>
  <c r="M52" i="44" s="1"/>
  <c r="M53" i="44" s="1"/>
  <c r="M18" i="44"/>
  <c r="H32" i="44"/>
  <c r="H52" i="44" s="1"/>
  <c r="H53" i="44" s="1"/>
  <c r="H18" i="44"/>
  <c r="J48" i="43"/>
  <c r="J19" i="43"/>
  <c r="J38" i="43" s="1"/>
  <c r="G43" i="44"/>
  <c r="G59" i="44"/>
  <c r="G15" i="43"/>
  <c r="H15" i="43" s="1"/>
  <c r="I15" i="43" s="1"/>
  <c r="J15" i="43" s="1"/>
  <c r="K15" i="43" s="1"/>
  <c r="L15" i="43" s="1"/>
  <c r="M15" i="43" s="1"/>
  <c r="N15" i="43" s="1"/>
  <c r="O15" i="43" s="1"/>
  <c r="P15" i="43" s="1"/>
  <c r="E16" i="43"/>
  <c r="G16" i="43" s="1"/>
  <c r="H16" i="43" s="1"/>
  <c r="I16" i="43" s="1"/>
  <c r="J16" i="43" s="1"/>
  <c r="K16" i="43" s="1"/>
  <c r="L16" i="43" s="1"/>
  <c r="M16" i="43" s="1"/>
  <c r="N16" i="43" s="1"/>
  <c r="O16" i="43" s="1"/>
  <c r="P16" i="43" s="1"/>
  <c r="K48" i="43"/>
  <c r="K19" i="43"/>
  <c r="K38" i="43" s="1"/>
  <c r="L61" i="44"/>
  <c r="L51" i="44"/>
  <c r="J59" i="43"/>
  <c r="G18" i="44"/>
  <c r="G32" i="44"/>
  <c r="G52" i="44" s="1"/>
  <c r="G53" i="44" s="1"/>
  <c r="L32" i="44"/>
  <c r="L52" i="44" s="1"/>
  <c r="L53" i="44" s="1"/>
  <c r="L18" i="44"/>
  <c r="G59" i="43"/>
  <c r="G19" i="43"/>
  <c r="G48" i="43"/>
  <c r="P65" i="43"/>
  <c r="L166" i="42" l="1"/>
  <c r="L206" i="42" s="1"/>
  <c r="L208" i="42" s="1"/>
  <c r="L214" i="42" s="1"/>
  <c r="L216" i="42" s="1"/>
  <c r="L218" i="42" s="1"/>
  <c r="L221" i="42" s="1"/>
  <c r="K31" i="45"/>
  <c r="L254" i="42"/>
  <c r="L257" i="42" s="1"/>
  <c r="L3" i="45"/>
  <c r="K5" i="45"/>
  <c r="K4" i="45"/>
  <c r="J254" i="42"/>
  <c r="J257" i="42" s="1"/>
  <c r="J234" i="42"/>
  <c r="H254" i="42"/>
  <c r="H257" i="42" s="1"/>
  <c r="H234" i="42"/>
  <c r="I166" i="42"/>
  <c r="I206" i="42" s="1"/>
  <c r="I208" i="42" s="1"/>
  <c r="I214" i="42" s="1"/>
  <c r="I223" i="42" s="1"/>
  <c r="I234" i="42"/>
  <c r="K257" i="42"/>
  <c r="I254" i="42"/>
  <c r="I257" i="42" s="1"/>
  <c r="O199" i="42"/>
  <c r="O237" i="42" s="1"/>
  <c r="N256" i="42"/>
  <c r="H166" i="42"/>
  <c r="H206" i="42" s="1"/>
  <c r="H208" i="42" s="1"/>
  <c r="H214" i="42" s="1"/>
  <c r="H216" i="42" s="1"/>
  <c r="J223" i="42"/>
  <c r="J216" i="42"/>
  <c r="K223" i="42"/>
  <c r="K216" i="42"/>
  <c r="G50" i="43"/>
  <c r="G51" i="43" s="1"/>
  <c r="G65" i="43"/>
  <c r="L58" i="44"/>
  <c r="L42" i="44"/>
  <c r="H58" i="44"/>
  <c r="H42" i="44"/>
  <c r="F28" i="43"/>
  <c r="G28" i="43" s="1"/>
  <c r="F34" i="43"/>
  <c r="M8" i="43"/>
  <c r="I65" i="43"/>
  <c r="O53" i="44"/>
  <c r="M65" i="43"/>
  <c r="K53" i="44"/>
  <c r="L65" i="43"/>
  <c r="F20" i="43"/>
  <c r="M7" i="43" s="1"/>
  <c r="N8" i="43" s="1"/>
  <c r="G38" i="43"/>
  <c r="K65" i="43"/>
  <c r="H14" i="44"/>
  <c r="I14" i="44" s="1"/>
  <c r="J14" i="44" s="1"/>
  <c r="K14" i="44" s="1"/>
  <c r="L14" i="44" s="1"/>
  <c r="M14" i="44" s="1"/>
  <c r="N14" i="44" s="1"/>
  <c r="O14" i="44" s="1"/>
  <c r="P14" i="44" s="1"/>
  <c r="H65" i="43"/>
  <c r="I58" i="44"/>
  <c r="I42" i="44"/>
  <c r="K42" i="44"/>
  <c r="K58" i="44"/>
  <c r="P70" i="43"/>
  <c r="F54" i="44"/>
  <c r="M58" i="44"/>
  <c r="M42" i="44"/>
  <c r="N65" i="43"/>
  <c r="P53" i="44"/>
  <c r="G58" i="44"/>
  <c r="G42" i="44"/>
  <c r="J65" i="43"/>
  <c r="O65" i="43"/>
  <c r="O58" i="44"/>
  <c r="O42" i="44"/>
  <c r="P58" i="44"/>
  <c r="P42" i="44"/>
  <c r="P38" i="44"/>
  <c r="L223" i="42" l="1"/>
  <c r="J259" i="42"/>
  <c r="J272" i="42"/>
  <c r="J274" i="42" s="1"/>
  <c r="L259" i="42"/>
  <c r="L272" i="42"/>
  <c r="L274" i="42" s="1"/>
  <c r="I259" i="42"/>
  <c r="I272" i="42"/>
  <c r="I274" i="42" s="1"/>
  <c r="K259" i="42"/>
  <c r="K272" i="42"/>
  <c r="K274" i="42" s="1"/>
  <c r="H259" i="42"/>
  <c r="H272" i="42"/>
  <c r="H274" i="42" s="1"/>
  <c r="L31" i="45"/>
  <c r="L270" i="42"/>
  <c r="I216" i="42"/>
  <c r="I218" i="42" s="1"/>
  <c r="I221" i="42" s="1"/>
  <c r="L5" i="45"/>
  <c r="L4" i="45"/>
  <c r="M3" i="45"/>
  <c r="I270" i="42"/>
  <c r="H270" i="42"/>
  <c r="J270" i="42"/>
  <c r="L230" i="42"/>
  <c r="L233" i="42" s="1"/>
  <c r="K270" i="42"/>
  <c r="L227" i="42"/>
  <c r="L247" i="42"/>
  <c r="H223" i="42"/>
  <c r="P199" i="42"/>
  <c r="P237" i="42" s="1"/>
  <c r="O256" i="42"/>
  <c r="L224" i="42"/>
  <c r="H218" i="42"/>
  <c r="H221" i="42" s="1"/>
  <c r="K218" i="42"/>
  <c r="K221" i="42" s="1"/>
  <c r="J218" i="42"/>
  <c r="J221" i="42" s="1"/>
  <c r="H28" i="43"/>
  <c r="G32" i="43"/>
  <c r="G86" i="43"/>
  <c r="G75" i="43"/>
  <c r="H47" i="43"/>
  <c r="F19" i="44"/>
  <c r="H7" i="44" s="1"/>
  <c r="F26" i="43"/>
  <c r="G44" i="44"/>
  <c r="G45" i="44" s="1"/>
  <c r="F17" i="44"/>
  <c r="F40" i="43"/>
  <c r="G37" i="43" s="1"/>
  <c r="G31" i="43"/>
  <c r="F42" i="43" l="1"/>
  <c r="M31" i="45"/>
  <c r="L236" i="42"/>
  <c r="L239" i="42" s="1"/>
  <c r="M5" i="45"/>
  <c r="M4" i="45"/>
  <c r="N3" i="45"/>
  <c r="K230" i="42"/>
  <c r="K233" i="42" s="1"/>
  <c r="K236" i="42" s="1"/>
  <c r="K239" i="42" s="1"/>
  <c r="K240" i="42" s="1"/>
  <c r="K248" i="42" s="1"/>
  <c r="H230" i="42"/>
  <c r="H233" i="42" s="1"/>
  <c r="H236" i="42" s="1"/>
  <c r="H239" i="42" s="1"/>
  <c r="H240" i="42" s="1"/>
  <c r="H248" i="42" s="1"/>
  <c r="I230" i="42"/>
  <c r="I233" i="42" s="1"/>
  <c r="I236" i="42" s="1"/>
  <c r="I239" i="42" s="1"/>
  <c r="I240" i="42" s="1"/>
  <c r="I248" i="42" s="1"/>
  <c r="J230" i="42"/>
  <c r="J233" i="42" s="1"/>
  <c r="J236" i="42" s="1"/>
  <c r="J239" i="42" s="1"/>
  <c r="J240" i="42" s="1"/>
  <c r="J248" i="42" s="1"/>
  <c r="K227" i="42"/>
  <c r="K247" i="42"/>
  <c r="H227" i="42"/>
  <c r="H247" i="42"/>
  <c r="J227" i="42"/>
  <c r="J247" i="42"/>
  <c r="I227" i="42"/>
  <c r="I247" i="42"/>
  <c r="Q199" i="42"/>
  <c r="Q237" i="42" s="1"/>
  <c r="P256" i="42"/>
  <c r="J224" i="42"/>
  <c r="K224" i="42"/>
  <c r="I224" i="42"/>
  <c r="H224" i="42"/>
  <c r="G78" i="44"/>
  <c r="G67" i="44"/>
  <c r="H41" i="44"/>
  <c r="F21" i="44"/>
  <c r="G21" i="44" s="1"/>
  <c r="H8" i="44"/>
  <c r="F28" i="44"/>
  <c r="G34" i="43"/>
  <c r="H32" i="43"/>
  <c r="I28" i="43"/>
  <c r="H52" i="43"/>
  <c r="G39" i="43"/>
  <c r="G40" i="43" s="1"/>
  <c r="H37" i="43" s="1"/>
  <c r="I8" i="44"/>
  <c r="L240" i="42" l="1"/>
  <c r="L248" i="42" s="1"/>
  <c r="N31" i="45"/>
  <c r="N4" i="45"/>
  <c r="O3" i="45"/>
  <c r="N5" i="45"/>
  <c r="J242" i="42"/>
  <c r="J185" i="42" s="1"/>
  <c r="K242" i="42"/>
  <c r="K185" i="42" s="1"/>
  <c r="I242" i="42"/>
  <c r="I185" i="42" s="1"/>
  <c r="H242" i="42"/>
  <c r="H185" i="42" s="1"/>
  <c r="R199" i="42"/>
  <c r="R237" i="42" s="1"/>
  <c r="Q256" i="42"/>
  <c r="H39" i="43"/>
  <c r="H40" i="43" s="1"/>
  <c r="I37" i="43" s="1"/>
  <c r="H49" i="43"/>
  <c r="H50" i="43" s="1"/>
  <c r="H51" i="43" s="1"/>
  <c r="H66" i="43"/>
  <c r="H46" i="44"/>
  <c r="G25" i="44"/>
  <c r="F34" i="44"/>
  <c r="G31" i="44" s="1"/>
  <c r="I32" i="43"/>
  <c r="J28" i="43"/>
  <c r="H31" i="43"/>
  <c r="H34" i="43" s="1"/>
  <c r="G42" i="43"/>
  <c r="G26" i="44"/>
  <c r="H21" i="44"/>
  <c r="F36" i="44" l="1"/>
  <c r="L242" i="42"/>
  <c r="L185" i="42" s="1"/>
  <c r="O31" i="45"/>
  <c r="P3" i="45"/>
  <c r="O5" i="45"/>
  <c r="O4" i="45"/>
  <c r="S199" i="42"/>
  <c r="S237" i="42" s="1"/>
  <c r="R256" i="42"/>
  <c r="K28" i="43"/>
  <c r="J32" i="43"/>
  <c r="G33" i="44"/>
  <c r="G34" i="44" s="1"/>
  <c r="H31" i="44" s="1"/>
  <c r="H43" i="44"/>
  <c r="H44" i="44" s="1"/>
  <c r="H45" i="44" s="1"/>
  <c r="H59" i="44"/>
  <c r="I39" i="43"/>
  <c r="I40" i="43" s="1"/>
  <c r="J37" i="43" s="1"/>
  <c r="I21" i="44"/>
  <c r="H26" i="44"/>
  <c r="H75" i="43"/>
  <c r="I47" i="43"/>
  <c r="H86" i="43"/>
  <c r="G89" i="43"/>
  <c r="G58" i="43"/>
  <c r="G60" i="43" s="1"/>
  <c r="G74" i="43"/>
  <c r="G44" i="43"/>
  <c r="H42" i="43"/>
  <c r="I31" i="43"/>
  <c r="I34" i="43" s="1"/>
  <c r="G28" i="44"/>
  <c r="P31" i="45" l="1"/>
  <c r="P5" i="45"/>
  <c r="P4" i="45"/>
  <c r="P34" i="45" s="1"/>
  <c r="Q3" i="45"/>
  <c r="T199" i="42"/>
  <c r="T237" i="42" s="1"/>
  <c r="S256" i="42"/>
  <c r="H33" i="44"/>
  <c r="H34" i="44"/>
  <c r="I31" i="44" s="1"/>
  <c r="J39" i="43"/>
  <c r="J40" i="43"/>
  <c r="K37" i="43" s="1"/>
  <c r="H25" i="44"/>
  <c r="H28" i="44" s="1"/>
  <c r="G36" i="44"/>
  <c r="J31" i="43"/>
  <c r="J34" i="43" s="1"/>
  <c r="I42" i="43"/>
  <c r="I52" i="43"/>
  <c r="H89" i="43"/>
  <c r="H74" i="43"/>
  <c r="H58" i="43"/>
  <c r="H60" i="43" s="1"/>
  <c r="H44" i="43"/>
  <c r="G62" i="43"/>
  <c r="G67" i="43"/>
  <c r="I26" i="44"/>
  <c r="J21" i="44"/>
  <c r="H78" i="44"/>
  <c r="H67" i="44"/>
  <c r="I41" i="44"/>
  <c r="K32" i="43"/>
  <c r="L28" i="43"/>
  <c r="Q31" i="45" l="1"/>
  <c r="Q5" i="45"/>
  <c r="Q4" i="45"/>
  <c r="Q34" i="45" s="1"/>
  <c r="R3" i="45"/>
  <c r="U199" i="42"/>
  <c r="U237" i="42" s="1"/>
  <c r="T256" i="42"/>
  <c r="L32" i="43"/>
  <c r="M28" i="43"/>
  <c r="K39" i="43"/>
  <c r="K40" i="43" s="1"/>
  <c r="L37" i="43" s="1"/>
  <c r="K31" i="43"/>
  <c r="K34" i="43" s="1"/>
  <c r="J42" i="43"/>
  <c r="J26" i="44"/>
  <c r="K21" i="44"/>
  <c r="G81" i="44"/>
  <c r="G66" i="44"/>
  <c r="G60" i="44"/>
  <c r="G62" i="44" s="1"/>
  <c r="G38" i="44"/>
  <c r="G48" i="44"/>
  <c r="I33" i="44"/>
  <c r="I34" i="44" s="1"/>
  <c r="J31" i="44" s="1"/>
  <c r="H67" i="43"/>
  <c r="H62" i="43"/>
  <c r="I89" i="43"/>
  <c r="I74" i="43"/>
  <c r="I58" i="43"/>
  <c r="I60" i="43" s="1"/>
  <c r="I44" i="43"/>
  <c r="G70" i="43"/>
  <c r="G68" i="43"/>
  <c r="I46" i="44"/>
  <c r="I49" i="43"/>
  <c r="I50" i="43" s="1"/>
  <c r="I51" i="43" s="1"/>
  <c r="I66" i="43"/>
  <c r="I25" i="44"/>
  <c r="I28" i="44" s="1"/>
  <c r="H36" i="44"/>
  <c r="R31" i="45" l="1"/>
  <c r="R4" i="45"/>
  <c r="R34" i="45" s="1"/>
  <c r="S3" i="45"/>
  <c r="R5" i="45"/>
  <c r="V199" i="42"/>
  <c r="V237" i="42" s="1"/>
  <c r="U256" i="42"/>
  <c r="L39" i="43"/>
  <c r="L40" i="43" s="1"/>
  <c r="M37" i="43" s="1"/>
  <c r="J33" i="44"/>
  <c r="J34" i="44" s="1"/>
  <c r="K31" i="44" s="1"/>
  <c r="G73" i="43"/>
  <c r="G76" i="43" s="1"/>
  <c r="G82" i="43" s="1"/>
  <c r="G81" i="43"/>
  <c r="L21" i="44"/>
  <c r="K26" i="44"/>
  <c r="H66" i="44"/>
  <c r="H60" i="44"/>
  <c r="H62" i="44" s="1"/>
  <c r="H81" i="44"/>
  <c r="H38" i="44"/>
  <c r="H48" i="44"/>
  <c r="I36" i="44"/>
  <c r="J25" i="44"/>
  <c r="J28" i="44" s="1"/>
  <c r="J74" i="43"/>
  <c r="J58" i="43"/>
  <c r="J60" i="43" s="1"/>
  <c r="J89" i="43"/>
  <c r="J44" i="43"/>
  <c r="M32" i="43"/>
  <c r="N28" i="43"/>
  <c r="I86" i="43"/>
  <c r="I75" i="43"/>
  <c r="J47" i="43"/>
  <c r="G65" i="44"/>
  <c r="G68" i="44" s="1"/>
  <c r="G73" i="44"/>
  <c r="G75" i="44" s="1"/>
  <c r="I59" i="44"/>
  <c r="I43" i="44"/>
  <c r="I44" i="44" s="1"/>
  <c r="I45" i="44" s="1"/>
  <c r="I67" i="43"/>
  <c r="I70" i="43" s="1"/>
  <c r="I62" i="43"/>
  <c r="H70" i="43"/>
  <c r="H68" i="43"/>
  <c r="L31" i="43"/>
  <c r="L34" i="43" s="1"/>
  <c r="K42" i="43"/>
  <c r="G83" i="43" l="1"/>
  <c r="I68" i="43"/>
  <c r="I81" i="43" s="1"/>
  <c r="S31" i="45"/>
  <c r="T3" i="45"/>
  <c r="S5" i="45"/>
  <c r="S4" i="45"/>
  <c r="S34" i="45" s="1"/>
  <c r="W199" i="42"/>
  <c r="V256" i="42"/>
  <c r="K33" i="44"/>
  <c r="K34" i="44" s="1"/>
  <c r="L31" i="44" s="1"/>
  <c r="J36" i="44"/>
  <c r="K25" i="44"/>
  <c r="K28" i="44" s="1"/>
  <c r="J52" i="43"/>
  <c r="J62" i="43"/>
  <c r="J67" i="43"/>
  <c r="J70" i="43" s="1"/>
  <c r="L26" i="44"/>
  <c r="M21" i="44"/>
  <c r="L42" i="43"/>
  <c r="M31" i="43"/>
  <c r="M34" i="43" s="1"/>
  <c r="H73" i="44"/>
  <c r="H65" i="44"/>
  <c r="H68" i="44" s="1"/>
  <c r="G90" i="43"/>
  <c r="G91" i="43" s="1"/>
  <c r="H80" i="43"/>
  <c r="M39" i="43"/>
  <c r="M40" i="43" s="1"/>
  <c r="N37" i="43" s="1"/>
  <c r="K89" i="43"/>
  <c r="K74" i="43"/>
  <c r="K58" i="43"/>
  <c r="K60" i="43" s="1"/>
  <c r="K44" i="43"/>
  <c r="N32" i="43"/>
  <c r="O28" i="43"/>
  <c r="I66" i="44"/>
  <c r="I81" i="44"/>
  <c r="I60" i="44"/>
  <c r="I62" i="44" s="1"/>
  <c r="I38" i="44"/>
  <c r="H81" i="43"/>
  <c r="H73" i="43"/>
  <c r="H76" i="43" s="1"/>
  <c r="H82" i="43" s="1"/>
  <c r="I48" i="44"/>
  <c r="J41" i="44"/>
  <c r="I67" i="44"/>
  <c r="I78" i="44"/>
  <c r="G82" i="44"/>
  <c r="H72" i="44"/>
  <c r="H75" i="44" l="1"/>
  <c r="H82" i="44" s="1"/>
  <c r="I73" i="43"/>
  <c r="I76" i="43" s="1"/>
  <c r="I82" i="43" s="1"/>
  <c r="T31" i="45"/>
  <c r="T5" i="45"/>
  <c r="T4" i="45"/>
  <c r="T34" i="45" s="1"/>
  <c r="U3" i="45"/>
  <c r="W256" i="42"/>
  <c r="W237" i="42"/>
  <c r="I73" i="44"/>
  <c r="I65" i="44"/>
  <c r="I68" i="44" s="1"/>
  <c r="L33" i="44"/>
  <c r="L34" i="44" s="1"/>
  <c r="M31" i="44" s="1"/>
  <c r="N39" i="43"/>
  <c r="N40" i="43" s="1"/>
  <c r="O37" i="43" s="1"/>
  <c r="L89" i="43"/>
  <c r="L74" i="43"/>
  <c r="L58" i="43"/>
  <c r="L60" i="43" s="1"/>
  <c r="L44" i="43"/>
  <c r="L25" i="44"/>
  <c r="L28" i="44" s="1"/>
  <c r="K36" i="44"/>
  <c r="J46" i="44"/>
  <c r="M26" i="44"/>
  <c r="N21" i="44"/>
  <c r="J81" i="44"/>
  <c r="J60" i="44"/>
  <c r="J66" i="44"/>
  <c r="J38" i="44"/>
  <c r="G83" i="44"/>
  <c r="G85" i="44"/>
  <c r="P28" i="43"/>
  <c r="P32" i="43" s="1"/>
  <c r="O32" i="43"/>
  <c r="H83" i="43"/>
  <c r="J66" i="43"/>
  <c r="J68" i="43" s="1"/>
  <c r="J49" i="43"/>
  <c r="J50" i="43" s="1"/>
  <c r="J51" i="43" s="1"/>
  <c r="K62" i="43"/>
  <c r="K67" i="43"/>
  <c r="K70" i="43" s="1"/>
  <c r="N31" i="43"/>
  <c r="N34" i="43" s="1"/>
  <c r="M42" i="43"/>
  <c r="I72" i="44" l="1"/>
  <c r="I75" i="44" s="1"/>
  <c r="J72" i="44" s="1"/>
  <c r="U31" i="45"/>
  <c r="U5" i="45"/>
  <c r="U4" i="45"/>
  <c r="U34" i="45" s="1"/>
  <c r="V3" i="45"/>
  <c r="M33" i="44"/>
  <c r="M34" i="44" s="1"/>
  <c r="N31" i="44" s="1"/>
  <c r="O31" i="43"/>
  <c r="O34" i="43" s="1"/>
  <c r="N42" i="43"/>
  <c r="J73" i="43"/>
  <c r="J81" i="43"/>
  <c r="O39" i="43"/>
  <c r="O40" i="43" s="1"/>
  <c r="P37" i="43" s="1"/>
  <c r="I80" i="43"/>
  <c r="I83" i="43" s="1"/>
  <c r="H90" i="43"/>
  <c r="H91" i="43" s="1"/>
  <c r="H85" i="44"/>
  <c r="H83" i="44"/>
  <c r="L67" i="43"/>
  <c r="L70" i="43" s="1"/>
  <c r="L62" i="43"/>
  <c r="N26" i="44"/>
  <c r="O21" i="44"/>
  <c r="J59" i="44"/>
  <c r="J62" i="44" s="1"/>
  <c r="J43" i="44"/>
  <c r="J44" i="44" s="1"/>
  <c r="J45" i="44" s="1"/>
  <c r="K60" i="44"/>
  <c r="K81" i="44"/>
  <c r="K66" i="44"/>
  <c r="K38" i="44"/>
  <c r="M89" i="43"/>
  <c r="M74" i="43"/>
  <c r="M58" i="43"/>
  <c r="M60" i="43" s="1"/>
  <c r="M44" i="43"/>
  <c r="J86" i="43"/>
  <c r="J75" i="43"/>
  <c r="K47" i="43"/>
  <c r="M25" i="44"/>
  <c r="M28" i="44" s="1"/>
  <c r="L36" i="44"/>
  <c r="I82" i="44" l="1"/>
  <c r="I85" i="44" s="1"/>
  <c r="V31" i="45"/>
  <c r="V4" i="45"/>
  <c r="V34" i="45" s="1"/>
  <c r="W3" i="45"/>
  <c r="V5" i="45"/>
  <c r="P39" i="43"/>
  <c r="P40" i="43"/>
  <c r="N33" i="44"/>
  <c r="N34" i="44" s="1"/>
  <c r="O31" i="44" s="1"/>
  <c r="M67" i="43"/>
  <c r="M70" i="43" s="1"/>
  <c r="M62" i="43"/>
  <c r="N58" i="43"/>
  <c r="N60" i="43" s="1"/>
  <c r="N74" i="43"/>
  <c r="N89" i="43"/>
  <c r="N44" i="43"/>
  <c r="O26" i="44"/>
  <c r="P21" i="44"/>
  <c r="P26" i="44" s="1"/>
  <c r="J80" i="43"/>
  <c r="I90" i="43"/>
  <c r="I91" i="43" s="1"/>
  <c r="M36" i="44"/>
  <c r="N25" i="44"/>
  <c r="N28" i="44" s="1"/>
  <c r="J65" i="44"/>
  <c r="J73" i="44"/>
  <c r="J75" i="44" s="1"/>
  <c r="L66" i="44"/>
  <c r="L60" i="44"/>
  <c r="L81" i="44"/>
  <c r="L38" i="44"/>
  <c r="P31" i="43"/>
  <c r="P34" i="43" s="1"/>
  <c r="O42" i="43"/>
  <c r="K52" i="43"/>
  <c r="J67" i="44"/>
  <c r="K41" i="44"/>
  <c r="J78" i="44"/>
  <c r="J48" i="44"/>
  <c r="J76" i="43"/>
  <c r="J82" i="43" s="1"/>
  <c r="J68" i="44" l="1"/>
  <c r="I83" i="44"/>
  <c r="P42" i="43"/>
  <c r="P89" i="43" s="1"/>
  <c r="W31" i="45"/>
  <c r="X3" i="45"/>
  <c r="W5" i="45"/>
  <c r="W4" i="45"/>
  <c r="W34" i="45" s="1"/>
  <c r="O33" i="44"/>
  <c r="O34" i="44" s="1"/>
  <c r="P31" i="44" s="1"/>
  <c r="K46" i="44"/>
  <c r="O89" i="43"/>
  <c r="O58" i="43"/>
  <c r="O60" i="43" s="1"/>
  <c r="O74" i="43"/>
  <c r="O44" i="43"/>
  <c r="M81" i="44"/>
  <c r="M66" i="44"/>
  <c r="M60" i="44"/>
  <c r="M38" i="44"/>
  <c r="K72" i="44"/>
  <c r="J82" i="44"/>
  <c r="N62" i="43"/>
  <c r="N67" i="43"/>
  <c r="N70" i="43" s="1"/>
  <c r="K66" i="43"/>
  <c r="K68" i="43" s="1"/>
  <c r="K49" i="43"/>
  <c r="K50" i="43" s="1"/>
  <c r="K51" i="43" s="1"/>
  <c r="N36" i="44"/>
  <c r="O25" i="44"/>
  <c r="O28" i="44" s="1"/>
  <c r="J83" i="43"/>
  <c r="P58" i="43" l="1"/>
  <c r="P60" i="43" s="1"/>
  <c r="P67" i="43" s="1"/>
  <c r="P74" i="43"/>
  <c r="X31" i="45"/>
  <c r="Y3" i="45"/>
  <c r="X5" i="45"/>
  <c r="X4" i="45"/>
  <c r="X34" i="45" s="1"/>
  <c r="P33" i="44"/>
  <c r="P34" i="44"/>
  <c r="K86" i="43"/>
  <c r="K75" i="43"/>
  <c r="L47" i="43"/>
  <c r="J83" i="44"/>
  <c r="J85" i="44"/>
  <c r="O62" i="43"/>
  <c r="O67" i="43"/>
  <c r="O70" i="43" s="1"/>
  <c r="N81" i="44"/>
  <c r="N66" i="44"/>
  <c r="N60" i="44"/>
  <c r="N38" i="44"/>
  <c r="K73" i="43"/>
  <c r="K81" i="43"/>
  <c r="K59" i="44"/>
  <c r="K62" i="44" s="1"/>
  <c r="K43" i="44"/>
  <c r="K44" i="44" s="1"/>
  <c r="K45" i="44" s="1"/>
  <c r="K80" i="43"/>
  <c r="J90" i="43"/>
  <c r="J91" i="43" s="1"/>
  <c r="O36" i="44"/>
  <c r="P25" i="44"/>
  <c r="P28" i="44" s="1"/>
  <c r="P36" i="44" s="1"/>
  <c r="P62" i="43" l="1"/>
  <c r="Y31" i="45"/>
  <c r="Y5" i="45"/>
  <c r="Y4" i="45"/>
  <c r="Y34" i="45" s="1"/>
  <c r="Z3" i="45"/>
  <c r="K78" i="44"/>
  <c r="K48" i="44"/>
  <c r="L41" i="44"/>
  <c r="K67" i="44"/>
  <c r="O60" i="44"/>
  <c r="O66" i="44"/>
  <c r="O81" i="44"/>
  <c r="O38" i="44"/>
  <c r="K73" i="44"/>
  <c r="K75" i="44" s="1"/>
  <c r="K65" i="44"/>
  <c r="L52" i="43"/>
  <c r="P66" i="44"/>
  <c r="P60" i="44"/>
  <c r="P81" i="44"/>
  <c r="K76" i="43"/>
  <c r="K82" i="43" s="1"/>
  <c r="K83" i="43" s="1"/>
  <c r="K68" i="44" l="1"/>
  <c r="Z31" i="45"/>
  <c r="Z4" i="45"/>
  <c r="Z34" i="45" s="1"/>
  <c r="AA3" i="45"/>
  <c r="Z5" i="45"/>
  <c r="K90" i="43"/>
  <c r="K91" i="43" s="1"/>
  <c r="L80" i="43"/>
  <c r="K82" i="44"/>
  <c r="L72" i="44"/>
  <c r="L46" i="44"/>
  <c r="L49" i="43"/>
  <c r="L50" i="43" s="1"/>
  <c r="L51" i="43" s="1"/>
  <c r="L66" i="43"/>
  <c r="L68" i="43" s="1"/>
  <c r="AA31" i="45" l="1"/>
  <c r="AA5" i="45"/>
  <c r="AA4" i="45"/>
  <c r="AA34" i="45" s="1"/>
  <c r="L43" i="44"/>
  <c r="L44" i="44" s="1"/>
  <c r="L45" i="44" s="1"/>
  <c r="L59" i="44"/>
  <c r="L62" i="44" s="1"/>
  <c r="K83" i="44"/>
  <c r="K85" i="44"/>
  <c r="L81" i="43"/>
  <c r="L73" i="43"/>
  <c r="M47" i="43"/>
  <c r="L75" i="43"/>
  <c r="L86" i="43"/>
  <c r="L76" i="43" l="1"/>
  <c r="L82" i="43" s="1"/>
  <c r="L83" i="43" s="1"/>
  <c r="M52" i="43"/>
  <c r="L73" i="44"/>
  <c r="L75" i="44" s="1"/>
  <c r="L65" i="44"/>
  <c r="L78" i="44"/>
  <c r="L48" i="44"/>
  <c r="M41" i="44"/>
  <c r="L67" i="44"/>
  <c r="M80" i="43" l="1"/>
  <c r="L90" i="43"/>
  <c r="L91" i="43" s="1"/>
  <c r="L68" i="44"/>
  <c r="M46" i="44"/>
  <c r="L82" i="44"/>
  <c r="M72" i="44"/>
  <c r="M49" i="43"/>
  <c r="M50" i="43" s="1"/>
  <c r="M51" i="43" s="1"/>
  <c r="M66" i="43"/>
  <c r="M68" i="43" s="1"/>
  <c r="M81" i="43" l="1"/>
  <c r="M73" i="43"/>
  <c r="M86" i="43"/>
  <c r="N47" i="43"/>
  <c r="M75" i="43"/>
  <c r="M59" i="44"/>
  <c r="M62" i="44" s="1"/>
  <c r="M43" i="44"/>
  <c r="M44" i="44" s="1"/>
  <c r="M45" i="44" s="1"/>
  <c r="L83" i="44"/>
  <c r="L85" i="44"/>
  <c r="M76" i="43" l="1"/>
  <c r="M82" i="43" s="1"/>
  <c r="M65" i="44"/>
  <c r="M73" i="44"/>
  <c r="M75" i="44" s="1"/>
  <c r="N52" i="43"/>
  <c r="M48" i="44"/>
  <c r="N41" i="44"/>
  <c r="M78" i="44"/>
  <c r="M67" i="44"/>
  <c r="M83" i="43"/>
  <c r="N46" i="44" l="1"/>
  <c r="N80" i="43"/>
  <c r="M90" i="43"/>
  <c r="M91" i="43" s="1"/>
  <c r="N72" i="44"/>
  <c r="M82" i="44"/>
  <c r="N66" i="43"/>
  <c r="N68" i="43" s="1"/>
  <c r="N49" i="43"/>
  <c r="N50" i="43" s="1"/>
  <c r="N51" i="43" s="1"/>
  <c r="M68" i="44"/>
  <c r="N73" i="43" l="1"/>
  <c r="N81" i="43"/>
  <c r="M83" i="44"/>
  <c r="M85" i="44"/>
  <c r="N59" i="44"/>
  <c r="N62" i="44" s="1"/>
  <c r="N43" i="44"/>
  <c r="N44" i="44" s="1"/>
  <c r="N45" i="44" s="1"/>
  <c r="N86" i="43"/>
  <c r="N75" i="43"/>
  <c r="O47" i="43"/>
  <c r="N65" i="44" l="1"/>
  <c r="N73" i="44"/>
  <c r="N75" i="44" s="1"/>
  <c r="O52" i="43"/>
  <c r="N67" i="44"/>
  <c r="N48" i="44"/>
  <c r="O41" i="44"/>
  <c r="N78" i="44"/>
  <c r="N76" i="43"/>
  <c r="N82" i="43" s="1"/>
  <c r="N83" i="43" s="1"/>
  <c r="O80" i="43" l="1"/>
  <c r="N90" i="43"/>
  <c r="N91" i="43" s="1"/>
  <c r="N82" i="44"/>
  <c r="O72" i="44"/>
  <c r="O66" i="43"/>
  <c r="O68" i="43" s="1"/>
  <c r="O49" i="43"/>
  <c r="O50" i="43" s="1"/>
  <c r="O51" i="43" s="1"/>
  <c r="O46" i="44"/>
  <c r="N68" i="44"/>
  <c r="O86" i="43" l="1"/>
  <c r="O75" i="43"/>
  <c r="P47" i="43"/>
  <c r="O59" i="44"/>
  <c r="O62" i="44" s="1"/>
  <c r="O43" i="44"/>
  <c r="O44" i="44" s="1"/>
  <c r="O45" i="44" s="1"/>
  <c r="N83" i="44"/>
  <c r="N85" i="44"/>
  <c r="O73" i="43"/>
  <c r="O81" i="43"/>
  <c r="O76" i="43" l="1"/>
  <c r="O82" i="43" s="1"/>
  <c r="O83" i="43" s="1"/>
  <c r="P52" i="43"/>
  <c r="O67" i="44"/>
  <c r="P41" i="44"/>
  <c r="O78" i="44"/>
  <c r="O48" i="44"/>
  <c r="O73" i="44"/>
  <c r="O75" i="44" s="1"/>
  <c r="O65" i="44"/>
  <c r="O68" i="44" l="1"/>
  <c r="O90" i="43"/>
  <c r="O91" i="43" s="1"/>
  <c r="P80" i="43"/>
  <c r="P49" i="43"/>
  <c r="P50" i="43" s="1"/>
  <c r="P51" i="43" s="1"/>
  <c r="P66" i="43"/>
  <c r="P68" i="43" s="1"/>
  <c r="P72" i="44"/>
  <c r="O82" i="44"/>
  <c r="P46" i="44"/>
  <c r="P59" i="44" l="1"/>
  <c r="P62" i="44" s="1"/>
  <c r="P43" i="44"/>
  <c r="P44" i="44" s="1"/>
  <c r="P45" i="44" s="1"/>
  <c r="P81" i="43"/>
  <c r="P73" i="43"/>
  <c r="O83" i="44"/>
  <c r="O85" i="44"/>
  <c r="P75" i="43"/>
  <c r="P86" i="43"/>
  <c r="P78" i="44" l="1"/>
  <c r="P67" i="44"/>
  <c r="P48" i="44"/>
  <c r="P76" i="43"/>
  <c r="P82" i="43" s="1"/>
  <c r="P83" i="43" s="1"/>
  <c r="P90" i="43" s="1"/>
  <c r="P91" i="43" s="1"/>
  <c r="P73" i="44"/>
  <c r="P75" i="44" s="1"/>
  <c r="P82" i="44" s="1"/>
  <c r="P83" i="44" s="1"/>
  <c r="P65" i="44"/>
  <c r="F22" i="41"/>
  <c r="J113" i="42"/>
  <c r="J169" i="42" s="1"/>
  <c r="K113" i="42"/>
  <c r="K169" i="42" s="1"/>
  <c r="L113" i="42"/>
  <c r="L169" i="42" s="1"/>
  <c r="M113" i="42"/>
  <c r="M169" i="42" s="1"/>
  <c r="N113" i="42"/>
  <c r="N169" i="42" s="1"/>
  <c r="N170" i="42" s="1"/>
  <c r="O113" i="42"/>
  <c r="O169" i="42" s="1"/>
  <c r="P113" i="42"/>
  <c r="P169" i="42" s="1"/>
  <c r="Q113" i="42"/>
  <c r="Q169" i="42" s="1"/>
  <c r="R113" i="42"/>
  <c r="R169" i="42" s="1"/>
  <c r="S113" i="42"/>
  <c r="S169" i="42" s="1"/>
  <c r="T113" i="42"/>
  <c r="T169" i="42" s="1"/>
  <c r="U113" i="42"/>
  <c r="U169" i="42" s="1"/>
  <c r="V113" i="42"/>
  <c r="V169" i="42" s="1"/>
  <c r="W113" i="42"/>
  <c r="W169" i="42" s="1"/>
  <c r="I113" i="42"/>
  <c r="I169" i="42" s="1"/>
  <c r="I161" i="42"/>
  <c r="J161" i="42"/>
  <c r="K161" i="42"/>
  <c r="L161" i="42"/>
  <c r="M161" i="42"/>
  <c r="N161" i="42"/>
  <c r="O161" i="42"/>
  <c r="P161" i="42"/>
  <c r="Q161" i="42"/>
  <c r="R161" i="42"/>
  <c r="S161" i="42"/>
  <c r="T161" i="42"/>
  <c r="U161" i="42"/>
  <c r="V161" i="42"/>
  <c r="W161" i="42"/>
  <c r="J145" i="42"/>
  <c r="K145" i="42"/>
  <c r="L145" i="42"/>
  <c r="M145" i="42"/>
  <c r="M146" i="42" s="1"/>
  <c r="M198" i="42" s="1"/>
  <c r="N145" i="42"/>
  <c r="O145" i="42"/>
  <c r="P145" i="42"/>
  <c r="Q145" i="42"/>
  <c r="R145" i="42"/>
  <c r="S145" i="42"/>
  <c r="T145" i="42"/>
  <c r="U145" i="42"/>
  <c r="V145" i="42"/>
  <c r="W145" i="42"/>
  <c r="N2" i="42"/>
  <c r="N3" i="42" s="1"/>
  <c r="O2" i="42" s="1"/>
  <c r="O3" i="42" s="1"/>
  <c r="P2" i="42" s="1"/>
  <c r="P3" i="42" s="1"/>
  <c r="Q2" i="42" s="1"/>
  <c r="Q3" i="42" s="1"/>
  <c r="R2" i="42" s="1"/>
  <c r="R3" i="42" s="1"/>
  <c r="S2" i="42" s="1"/>
  <c r="S3" i="42" s="1"/>
  <c r="T2" i="42" s="1"/>
  <c r="T3" i="42" s="1"/>
  <c r="U2" i="42" s="1"/>
  <c r="U3" i="42" s="1"/>
  <c r="V2" i="42" s="1"/>
  <c r="V3" i="42" s="1"/>
  <c r="W2" i="42" s="1"/>
  <c r="W3" i="42" s="1"/>
  <c r="H161" i="42"/>
  <c r="G12" i="41"/>
  <c r="H12" i="41"/>
  <c r="I12" i="41"/>
  <c r="J12" i="41"/>
  <c r="K12" i="41"/>
  <c r="F12" i="41"/>
  <c r="M129" i="42"/>
  <c r="L129" i="42"/>
  <c r="K129" i="42"/>
  <c r="J129" i="42"/>
  <c r="I129" i="42"/>
  <c r="M128" i="42"/>
  <c r="L128" i="42"/>
  <c r="K128" i="42"/>
  <c r="J128" i="42"/>
  <c r="I128" i="42"/>
  <c r="I131" i="42" s="1"/>
  <c r="M126" i="42"/>
  <c r="L126" i="42"/>
  <c r="K126" i="42"/>
  <c r="J126" i="42"/>
  <c r="I126" i="42"/>
  <c r="H126" i="42"/>
  <c r="M125" i="42"/>
  <c r="L125" i="42"/>
  <c r="K125" i="42"/>
  <c r="J125" i="42"/>
  <c r="I125" i="42"/>
  <c r="H125" i="42"/>
  <c r="L119" i="42"/>
  <c r="K119" i="42"/>
  <c r="M119" i="42"/>
  <c r="J119" i="42"/>
  <c r="I119" i="42"/>
  <c r="P68" i="44" l="1"/>
  <c r="M255" i="42"/>
  <c r="M232" i="42"/>
  <c r="K130" i="42"/>
  <c r="L130" i="42"/>
  <c r="L131" i="42"/>
  <c r="I130" i="42"/>
  <c r="M130" i="42"/>
  <c r="M131" i="42"/>
  <c r="O170" i="42"/>
  <c r="N207" i="42"/>
  <c r="I145" i="42"/>
  <c r="N146" i="42"/>
  <c r="N198" i="42" s="1"/>
  <c r="M204" i="42"/>
  <c r="M150" i="42"/>
  <c r="M210" i="42" s="1"/>
  <c r="M174" i="42"/>
  <c r="M211" i="42" s="1"/>
  <c r="M178" i="42"/>
  <c r="M212" i="42" s="1"/>
  <c r="M154" i="42"/>
  <c r="M235" i="42" s="1"/>
  <c r="J130" i="42"/>
  <c r="N129" i="42"/>
  <c r="E113" i="42"/>
  <c r="P85" i="44"/>
  <c r="J131" i="42"/>
  <c r="K131" i="42"/>
  <c r="N128" i="42"/>
  <c r="F70" i="41"/>
  <c r="F49" i="41"/>
  <c r="F45" i="41"/>
  <c r="K32" i="41"/>
  <c r="J32" i="41"/>
  <c r="I32" i="41"/>
  <c r="H32" i="41"/>
  <c r="G32" i="41"/>
  <c r="F32" i="41"/>
  <c r="K21" i="41"/>
  <c r="K22" i="41" s="1"/>
  <c r="J21" i="41"/>
  <c r="J22" i="41" s="1"/>
  <c r="I21" i="41"/>
  <c r="I22" i="41" s="1"/>
  <c r="H21" i="41"/>
  <c r="H22" i="41" s="1"/>
  <c r="G21" i="41"/>
  <c r="G22" i="41" s="1"/>
  <c r="K9" i="41"/>
  <c r="K13" i="41" s="1"/>
  <c r="K14" i="41" s="1"/>
  <c r="J9" i="41"/>
  <c r="J13" i="41" s="1"/>
  <c r="I9" i="41"/>
  <c r="I13" i="41" s="1"/>
  <c r="H9" i="41"/>
  <c r="H13" i="41" s="1"/>
  <c r="H14" i="41" s="1"/>
  <c r="G9" i="41"/>
  <c r="G13" i="41" s="1"/>
  <c r="G14" i="41" s="1"/>
  <c r="F9" i="41"/>
  <c r="F13" i="41" s="1"/>
  <c r="O3" i="41"/>
  <c r="N3" i="41"/>
  <c r="M3" i="41"/>
  <c r="L3" i="41"/>
  <c r="K3" i="41"/>
  <c r="J3" i="41"/>
  <c r="I3" i="41"/>
  <c r="H3" i="41"/>
  <c r="G3" i="41"/>
  <c r="F3" i="41"/>
  <c r="L82" i="22"/>
  <c r="M82" i="22"/>
  <c r="N82" i="22"/>
  <c r="O82" i="22"/>
  <c r="L28" i="40"/>
  <c r="M28" i="40" s="1"/>
  <c r="N28" i="40" s="1"/>
  <c r="O28" i="40" s="1"/>
  <c r="F46" i="40"/>
  <c r="F42" i="40"/>
  <c r="G30" i="40"/>
  <c r="H30" i="40"/>
  <c r="I30" i="40"/>
  <c r="J30" i="40"/>
  <c r="K30" i="40"/>
  <c r="F30" i="40"/>
  <c r="L22" i="22"/>
  <c r="M22" i="22" s="1"/>
  <c r="N22" i="22" s="1"/>
  <c r="O22" i="22" s="1"/>
  <c r="F21" i="40"/>
  <c r="H20" i="40"/>
  <c r="H21" i="40" s="1"/>
  <c r="I20" i="40"/>
  <c r="I21" i="40" s="1"/>
  <c r="J20" i="40"/>
  <c r="J21" i="40" s="1"/>
  <c r="K20" i="40"/>
  <c r="K21" i="40" s="1"/>
  <c r="G20" i="40"/>
  <c r="G21" i="40" s="1"/>
  <c r="G9" i="40"/>
  <c r="G12" i="40" s="1"/>
  <c r="G14" i="40" s="1"/>
  <c r="H9" i="40"/>
  <c r="H12" i="40" s="1"/>
  <c r="H14" i="40" s="1"/>
  <c r="I9" i="40"/>
  <c r="I12" i="40" s="1"/>
  <c r="I14" i="40" s="1"/>
  <c r="J9" i="40"/>
  <c r="J12" i="40" s="1"/>
  <c r="J14" i="40" s="1"/>
  <c r="K9" i="40"/>
  <c r="K12" i="40" s="1"/>
  <c r="K14" i="40" s="1"/>
  <c r="F9" i="40"/>
  <c r="F12" i="40" s="1"/>
  <c r="E10" i="18"/>
  <c r="G16" i="22"/>
  <c r="H16" i="22"/>
  <c r="I16" i="22"/>
  <c r="J16" i="22"/>
  <c r="K16" i="22"/>
  <c r="F16" i="22"/>
  <c r="G9" i="22"/>
  <c r="G24" i="22" s="1"/>
  <c r="H9" i="22"/>
  <c r="H24" i="22" s="1"/>
  <c r="I9" i="22"/>
  <c r="I24" i="22" s="1"/>
  <c r="J9" i="22"/>
  <c r="J24" i="22" s="1"/>
  <c r="K9" i="22"/>
  <c r="K24" i="22" s="1"/>
  <c r="F9" i="22"/>
  <c r="F24" i="22" s="1"/>
  <c r="E13" i="18" l="1"/>
  <c r="E19" i="18" s="1"/>
  <c r="E32" i="18" s="1"/>
  <c r="E12" i="18"/>
  <c r="E18" i="18" s="1"/>
  <c r="E31" i="18" s="1"/>
  <c r="N255" i="42"/>
  <c r="N232" i="42"/>
  <c r="M158" i="42"/>
  <c r="M262" i="42"/>
  <c r="N130" i="42"/>
  <c r="O146" i="42"/>
  <c r="O198" i="42" s="1"/>
  <c r="N150" i="42"/>
  <c r="N210" i="42" s="1"/>
  <c r="N204" i="42"/>
  <c r="N154" i="42"/>
  <c r="N235" i="42" s="1"/>
  <c r="N174" i="42"/>
  <c r="N211" i="42" s="1"/>
  <c r="N178" i="42"/>
  <c r="N212" i="42" s="1"/>
  <c r="P170" i="42"/>
  <c r="O207" i="42"/>
  <c r="I40" i="41"/>
  <c r="I31" i="41"/>
  <c r="I38" i="41"/>
  <c r="I55" i="41" s="1"/>
  <c r="M31" i="41"/>
  <c r="F40" i="41"/>
  <c r="F63" i="41" s="1"/>
  <c r="F31" i="41"/>
  <c r="F30" i="41"/>
  <c r="F38" i="41"/>
  <c r="F55" i="41" s="1"/>
  <c r="J29" i="41"/>
  <c r="J40" i="41"/>
  <c r="J63" i="41" s="1"/>
  <c r="J31" i="41"/>
  <c r="J38" i="41"/>
  <c r="N31" i="41"/>
  <c r="G31" i="41"/>
  <c r="G38" i="41"/>
  <c r="G55" i="41" s="1"/>
  <c r="G40" i="41"/>
  <c r="G63" i="41" s="1"/>
  <c r="K31" i="41"/>
  <c r="K38" i="41"/>
  <c r="K55" i="41" s="1"/>
  <c r="K40" i="41"/>
  <c r="K63" i="41" s="1"/>
  <c r="O31" i="41"/>
  <c r="H31" i="41"/>
  <c r="H38" i="41"/>
  <c r="H55" i="41" s="1"/>
  <c r="H40" i="41"/>
  <c r="L31" i="41"/>
  <c r="L38" i="41"/>
  <c r="L55" i="41" s="1"/>
  <c r="I29" i="41"/>
  <c r="F50" i="41"/>
  <c r="F57" i="41" s="1"/>
  <c r="F28" i="41"/>
  <c r="F29" i="41"/>
  <c r="N30" i="41"/>
  <c r="N29" i="41"/>
  <c r="N28" i="41"/>
  <c r="G30" i="41"/>
  <c r="G28" i="41"/>
  <c r="K30" i="41"/>
  <c r="K28" i="41"/>
  <c r="O30" i="41"/>
  <c r="O29" i="41"/>
  <c r="O28" i="41"/>
  <c r="J30" i="41"/>
  <c r="J28" i="41"/>
  <c r="H30" i="41"/>
  <c r="H28" i="41"/>
  <c r="L30" i="41"/>
  <c r="L28" i="41"/>
  <c r="L29" i="41"/>
  <c r="G29" i="41"/>
  <c r="K29" i="41"/>
  <c r="I30" i="41"/>
  <c r="I28" i="41"/>
  <c r="M30" i="41"/>
  <c r="M28" i="41"/>
  <c r="M29" i="41"/>
  <c r="H29" i="41"/>
  <c r="L35" i="41"/>
  <c r="J47" i="41"/>
  <c r="J79" i="41" s="1"/>
  <c r="I33" i="41"/>
  <c r="I49" i="41" s="1"/>
  <c r="I74" i="41"/>
  <c r="J70" i="41" s="1"/>
  <c r="J33" i="41"/>
  <c r="J49" i="41" s="1"/>
  <c r="F34" i="41"/>
  <c r="F88" i="41" s="1"/>
  <c r="F47" i="41"/>
  <c r="F79" i="41" s="1"/>
  <c r="F14" i="41"/>
  <c r="J14" i="41"/>
  <c r="I14" i="41"/>
  <c r="G35" i="41"/>
  <c r="G74" i="41"/>
  <c r="G50" i="41"/>
  <c r="G57" i="41" s="1"/>
  <c r="G47" i="41"/>
  <c r="G34" i="41"/>
  <c r="G88" i="41" s="1"/>
  <c r="K35" i="41"/>
  <c r="K74" i="41"/>
  <c r="K50" i="41"/>
  <c r="K57" i="41" s="1"/>
  <c r="K47" i="41"/>
  <c r="K34" i="41"/>
  <c r="K88" i="41" s="1"/>
  <c r="O35" i="41"/>
  <c r="O33" i="41"/>
  <c r="O49" i="41" s="1"/>
  <c r="O34" i="41"/>
  <c r="O88" i="41" s="1"/>
  <c r="H74" i="41"/>
  <c r="H50" i="41"/>
  <c r="H57" i="41" s="1"/>
  <c r="H47" i="41"/>
  <c r="H34" i="41"/>
  <c r="H88" i="41" s="1"/>
  <c r="L34" i="41"/>
  <c r="L88" i="41" s="1"/>
  <c r="J34" i="41"/>
  <c r="J88" i="41" s="1"/>
  <c r="I50" i="41"/>
  <c r="I57" i="41" s="1"/>
  <c r="I47" i="41"/>
  <c r="I34" i="41"/>
  <c r="I88" i="41" s="1"/>
  <c r="I35" i="41"/>
  <c r="M34" i="41"/>
  <c r="M88" i="41" s="1"/>
  <c r="M35" i="41"/>
  <c r="M33" i="41"/>
  <c r="M49" i="41" s="1"/>
  <c r="G33" i="41"/>
  <c r="G49" i="41" s="1"/>
  <c r="K33" i="41"/>
  <c r="K49" i="41" s="1"/>
  <c r="N34" i="41"/>
  <c r="N88" i="41" s="1"/>
  <c r="F35" i="41"/>
  <c r="F64" i="41" s="1"/>
  <c r="F74" i="41"/>
  <c r="J35" i="41"/>
  <c r="J74" i="41"/>
  <c r="N35" i="41"/>
  <c r="N33" i="41"/>
  <c r="N49" i="41" s="1"/>
  <c r="H33" i="41"/>
  <c r="H49" i="41" s="1"/>
  <c r="L33" i="41"/>
  <c r="L49" i="41" s="1"/>
  <c r="H35" i="41"/>
  <c r="J50" i="41"/>
  <c r="J57" i="41" s="1"/>
  <c r="M166" i="42" l="1"/>
  <c r="M206" i="42" s="1"/>
  <c r="M208" i="42" s="1"/>
  <c r="M234" i="42"/>
  <c r="O255" i="42"/>
  <c r="O232" i="42"/>
  <c r="M254" i="42"/>
  <c r="N158" i="42"/>
  <c r="N262" i="42"/>
  <c r="H48" i="45" s="1"/>
  <c r="P146" i="42"/>
  <c r="P198" i="42" s="1"/>
  <c r="O204" i="42"/>
  <c r="O178" i="42"/>
  <c r="O212" i="42" s="1"/>
  <c r="O154" i="42"/>
  <c r="O235" i="42" s="1"/>
  <c r="O174" i="42"/>
  <c r="O211" i="42" s="1"/>
  <c r="O150" i="42"/>
  <c r="O210" i="42" s="1"/>
  <c r="Q170" i="42"/>
  <c r="P207" i="42"/>
  <c r="L40" i="41"/>
  <c r="L80" i="41" s="1"/>
  <c r="H63" i="41"/>
  <c r="I41" i="41"/>
  <c r="I62" i="41" s="1"/>
  <c r="I63" i="41"/>
  <c r="J39" i="41"/>
  <c r="J56" i="41" s="1"/>
  <c r="J55" i="41"/>
  <c r="H41" i="41"/>
  <c r="G41" i="41"/>
  <c r="J41" i="41"/>
  <c r="I39" i="41"/>
  <c r="I56" i="41" s="1"/>
  <c r="H39" i="41"/>
  <c r="H56" i="41" s="1"/>
  <c r="K41" i="41"/>
  <c r="G39" i="41"/>
  <c r="G56" i="41" s="1"/>
  <c r="F41" i="41"/>
  <c r="M38" i="41"/>
  <c r="M55" i="41" s="1"/>
  <c r="L39" i="41"/>
  <c r="L56" i="41" s="1"/>
  <c r="K39" i="41"/>
  <c r="K56" i="41" s="1"/>
  <c r="F39" i="41"/>
  <c r="F56" i="41" s="1"/>
  <c r="G45" i="41"/>
  <c r="K45" i="41"/>
  <c r="I81" i="41"/>
  <c r="F81" i="41"/>
  <c r="F87" i="41" s="1"/>
  <c r="G70" i="41"/>
  <c r="H79" i="41"/>
  <c r="I45" i="41"/>
  <c r="K81" i="41"/>
  <c r="K87" i="41" s="1"/>
  <c r="L70" i="41"/>
  <c r="G79" i="41"/>
  <c r="H45" i="41"/>
  <c r="J81" i="41"/>
  <c r="K70" i="41"/>
  <c r="I79" i="41"/>
  <c r="J45" i="41"/>
  <c r="H81" i="41"/>
  <c r="I70" i="41"/>
  <c r="K79" i="41"/>
  <c r="L45" i="41"/>
  <c r="G81" i="41"/>
  <c r="H70" i="41"/>
  <c r="P255" i="42" l="1"/>
  <c r="P232" i="42"/>
  <c r="N254" i="42"/>
  <c r="N234" i="42"/>
  <c r="H50" i="45" s="1"/>
  <c r="M214" i="42"/>
  <c r="M194" i="42"/>
  <c r="N162" i="42"/>
  <c r="N205" i="42" s="1"/>
  <c r="N166" i="42"/>
  <c r="N206" i="42" s="1"/>
  <c r="O158" i="42"/>
  <c r="O262" i="42"/>
  <c r="I48" i="45" s="1"/>
  <c r="R170" i="42"/>
  <c r="Q207" i="42"/>
  <c r="Q146" i="42"/>
  <c r="Q198" i="42" s="1"/>
  <c r="P204" i="42"/>
  <c r="P150" i="42"/>
  <c r="P210" i="42" s="1"/>
  <c r="P174" i="42"/>
  <c r="P211" i="42" s="1"/>
  <c r="P154" i="42"/>
  <c r="P235" i="42" s="1"/>
  <c r="P178" i="42"/>
  <c r="P212" i="42" s="1"/>
  <c r="L63" i="41"/>
  <c r="L41" i="41"/>
  <c r="L77" i="41" s="1"/>
  <c r="J42" i="41"/>
  <c r="J54" i="41" s="1"/>
  <c r="J58" i="41" s="1"/>
  <c r="J64" i="41" s="1"/>
  <c r="J62" i="41"/>
  <c r="K42" i="41"/>
  <c r="K54" i="41" s="1"/>
  <c r="K58" i="41" s="1"/>
  <c r="K62" i="41"/>
  <c r="G42" i="41"/>
  <c r="G54" i="41" s="1"/>
  <c r="G58" i="41" s="1"/>
  <c r="G62" i="41"/>
  <c r="I42" i="41"/>
  <c r="I54" i="41" s="1"/>
  <c r="I58" i="41" s="1"/>
  <c r="H42" i="41"/>
  <c r="H54" i="41" s="1"/>
  <c r="H58" i="41" s="1"/>
  <c r="H62" i="41"/>
  <c r="F42" i="41"/>
  <c r="F54" i="41" s="1"/>
  <c r="F58" i="41" s="1"/>
  <c r="F62" i="41"/>
  <c r="J87" i="41"/>
  <c r="M39" i="41"/>
  <c r="M56" i="41" s="1"/>
  <c r="N38" i="41"/>
  <c r="N55" i="41" s="1"/>
  <c r="M40" i="41"/>
  <c r="M80" i="41" s="1"/>
  <c r="I87" i="41"/>
  <c r="J82" i="41"/>
  <c r="J84" i="41" s="1"/>
  <c r="J85" i="41" s="1"/>
  <c r="H82" i="41"/>
  <c r="H84" i="41" s="1"/>
  <c r="H85" i="41" s="1"/>
  <c r="G87" i="41"/>
  <c r="H87" i="41"/>
  <c r="G82" i="41"/>
  <c r="G84" i="41" s="1"/>
  <c r="G85" i="41" s="1"/>
  <c r="L50" i="41"/>
  <c r="L57" i="41" s="1"/>
  <c r="K82" i="41"/>
  <c r="K84" i="41" s="1"/>
  <c r="K85" i="41" s="1"/>
  <c r="I82" i="41"/>
  <c r="I84" i="41" s="1"/>
  <c r="I85" i="41" s="1"/>
  <c r="F82" i="41"/>
  <c r="F84" i="41" s="1"/>
  <c r="F85" i="41" s="1"/>
  <c r="Q255" i="42" l="1"/>
  <c r="Q232" i="42"/>
  <c r="O254" i="42"/>
  <c r="O234" i="42"/>
  <c r="I50" i="45" s="1"/>
  <c r="M223" i="42"/>
  <c r="M216" i="42"/>
  <c r="M218" i="42" s="1"/>
  <c r="M221" i="42" s="1"/>
  <c r="N208" i="42"/>
  <c r="O166" i="42"/>
  <c r="O206" i="42" s="1"/>
  <c r="O162" i="42"/>
  <c r="O205" i="42" s="1"/>
  <c r="P158" i="42"/>
  <c r="P162" i="42" s="1"/>
  <c r="P205" i="42" s="1"/>
  <c r="P262" i="42"/>
  <c r="J48" i="45" s="1"/>
  <c r="R146" i="42"/>
  <c r="R198" i="42" s="1"/>
  <c r="Q204" i="42"/>
  <c r="Q154" i="42"/>
  <c r="Q235" i="42" s="1"/>
  <c r="Q178" i="42"/>
  <c r="Q212" i="42" s="1"/>
  <c r="Q150" i="42"/>
  <c r="Q210" i="42" s="1"/>
  <c r="Q174" i="42"/>
  <c r="Q211" i="42" s="1"/>
  <c r="P166" i="42"/>
  <c r="P206" i="42" s="1"/>
  <c r="S170" i="42"/>
  <c r="R207" i="42"/>
  <c r="G93" i="41"/>
  <c r="G64" i="41"/>
  <c r="I93" i="41"/>
  <c r="I64" i="41"/>
  <c r="K93" i="41"/>
  <c r="K64" i="41"/>
  <c r="H93" i="41"/>
  <c r="H64" i="41"/>
  <c r="J61" i="41"/>
  <c r="J93" i="41"/>
  <c r="F93" i="41"/>
  <c r="L42" i="41"/>
  <c r="L54" i="41" s="1"/>
  <c r="L58" i="41" s="1"/>
  <c r="L64" i="41" s="1"/>
  <c r="L62" i="41"/>
  <c r="J71" i="41"/>
  <c r="F61" i="41"/>
  <c r="M41" i="41"/>
  <c r="M77" i="41" s="1"/>
  <c r="M63" i="41"/>
  <c r="O38" i="41"/>
  <c r="O55" i="41" s="1"/>
  <c r="N39" i="41"/>
  <c r="N56" i="41" s="1"/>
  <c r="N40" i="41"/>
  <c r="N80" i="41" s="1"/>
  <c r="F71" i="41"/>
  <c r="I61" i="41"/>
  <c r="I71" i="41"/>
  <c r="K61" i="41"/>
  <c r="K71" i="41"/>
  <c r="G61" i="41"/>
  <c r="G71" i="41"/>
  <c r="H71" i="41"/>
  <c r="H61" i="41"/>
  <c r="M227" i="42" l="1"/>
  <c r="M224" i="42"/>
  <c r="M247" i="42"/>
  <c r="P254" i="42"/>
  <c r="P234" i="42"/>
  <c r="J50" i="45" s="1"/>
  <c r="O208" i="42"/>
  <c r="N214" i="42"/>
  <c r="N194" i="42"/>
  <c r="R255" i="42"/>
  <c r="R232" i="42"/>
  <c r="M230" i="42"/>
  <c r="M233" i="42" s="1"/>
  <c r="Q158" i="42"/>
  <c r="Q262" i="42"/>
  <c r="K48" i="45" s="1"/>
  <c r="P208" i="42"/>
  <c r="P194" i="42" s="1"/>
  <c r="T170" i="42"/>
  <c r="S207" i="42"/>
  <c r="S146" i="42"/>
  <c r="S198" i="42" s="1"/>
  <c r="R204" i="42"/>
  <c r="R178" i="42"/>
  <c r="R212" i="42" s="1"/>
  <c r="R150" i="42"/>
  <c r="R210" i="42" s="1"/>
  <c r="R174" i="42"/>
  <c r="R211" i="42" s="1"/>
  <c r="R154" i="42"/>
  <c r="R235" i="42" s="1"/>
  <c r="H72" i="41"/>
  <c r="H91" i="41" s="1"/>
  <c r="K72" i="41"/>
  <c r="K91" i="41" s="1"/>
  <c r="F72" i="41"/>
  <c r="F91" i="41" s="1"/>
  <c r="G72" i="41"/>
  <c r="G91" i="41" s="1"/>
  <c r="I72" i="41"/>
  <c r="I91" i="41" s="1"/>
  <c r="J66" i="41"/>
  <c r="J46" i="41" s="1"/>
  <c r="H66" i="41"/>
  <c r="H46" i="41" s="1"/>
  <c r="J72" i="41"/>
  <c r="J91" i="41" s="1"/>
  <c r="K66" i="41"/>
  <c r="K46" i="41" s="1"/>
  <c r="L71" i="41"/>
  <c r="N41" i="41"/>
  <c r="N77" i="41" s="1"/>
  <c r="N63" i="41"/>
  <c r="M42" i="41"/>
  <c r="M54" i="41" s="1"/>
  <c r="M62" i="41"/>
  <c r="O39" i="41"/>
  <c r="O56" i="41" s="1"/>
  <c r="O40" i="41"/>
  <c r="O80" i="41" s="1"/>
  <c r="L61" i="41"/>
  <c r="M236" i="42" l="1"/>
  <c r="M239" i="42" s="1"/>
  <c r="Q254" i="42"/>
  <c r="Q234" i="42"/>
  <c r="K50" i="45" s="1"/>
  <c r="S255" i="42"/>
  <c r="S232" i="42"/>
  <c r="N223" i="42"/>
  <c r="O214" i="42"/>
  <c r="O223" i="42" s="1"/>
  <c r="O194" i="42"/>
  <c r="Q162" i="42"/>
  <c r="Q205" i="42" s="1"/>
  <c r="Q166" i="42"/>
  <c r="Q206" i="42" s="1"/>
  <c r="R158" i="42"/>
  <c r="R162" i="42" s="1"/>
  <c r="R205" i="42" s="1"/>
  <c r="R262" i="42"/>
  <c r="L48" i="45" s="1"/>
  <c r="P214" i="42"/>
  <c r="T146" i="42"/>
  <c r="T198" i="42" s="1"/>
  <c r="S204" i="42"/>
  <c r="S178" i="42"/>
  <c r="S212" i="42" s="1"/>
  <c r="S154" i="42"/>
  <c r="S235" i="42" s="1"/>
  <c r="S150" i="42"/>
  <c r="S210" i="42" s="1"/>
  <c r="S174" i="42"/>
  <c r="S211" i="42" s="1"/>
  <c r="R166" i="42"/>
  <c r="R206" i="42" s="1"/>
  <c r="U170" i="42"/>
  <c r="T207" i="42"/>
  <c r="I66" i="41"/>
  <c r="I46" i="41" s="1"/>
  <c r="F66" i="41"/>
  <c r="F46" i="41" s="1"/>
  <c r="G66" i="41"/>
  <c r="G46" i="41" s="1"/>
  <c r="L72" i="41"/>
  <c r="L91" i="41" s="1"/>
  <c r="O41" i="41"/>
  <c r="O77" i="41" s="1"/>
  <c r="O63" i="41"/>
  <c r="N42" i="41"/>
  <c r="N54" i="41" s="1"/>
  <c r="N62" i="41"/>
  <c r="M240" i="42" l="1"/>
  <c r="M248" i="42" s="1"/>
  <c r="M250" i="42" s="1"/>
  <c r="M267" i="42" s="1"/>
  <c r="T255" i="42"/>
  <c r="T232" i="42"/>
  <c r="R254" i="42"/>
  <c r="R234" i="42"/>
  <c r="L50" i="45" s="1"/>
  <c r="Q208" i="42"/>
  <c r="Q194" i="42" s="1"/>
  <c r="P223" i="42"/>
  <c r="S158" i="42"/>
  <c r="S262" i="42"/>
  <c r="M48" i="45" s="1"/>
  <c r="Q214" i="42"/>
  <c r="Q223" i="42" s="1"/>
  <c r="R208" i="42"/>
  <c r="S162" i="42"/>
  <c r="S205" i="42" s="1"/>
  <c r="V170" i="42"/>
  <c r="U207" i="42"/>
  <c r="U146" i="42"/>
  <c r="U198" i="42" s="1"/>
  <c r="T204" i="42"/>
  <c r="T150" i="42"/>
  <c r="T210" i="42" s="1"/>
  <c r="T174" i="42"/>
  <c r="T211" i="42" s="1"/>
  <c r="T178" i="42"/>
  <c r="T212" i="42" s="1"/>
  <c r="T154" i="42"/>
  <c r="T235" i="42" s="1"/>
  <c r="L74" i="41"/>
  <c r="L66" i="41"/>
  <c r="O42" i="41"/>
  <c r="O54" i="41" s="1"/>
  <c r="O62" i="41"/>
  <c r="M242" i="42" l="1"/>
  <c r="M185" i="42" s="1"/>
  <c r="M186" i="42" s="1"/>
  <c r="N246" i="42"/>
  <c r="U255" i="42"/>
  <c r="U232" i="42"/>
  <c r="R214" i="42"/>
  <c r="R223" i="42" s="1"/>
  <c r="R194" i="42"/>
  <c r="S254" i="42"/>
  <c r="S234" i="42"/>
  <c r="M50" i="45" s="1"/>
  <c r="S166" i="42"/>
  <c r="S206" i="42" s="1"/>
  <c r="S208" i="42" s="1"/>
  <c r="T158" i="42"/>
  <c r="T262" i="42"/>
  <c r="N48" i="45" s="1"/>
  <c r="V146" i="42"/>
  <c r="V198" i="42" s="1"/>
  <c r="U204" i="42"/>
  <c r="U150" i="42"/>
  <c r="U210" i="42" s="1"/>
  <c r="U174" i="42"/>
  <c r="U211" i="42" s="1"/>
  <c r="U178" i="42"/>
  <c r="U212" i="42" s="1"/>
  <c r="U154" i="42"/>
  <c r="U235" i="42" s="1"/>
  <c r="W170" i="42"/>
  <c r="W207" i="42" s="1"/>
  <c r="V207" i="42"/>
  <c r="L46" i="41"/>
  <c r="L47" i="41" s="1"/>
  <c r="L81" i="41"/>
  <c r="L87" i="41" s="1"/>
  <c r="L89" i="41" s="1"/>
  <c r="L93" i="41"/>
  <c r="M70" i="41"/>
  <c r="M95" i="41" s="1"/>
  <c r="N184" i="42" l="1"/>
  <c r="N188" i="42" s="1"/>
  <c r="N189" i="42" s="1"/>
  <c r="M192" i="42"/>
  <c r="M263" i="42" s="1"/>
  <c r="M265" i="42" s="1"/>
  <c r="M268" i="42" s="1"/>
  <c r="M195" i="42"/>
  <c r="N196" i="42" s="1"/>
  <c r="N215" i="42" s="1"/>
  <c r="N216" i="42" s="1"/>
  <c r="N218" i="42" s="1"/>
  <c r="N219" i="42" s="1"/>
  <c r="N221" i="42" s="1"/>
  <c r="N230" i="42" s="1"/>
  <c r="N233" i="42" s="1"/>
  <c r="N236" i="42" s="1"/>
  <c r="N239" i="42" s="1"/>
  <c r="N240" i="42" s="1"/>
  <c r="M191" i="42"/>
  <c r="M253" i="42" s="1"/>
  <c r="M257" i="42" s="1"/>
  <c r="T254" i="42"/>
  <c r="T234" i="42"/>
  <c r="N50" i="45" s="1"/>
  <c r="V255" i="42"/>
  <c r="V232" i="42"/>
  <c r="S214" i="42"/>
  <c r="S223" i="42" s="1"/>
  <c r="S194" i="42"/>
  <c r="T166" i="42"/>
  <c r="T206" i="42" s="1"/>
  <c r="T162" i="42"/>
  <c r="T205" i="42" s="1"/>
  <c r="U158" i="42"/>
  <c r="U262" i="42"/>
  <c r="O48" i="45" s="1"/>
  <c r="W146" i="42"/>
  <c r="W198" i="42" s="1"/>
  <c r="V150" i="42"/>
  <c r="V210" i="42" s="1"/>
  <c r="V204" i="42"/>
  <c r="V174" i="42"/>
  <c r="V211" i="42" s="1"/>
  <c r="V178" i="42"/>
  <c r="V212" i="42" s="1"/>
  <c r="V154" i="42"/>
  <c r="V235" i="42" s="1"/>
  <c r="U162" i="42"/>
  <c r="U205" i="42" s="1"/>
  <c r="L79" i="41"/>
  <c r="L82" i="41" s="1"/>
  <c r="L84" i="41" s="1"/>
  <c r="L85" i="41" s="1"/>
  <c r="M45" i="41"/>
  <c r="M50" i="41" s="1"/>
  <c r="M57" i="41" s="1"/>
  <c r="M58" i="41" s="1"/>
  <c r="M64" i="41" s="1"/>
  <c r="N224" i="42" l="1"/>
  <c r="M270" i="42"/>
  <c r="H27" i="45"/>
  <c r="H68" i="45" s="1"/>
  <c r="N227" i="42"/>
  <c r="M259" i="42"/>
  <c r="M272" i="42"/>
  <c r="M274" i="42" s="1"/>
  <c r="N247" i="42"/>
  <c r="N248" i="42"/>
  <c r="H30" i="45"/>
  <c r="H32" i="45" s="1"/>
  <c r="N242" i="42"/>
  <c r="N185" i="42" s="1"/>
  <c r="N186" i="42" s="1"/>
  <c r="O184" i="42" s="1"/>
  <c r="T208" i="42"/>
  <c r="T194" i="42" s="1"/>
  <c r="U254" i="42"/>
  <c r="U234" i="42"/>
  <c r="O50" i="45" s="1"/>
  <c r="W255" i="42"/>
  <c r="W232" i="42"/>
  <c r="U166" i="42"/>
  <c r="U206" i="42" s="1"/>
  <c r="U208" i="42" s="1"/>
  <c r="U194" i="42" s="1"/>
  <c r="V158" i="42"/>
  <c r="V166" i="42" s="1"/>
  <c r="V206" i="42" s="1"/>
  <c r="V262" i="42"/>
  <c r="P48" i="45" s="1"/>
  <c r="W204" i="42"/>
  <c r="W154" i="42"/>
  <c r="W235" i="42" s="1"/>
  <c r="W174" i="42"/>
  <c r="W211" i="42" s="1"/>
  <c r="W150" i="42"/>
  <c r="W210" i="42" s="1"/>
  <c r="W178" i="42"/>
  <c r="W212" i="42" s="1"/>
  <c r="M71" i="41"/>
  <c r="M61" i="41"/>
  <c r="N250" i="42" l="1"/>
  <c r="O246" i="42" s="1"/>
  <c r="H69" i="45"/>
  <c r="H79" i="45"/>
  <c r="H34" i="45"/>
  <c r="H58" i="45"/>
  <c r="T214" i="42"/>
  <c r="T223" i="42" s="1"/>
  <c r="N267" i="42"/>
  <c r="H28" i="45" s="1"/>
  <c r="N192" i="42"/>
  <c r="N263" i="42" s="1"/>
  <c r="N191" i="42"/>
  <c r="N253" i="42" s="1"/>
  <c r="N257" i="42" s="1"/>
  <c r="N259" i="42" s="1"/>
  <c r="N195" i="42"/>
  <c r="O188" i="42"/>
  <c r="O189" i="42" s="1"/>
  <c r="V254" i="42"/>
  <c r="V234" i="42"/>
  <c r="P50" i="45" s="1"/>
  <c r="V162" i="42"/>
  <c r="V205" i="42" s="1"/>
  <c r="V208" i="42" s="1"/>
  <c r="V194" i="42" s="1"/>
  <c r="W158" i="42"/>
  <c r="W166" i="42" s="1"/>
  <c r="W206" i="42" s="1"/>
  <c r="W262" i="42"/>
  <c r="U214" i="42"/>
  <c r="M72" i="41"/>
  <c r="M91" i="41" s="1"/>
  <c r="Q48" i="45" l="1"/>
  <c r="R48" i="45"/>
  <c r="S48" i="45"/>
  <c r="T48" i="45"/>
  <c r="U48" i="45"/>
  <c r="V48" i="45"/>
  <c r="W48" i="45"/>
  <c r="X48" i="45"/>
  <c r="Y48" i="45"/>
  <c r="Z48" i="45"/>
  <c r="AA48" i="45"/>
  <c r="N272" i="42"/>
  <c r="N274" i="42" s="1"/>
  <c r="H41" i="45"/>
  <c r="N265" i="42"/>
  <c r="N268" i="42" s="1"/>
  <c r="O196" i="42"/>
  <c r="O215" i="42" s="1"/>
  <c r="O216" i="42" s="1"/>
  <c r="O218" i="42" s="1"/>
  <c r="O219" i="42" s="1"/>
  <c r="O221" i="42" s="1"/>
  <c r="W254" i="42"/>
  <c r="W234" i="42"/>
  <c r="W162" i="42"/>
  <c r="W205" i="42" s="1"/>
  <c r="W208" i="42" s="1"/>
  <c r="U223" i="42"/>
  <c r="V214" i="42"/>
  <c r="M74" i="41"/>
  <c r="M66" i="41"/>
  <c r="M46" i="41" s="1"/>
  <c r="M47" i="41" s="1"/>
  <c r="N45" i="41" s="1"/>
  <c r="N50" i="41" s="1"/>
  <c r="N57" i="41" s="1"/>
  <c r="N58" i="41" s="1"/>
  <c r="N64" i="41" s="1"/>
  <c r="H43" i="45" l="1"/>
  <c r="Q50" i="45"/>
  <c r="R50" i="45"/>
  <c r="S50" i="45"/>
  <c r="T50" i="45"/>
  <c r="U50" i="45"/>
  <c r="V50" i="45"/>
  <c r="W50" i="45"/>
  <c r="X50" i="45"/>
  <c r="Y50" i="45"/>
  <c r="Z50" i="45"/>
  <c r="AA50" i="45"/>
  <c r="I27" i="45"/>
  <c r="I68" i="45" s="1"/>
  <c r="N270" i="42"/>
  <c r="N271" i="42" s="1"/>
  <c r="O224" i="42"/>
  <c r="O230" i="42"/>
  <c r="O233" i="42" s="1"/>
  <c r="O236" i="42" s="1"/>
  <c r="O239" i="42" s="1"/>
  <c r="O240" i="42" s="1"/>
  <c r="O227" i="42"/>
  <c r="O247" i="42"/>
  <c r="W214" i="42"/>
  <c r="W223" i="42" s="1"/>
  <c r="W194" i="42"/>
  <c r="V223" i="42"/>
  <c r="M79" i="41"/>
  <c r="M81" i="41"/>
  <c r="M87" i="41" s="1"/>
  <c r="M89" i="41" s="1"/>
  <c r="N70" i="41"/>
  <c r="N95" i="41" s="1"/>
  <c r="M93" i="41"/>
  <c r="N61" i="41"/>
  <c r="N72" i="41" s="1"/>
  <c r="N71" i="41"/>
  <c r="I48" i="1"/>
  <c r="I49" i="1"/>
  <c r="I50" i="1"/>
  <c r="I51" i="1"/>
  <c r="I52" i="1"/>
  <c r="I53" i="1"/>
  <c r="I54" i="1"/>
  <c r="I47" i="1"/>
  <c r="N91" i="41" l="1"/>
  <c r="H45" i="45"/>
  <c r="H46" i="45" s="1"/>
  <c r="I69" i="45"/>
  <c r="I79" i="45"/>
  <c r="O248" i="42"/>
  <c r="O250" i="42" s="1"/>
  <c r="P246" i="42" s="1"/>
  <c r="I30" i="45"/>
  <c r="I32" i="45" s="1"/>
  <c r="O242" i="42"/>
  <c r="O185" i="42" s="1"/>
  <c r="O186" i="42" s="1"/>
  <c r="O192" i="42" s="1"/>
  <c r="O263" i="42" s="1"/>
  <c r="M82" i="41"/>
  <c r="M84" i="41" s="1"/>
  <c r="M85" i="41" s="1"/>
  <c r="N74" i="41"/>
  <c r="N81" i="41" s="1"/>
  <c r="N87" i="41" s="1"/>
  <c r="N89" i="41" s="1"/>
  <c r="N66" i="41"/>
  <c r="N46" i="41" s="1"/>
  <c r="G58" i="40"/>
  <c r="H58" i="40"/>
  <c r="I58" i="40"/>
  <c r="J58" i="40"/>
  <c r="K58" i="40"/>
  <c r="L58" i="40"/>
  <c r="M58" i="40"/>
  <c r="N58" i="40"/>
  <c r="O58" i="40"/>
  <c r="F58" i="40"/>
  <c r="F66" i="40"/>
  <c r="O3" i="40"/>
  <c r="N3" i="40"/>
  <c r="M3" i="40"/>
  <c r="L3" i="40"/>
  <c r="K3" i="40"/>
  <c r="J3" i="40"/>
  <c r="I3" i="40"/>
  <c r="H3" i="40"/>
  <c r="G3" i="40"/>
  <c r="F3" i="40"/>
  <c r="I34" i="45" l="1"/>
  <c r="I58" i="45"/>
  <c r="O267" i="42"/>
  <c r="I28" i="45" s="1"/>
  <c r="P184" i="42"/>
  <c r="P188" i="42" s="1"/>
  <c r="P189" i="42" s="1"/>
  <c r="O191" i="42"/>
  <c r="O253" i="42" s="1"/>
  <c r="O257" i="42" s="1"/>
  <c r="O259" i="42" s="1"/>
  <c r="O195" i="42"/>
  <c r="P196" i="42" s="1"/>
  <c r="P215" i="42" s="1"/>
  <c r="P216" i="42" s="1"/>
  <c r="P218" i="42" s="1"/>
  <c r="O70" i="41"/>
  <c r="O95" i="41" s="1"/>
  <c r="N93" i="41"/>
  <c r="N47" i="41"/>
  <c r="G47" i="40"/>
  <c r="G53" i="40" s="1"/>
  <c r="G44" i="40"/>
  <c r="K44" i="40"/>
  <c r="K47" i="40"/>
  <c r="K53" i="40" s="1"/>
  <c r="J47" i="40"/>
  <c r="J53" i="40" s="1"/>
  <c r="J44" i="40"/>
  <c r="H47" i="40"/>
  <c r="H53" i="40" s="1"/>
  <c r="H44" i="40"/>
  <c r="F47" i="40"/>
  <c r="F53" i="40" s="1"/>
  <c r="F44" i="40"/>
  <c r="I47" i="40"/>
  <c r="I53" i="40" s="1"/>
  <c r="I44" i="40"/>
  <c r="F36" i="40"/>
  <c r="F73" i="40" s="1"/>
  <c r="F33" i="40"/>
  <c r="F32" i="40"/>
  <c r="F84" i="40" s="1"/>
  <c r="N29" i="40"/>
  <c r="N31" i="40"/>
  <c r="N46" i="40" s="1"/>
  <c r="N33" i="40"/>
  <c r="N32" i="40"/>
  <c r="N84" i="40" s="1"/>
  <c r="O29" i="40"/>
  <c r="O33" i="40"/>
  <c r="O31" i="40"/>
  <c r="O46" i="40" s="1"/>
  <c r="O32" i="40"/>
  <c r="O84" i="40" s="1"/>
  <c r="H36" i="40"/>
  <c r="H73" i="40" s="1"/>
  <c r="H33" i="40"/>
  <c r="H32" i="40"/>
  <c r="H84" i="40" s="1"/>
  <c r="H31" i="40"/>
  <c r="H46" i="40" s="1"/>
  <c r="L31" i="40"/>
  <c r="L46" i="40" s="1"/>
  <c r="L32" i="40"/>
  <c r="L84" i="40" s="1"/>
  <c r="L33" i="40"/>
  <c r="J32" i="40"/>
  <c r="J84" i="40" s="1"/>
  <c r="J33" i="40"/>
  <c r="J31" i="40"/>
  <c r="J46" i="40" s="1"/>
  <c r="G26" i="40"/>
  <c r="G33" i="40"/>
  <c r="G31" i="40"/>
  <c r="G46" i="40" s="1"/>
  <c r="G32" i="40"/>
  <c r="G84" i="40" s="1"/>
  <c r="K26" i="40"/>
  <c r="K33" i="40"/>
  <c r="K32" i="40"/>
  <c r="K84" i="40" s="1"/>
  <c r="K31" i="40"/>
  <c r="K46" i="40" s="1"/>
  <c r="I70" i="40"/>
  <c r="I77" i="40" s="1"/>
  <c r="I32" i="40"/>
  <c r="I84" i="40" s="1"/>
  <c r="I33" i="40"/>
  <c r="I31" i="40"/>
  <c r="I46" i="40" s="1"/>
  <c r="M29" i="40"/>
  <c r="M32" i="40"/>
  <c r="M84" i="40" s="1"/>
  <c r="M33" i="40"/>
  <c r="M31" i="40"/>
  <c r="M46" i="40" s="1"/>
  <c r="K36" i="40"/>
  <c r="K73" i="40" s="1"/>
  <c r="G36" i="40"/>
  <c r="I29" i="40"/>
  <c r="L29" i="40"/>
  <c r="H27" i="40"/>
  <c r="H29" i="40"/>
  <c r="H38" i="40" s="1"/>
  <c r="J70" i="40"/>
  <c r="K66" i="40" s="1"/>
  <c r="I26" i="40"/>
  <c r="K27" i="40"/>
  <c r="G27" i="40"/>
  <c r="J36" i="40"/>
  <c r="J73" i="40" s="1"/>
  <c r="K29" i="40"/>
  <c r="G29" i="40"/>
  <c r="H70" i="40"/>
  <c r="F26" i="40"/>
  <c r="F37" i="40" s="1"/>
  <c r="F51" i="40" s="1"/>
  <c r="H26" i="40"/>
  <c r="J27" i="40"/>
  <c r="I36" i="40"/>
  <c r="I73" i="40" s="1"/>
  <c r="J29" i="40"/>
  <c r="K70" i="40"/>
  <c r="G70" i="40"/>
  <c r="J26" i="40"/>
  <c r="I27" i="40"/>
  <c r="XFD88" i="15"/>
  <c r="I99" i="15"/>
  <c r="J99" i="15" s="1"/>
  <c r="K99" i="15" s="1"/>
  <c r="M29" i="19"/>
  <c r="M28" i="19"/>
  <c r="M27" i="19"/>
  <c r="N27" i="19" s="1"/>
  <c r="M26" i="19"/>
  <c r="N26" i="19" s="1"/>
  <c r="M25" i="19"/>
  <c r="M24" i="19"/>
  <c r="M23" i="19"/>
  <c r="N23" i="19" s="1"/>
  <c r="M22" i="19"/>
  <c r="N22" i="19" s="1"/>
  <c r="K29" i="19"/>
  <c r="K28" i="19"/>
  <c r="K27" i="19"/>
  <c r="L27" i="19" s="1"/>
  <c r="K26" i="19"/>
  <c r="L26" i="19" s="1"/>
  <c r="K25" i="19"/>
  <c r="K24" i="19"/>
  <c r="K23" i="19"/>
  <c r="L23" i="19" s="1"/>
  <c r="K22" i="19"/>
  <c r="L22" i="19" s="1"/>
  <c r="J28" i="19"/>
  <c r="J26" i="19"/>
  <c r="J24" i="19"/>
  <c r="J22" i="19"/>
  <c r="H29" i="19"/>
  <c r="H25" i="19"/>
  <c r="H22" i="19"/>
  <c r="F25" i="19"/>
  <c r="F26" i="19"/>
  <c r="F29" i="19"/>
  <c r="F22" i="19"/>
  <c r="N24" i="19"/>
  <c r="N25" i="19"/>
  <c r="N28" i="19"/>
  <c r="N29" i="19"/>
  <c r="L24" i="19"/>
  <c r="L25" i="19"/>
  <c r="L28" i="19"/>
  <c r="L29" i="19"/>
  <c r="J23" i="19"/>
  <c r="J25" i="19"/>
  <c r="J27" i="19"/>
  <c r="J29" i="19"/>
  <c r="H23" i="19"/>
  <c r="H24" i="19"/>
  <c r="H26" i="19"/>
  <c r="H27" i="19"/>
  <c r="H28" i="19"/>
  <c r="F23" i="19"/>
  <c r="F24" i="19"/>
  <c r="F27" i="19"/>
  <c r="F28" i="19"/>
  <c r="M21" i="19"/>
  <c r="N21" i="19" s="1"/>
  <c r="M20" i="19"/>
  <c r="N20" i="19" s="1"/>
  <c r="M19" i="19"/>
  <c r="N19" i="19" s="1"/>
  <c r="M18" i="19"/>
  <c r="N18" i="19" s="1"/>
  <c r="M17" i="19"/>
  <c r="N17" i="19" s="1"/>
  <c r="M16" i="19"/>
  <c r="N16" i="19" s="1"/>
  <c r="M15" i="19"/>
  <c r="N15" i="19" s="1"/>
  <c r="N32" i="19" s="1"/>
  <c r="M14" i="19"/>
  <c r="N14" i="19" s="1"/>
  <c r="K21" i="19"/>
  <c r="L21" i="19" s="1"/>
  <c r="K20" i="19"/>
  <c r="L20" i="19" s="1"/>
  <c r="K19" i="19"/>
  <c r="L19" i="19" s="1"/>
  <c r="K18" i="19"/>
  <c r="L18" i="19" s="1"/>
  <c r="K17" i="19"/>
  <c r="L17" i="19" s="1"/>
  <c r="K16" i="19"/>
  <c r="L16" i="19" s="1"/>
  <c r="K15" i="19"/>
  <c r="L15" i="19" s="1"/>
  <c r="L32" i="19" s="1"/>
  <c r="K14" i="19"/>
  <c r="L14" i="19" s="1"/>
  <c r="J21" i="19"/>
  <c r="J20" i="19"/>
  <c r="J19" i="19"/>
  <c r="J18" i="19"/>
  <c r="J17" i="19"/>
  <c r="J16" i="19"/>
  <c r="J15" i="19"/>
  <c r="J14" i="19"/>
  <c r="H21" i="19"/>
  <c r="H20" i="19"/>
  <c r="H19" i="19"/>
  <c r="H18" i="19"/>
  <c r="H17" i="19"/>
  <c r="H16" i="19"/>
  <c r="H15" i="19"/>
  <c r="H32" i="19" s="1"/>
  <c r="H14" i="19"/>
  <c r="E32" i="19"/>
  <c r="F9" i="13" s="1"/>
  <c r="F16" i="19"/>
  <c r="F17" i="19"/>
  <c r="F18" i="19"/>
  <c r="F19" i="19"/>
  <c r="F20" i="19"/>
  <c r="F21" i="19"/>
  <c r="F14" i="19"/>
  <c r="G32" i="19"/>
  <c r="F10" i="13" s="1"/>
  <c r="F11" i="13"/>
  <c r="K32" i="19"/>
  <c r="F12" i="13" s="1"/>
  <c r="F16" i="13"/>
  <c r="O32" i="19"/>
  <c r="P32" i="19"/>
  <c r="Q32" i="19"/>
  <c r="R32" i="19"/>
  <c r="F12" i="19"/>
  <c r="F13" i="19"/>
  <c r="M192" i="14"/>
  <c r="N192" i="14"/>
  <c r="H187" i="14"/>
  <c r="O272" i="42" l="1"/>
  <c r="O274" i="42" s="1"/>
  <c r="I41" i="45"/>
  <c r="O265" i="42"/>
  <c r="O268" i="42" s="1"/>
  <c r="P219" i="42"/>
  <c r="P221" i="42" s="1"/>
  <c r="N79" i="41"/>
  <c r="N82" i="41" s="1"/>
  <c r="N84" i="41" s="1"/>
  <c r="N85" i="41" s="1"/>
  <c r="O45" i="41"/>
  <c r="O50" i="41" s="1"/>
  <c r="O57" i="41" s="1"/>
  <c r="O58" i="41" s="1"/>
  <c r="O64" i="41" s="1"/>
  <c r="L42" i="40"/>
  <c r="L47" i="40" s="1"/>
  <c r="L53" i="40" s="1"/>
  <c r="K75" i="40"/>
  <c r="G42" i="40"/>
  <c r="F75" i="40"/>
  <c r="K42" i="40"/>
  <c r="J75" i="40"/>
  <c r="H42" i="40"/>
  <c r="G75" i="40"/>
  <c r="J42" i="40"/>
  <c r="I75" i="40"/>
  <c r="I42" i="40"/>
  <c r="H75" i="40"/>
  <c r="K38" i="40"/>
  <c r="K76" i="40" s="1"/>
  <c r="L36" i="40"/>
  <c r="M36" i="40" s="1"/>
  <c r="N36" i="40" s="1"/>
  <c r="O36" i="40" s="1"/>
  <c r="O73" i="40" s="1"/>
  <c r="G37" i="40"/>
  <c r="G51" i="40" s="1"/>
  <c r="G73" i="40"/>
  <c r="K37" i="40"/>
  <c r="K51" i="40" s="1"/>
  <c r="H39" i="40"/>
  <c r="H52" i="40" s="1"/>
  <c r="H76" i="40"/>
  <c r="M26" i="40"/>
  <c r="J37" i="40"/>
  <c r="J51" i="40" s="1"/>
  <c r="L26" i="40"/>
  <c r="G38" i="40"/>
  <c r="H59" i="40" s="1"/>
  <c r="N26" i="40"/>
  <c r="H37" i="40"/>
  <c r="H51" i="40" s="1"/>
  <c r="O26" i="40"/>
  <c r="J38" i="40"/>
  <c r="I37" i="40"/>
  <c r="I51" i="40" s="1"/>
  <c r="I38" i="40"/>
  <c r="F15" i="19"/>
  <c r="F32" i="19" s="1"/>
  <c r="J77" i="40"/>
  <c r="J66" i="40"/>
  <c r="L66" i="40"/>
  <c r="K77" i="40"/>
  <c r="I66" i="40"/>
  <c r="H77" i="40"/>
  <c r="H66" i="40"/>
  <c r="G77" i="40"/>
  <c r="I83" i="40"/>
  <c r="B9" i="21"/>
  <c r="I43" i="45" l="1"/>
  <c r="J27" i="45"/>
  <c r="J68" i="45" s="1"/>
  <c r="O270" i="42"/>
  <c r="O271" i="42" s="1"/>
  <c r="P247" i="42"/>
  <c r="P227" i="42"/>
  <c r="P230" i="42"/>
  <c r="P233" i="42" s="1"/>
  <c r="P236" i="42" s="1"/>
  <c r="P239" i="42" s="1"/>
  <c r="P240" i="42" s="1"/>
  <c r="P224" i="42"/>
  <c r="O61" i="41"/>
  <c r="O72" i="41" s="1"/>
  <c r="O91" i="41" s="1"/>
  <c r="O71" i="41"/>
  <c r="H54" i="40"/>
  <c r="H61" i="40" s="1"/>
  <c r="M38" i="40"/>
  <c r="M76" i="40" s="1"/>
  <c r="L37" i="40"/>
  <c r="L51" i="40" s="1"/>
  <c r="H78" i="40"/>
  <c r="H80" i="40" s="1"/>
  <c r="H81" i="40" s="1"/>
  <c r="K78" i="40"/>
  <c r="K80" i="40" s="1"/>
  <c r="K81" i="40" s="1"/>
  <c r="K39" i="40"/>
  <c r="K52" i="40" s="1"/>
  <c r="K54" i="40" s="1"/>
  <c r="K61" i="40" s="1"/>
  <c r="L38" i="40"/>
  <c r="M73" i="40"/>
  <c r="M37" i="40"/>
  <c r="M51" i="40" s="1"/>
  <c r="N37" i="40"/>
  <c r="N51" i="40" s="1"/>
  <c r="L73" i="40"/>
  <c r="N38" i="40"/>
  <c r="N73" i="40"/>
  <c r="H57" i="40"/>
  <c r="G76" i="40"/>
  <c r="G39" i="40"/>
  <c r="G52" i="40" s="1"/>
  <c r="G54" i="40" s="1"/>
  <c r="G61" i="40" s="1"/>
  <c r="J76" i="40"/>
  <c r="J39" i="40"/>
  <c r="J52" i="40" s="1"/>
  <c r="J54" i="40" s="1"/>
  <c r="J61" i="40" s="1"/>
  <c r="K59" i="40"/>
  <c r="J59" i="40"/>
  <c r="I76" i="40"/>
  <c r="I59" i="40"/>
  <c r="I39" i="40"/>
  <c r="I52" i="40" s="1"/>
  <c r="O37" i="40"/>
  <c r="O51" i="40" s="1"/>
  <c r="O38" i="40"/>
  <c r="K83" i="40"/>
  <c r="H83" i="40"/>
  <c r="G83" i="40"/>
  <c r="J83" i="40"/>
  <c r="I45" i="45" l="1"/>
  <c r="I46" i="45" s="1"/>
  <c r="J69" i="45"/>
  <c r="J79" i="45"/>
  <c r="P248" i="42"/>
  <c r="P250" i="42" s="1"/>
  <c r="P267" i="42" s="1"/>
  <c r="J28" i="45" s="1"/>
  <c r="J30" i="45"/>
  <c r="J32" i="45" s="1"/>
  <c r="J58" i="45" s="1"/>
  <c r="P242" i="42"/>
  <c r="P185" i="42" s="1"/>
  <c r="P186" i="42" s="1"/>
  <c r="P192" i="42" s="1"/>
  <c r="P263" i="42" s="1"/>
  <c r="O66" i="41"/>
  <c r="O46" i="41" s="1"/>
  <c r="O47" i="41" s="1"/>
  <c r="O79" i="41" s="1"/>
  <c r="O74" i="41"/>
  <c r="O81" i="41" s="1"/>
  <c r="O87" i="41" s="1"/>
  <c r="O89" i="41" s="1"/>
  <c r="M59" i="40"/>
  <c r="G78" i="40"/>
  <c r="G80" i="40" s="1"/>
  <c r="G81" i="40" s="1"/>
  <c r="J80" i="40"/>
  <c r="J81" i="40" s="1"/>
  <c r="J78" i="40"/>
  <c r="I78" i="40"/>
  <c r="I80" i="40" s="1"/>
  <c r="I81" i="40" s="1"/>
  <c r="J67" i="40"/>
  <c r="I54" i="40"/>
  <c r="I61" i="40" s="1"/>
  <c r="H62" i="40"/>
  <c r="H43" i="40" s="1"/>
  <c r="K67" i="40"/>
  <c r="L76" i="40"/>
  <c r="L59" i="40"/>
  <c r="K57" i="40"/>
  <c r="K62" i="40" s="1"/>
  <c r="K43" i="40" s="1"/>
  <c r="H67" i="40"/>
  <c r="N76" i="40"/>
  <c r="N59" i="40"/>
  <c r="J57" i="40"/>
  <c r="J62" i="40" s="1"/>
  <c r="J43" i="40" s="1"/>
  <c r="G67" i="40"/>
  <c r="G57" i="40"/>
  <c r="H68" i="40"/>
  <c r="H87" i="40" s="1"/>
  <c r="O76" i="40"/>
  <c r="O59" i="40"/>
  <c r="J41" i="45" l="1"/>
  <c r="J34" i="45"/>
  <c r="P195" i="42"/>
  <c r="Q196" i="42" s="1"/>
  <c r="Q215" i="42" s="1"/>
  <c r="Q216" i="42" s="1"/>
  <c r="Q218" i="42" s="1"/>
  <c r="Q219" i="42" s="1"/>
  <c r="Q221" i="42" s="1"/>
  <c r="P191" i="42"/>
  <c r="P253" i="42" s="1"/>
  <c r="P257" i="42" s="1"/>
  <c r="P259" i="42" s="1"/>
  <c r="Q184" i="42"/>
  <c r="Q188" i="42" s="1"/>
  <c r="Q189" i="42" s="1"/>
  <c r="Q246" i="42"/>
  <c r="P265" i="42"/>
  <c r="P268" i="42" s="1"/>
  <c r="O82" i="41"/>
  <c r="O84" i="41" s="1"/>
  <c r="O85" i="41" s="1"/>
  <c r="E85" i="41" s="1"/>
  <c r="O93" i="41"/>
  <c r="I67" i="40"/>
  <c r="I57" i="40"/>
  <c r="I62" i="40" s="1"/>
  <c r="I43" i="40" s="1"/>
  <c r="I68" i="40"/>
  <c r="I87" i="40" s="1"/>
  <c r="J68" i="40"/>
  <c r="J87" i="40" s="1"/>
  <c r="K68" i="40"/>
  <c r="K87" i="40" s="1"/>
  <c r="J43" i="45" l="1"/>
  <c r="P270" i="42"/>
  <c r="P271" i="42" s="1"/>
  <c r="K27" i="45"/>
  <c r="K68" i="45" s="1"/>
  <c r="P272" i="42"/>
  <c r="P274" i="42" s="1"/>
  <c r="Q224" i="42"/>
  <c r="Q227" i="42"/>
  <c r="Q230" i="42"/>
  <c r="Q233" i="42" s="1"/>
  <c r="Q236" i="42" s="1"/>
  <c r="Q239" i="42" s="1"/>
  <c r="Q240" i="42" s="1"/>
  <c r="Q247" i="42"/>
  <c r="E10" i="6"/>
  <c r="F13" i="6" s="1"/>
  <c r="F4" i="6"/>
  <c r="F33" i="22"/>
  <c r="F63" i="22"/>
  <c r="G30" i="22"/>
  <c r="H30" i="22"/>
  <c r="I30" i="22"/>
  <c r="J30" i="22"/>
  <c r="K30" i="22"/>
  <c r="L30" i="22"/>
  <c r="M30" i="22"/>
  <c r="N30" i="22"/>
  <c r="O30" i="22"/>
  <c r="F30" i="22"/>
  <c r="J45" i="45" l="1"/>
  <c r="J46" i="45" s="1"/>
  <c r="K69" i="45"/>
  <c r="K79" i="45"/>
  <c r="Q248" i="42"/>
  <c r="Q250" i="42" s="1"/>
  <c r="K30" i="45"/>
  <c r="K32" i="45" s="1"/>
  <c r="K58" i="45" s="1"/>
  <c r="Q242" i="42"/>
  <c r="Q185" i="42" s="1"/>
  <c r="Q186" i="42" s="1"/>
  <c r="Q192" i="42" s="1"/>
  <c r="Q263" i="42" s="1"/>
  <c r="R246" i="42" l="1"/>
  <c r="Q267" i="42"/>
  <c r="K34" i="45"/>
  <c r="Q195" i="42"/>
  <c r="Q265" i="42" s="1"/>
  <c r="Q191" i="42"/>
  <c r="Q253" i="42" s="1"/>
  <c r="Q257" i="42" s="1"/>
  <c r="Q259" i="42" s="1"/>
  <c r="R184" i="42"/>
  <c r="R188" i="42" s="1"/>
  <c r="R189" i="42" s="1"/>
  <c r="K41" i="45" l="1"/>
  <c r="K43" i="45" s="1"/>
  <c r="K28" i="45"/>
  <c r="Q268" i="42"/>
  <c r="Q270" i="42" s="1"/>
  <c r="Q271" i="42" s="1"/>
  <c r="Q272" i="42"/>
  <c r="Q274" i="42" s="1"/>
  <c r="R196" i="42"/>
  <c r="R215" i="42" s="1"/>
  <c r="R216" i="42" s="1"/>
  <c r="R218" i="42" s="1"/>
  <c r="R219" i="42" s="1"/>
  <c r="R221" i="42" s="1"/>
  <c r="R247" i="42" l="1"/>
  <c r="L27" i="45"/>
  <c r="L68" i="45" s="1"/>
  <c r="R224" i="42"/>
  <c r="R230" i="42"/>
  <c r="R233" i="42" s="1"/>
  <c r="R236" i="42" s="1"/>
  <c r="R239" i="42" s="1"/>
  <c r="R240" i="42" s="1"/>
  <c r="R227" i="42"/>
  <c r="K45" i="45" l="1"/>
  <c r="K46" i="45" s="1"/>
  <c r="L69" i="45"/>
  <c r="L79" i="45"/>
  <c r="R248" i="42"/>
  <c r="R250" i="42" s="1"/>
  <c r="R267" i="42" s="1"/>
  <c r="L28" i="45" s="1"/>
  <c r="L30" i="45"/>
  <c r="L32" i="45" s="1"/>
  <c r="R242" i="42"/>
  <c r="R185" i="42" s="1"/>
  <c r="R186" i="42" s="1"/>
  <c r="R192" i="42" s="1"/>
  <c r="R263" i="42" s="1"/>
  <c r="L34" i="45" l="1"/>
  <c r="S246" i="42"/>
  <c r="L41" i="45"/>
  <c r="R191" i="42"/>
  <c r="R253" i="42" s="1"/>
  <c r="R257" i="42" s="1"/>
  <c r="R259" i="42" s="1"/>
  <c r="S184" i="42"/>
  <c r="S188" i="42" s="1"/>
  <c r="S189" i="42" s="1"/>
  <c r="R195" i="42"/>
  <c r="L43" i="45" l="1"/>
  <c r="R272" i="42"/>
  <c r="R274" i="42" s="1"/>
  <c r="S196" i="42"/>
  <c r="S215" i="42" s="1"/>
  <c r="S216" i="42" s="1"/>
  <c r="S218" i="42" s="1"/>
  <c r="S219" i="42" s="1"/>
  <c r="S221" i="42" s="1"/>
  <c r="R265" i="42"/>
  <c r="R268" i="42" s="1"/>
  <c r="M27" i="45" l="1"/>
  <c r="M68" i="45" s="1"/>
  <c r="R270" i="42"/>
  <c r="R271" i="42" s="1"/>
  <c r="S247" i="42"/>
  <c r="S224" i="42"/>
  <c r="S227" i="42"/>
  <c r="S230" i="42"/>
  <c r="S233" i="42" s="1"/>
  <c r="S236" i="42" s="1"/>
  <c r="S239" i="42" s="1"/>
  <c r="L45" i="45" l="1"/>
  <c r="L46" i="45" s="1"/>
  <c r="M69" i="45"/>
  <c r="M79" i="45"/>
  <c r="S240" i="42"/>
  <c r="S242" i="42" s="1"/>
  <c r="S185" i="42" s="1"/>
  <c r="S186" i="42" s="1"/>
  <c r="M30" i="45" l="1"/>
  <c r="M32" i="45" s="1"/>
  <c r="M58" i="45" s="1"/>
  <c r="S248" i="42"/>
  <c r="S250" i="42" s="1"/>
  <c r="T246" i="42" s="1"/>
  <c r="M34" i="45"/>
  <c r="S192" i="42"/>
  <c r="S263" i="42" s="1"/>
  <c r="S265" i="42" s="1"/>
  <c r="T184" i="42"/>
  <c r="T188" i="42" s="1"/>
  <c r="T189" i="42" s="1"/>
  <c r="S191" i="42"/>
  <c r="S253" i="42" s="1"/>
  <c r="S257" i="42" s="1"/>
  <c r="S259" i="42" s="1"/>
  <c r="S195" i="42"/>
  <c r="T196" i="42" s="1"/>
  <c r="T215" i="42" s="1"/>
  <c r="T216" i="42" s="1"/>
  <c r="T218" i="42" s="1"/>
  <c r="T219" i="42" s="1"/>
  <c r="T221" i="42" s="1"/>
  <c r="S267" i="42" l="1"/>
  <c r="N27" i="45"/>
  <c r="N68" i="45" s="1"/>
  <c r="T247" i="42"/>
  <c r="T227" i="42"/>
  <c r="T224" i="42"/>
  <c r="T230" i="42"/>
  <c r="T233" i="42" s="1"/>
  <c r="T236" i="42" s="1"/>
  <c r="T239" i="42" s="1"/>
  <c r="T240" i="42" s="1"/>
  <c r="M41" i="45" l="1"/>
  <c r="M43" i="45" s="1"/>
  <c r="M28" i="45"/>
  <c r="S272" i="42"/>
  <c r="S274" i="42" s="1"/>
  <c r="S268" i="42"/>
  <c r="N69" i="45"/>
  <c r="N79" i="45"/>
  <c r="T248" i="42"/>
  <c r="T250" i="42" s="1"/>
  <c r="T267" i="42" s="1"/>
  <c r="N28" i="45" s="1"/>
  <c r="N30" i="45"/>
  <c r="N32" i="45" s="1"/>
  <c r="N58" i="45" s="1"/>
  <c r="T242" i="42"/>
  <c r="T185" i="42" s="1"/>
  <c r="T186" i="42" s="1"/>
  <c r="T195" i="42" s="1"/>
  <c r="S270" i="42" l="1"/>
  <c r="S271" i="42" s="1"/>
  <c r="N34" i="45"/>
  <c r="N41" i="45"/>
  <c r="U246" i="42"/>
  <c r="U184" i="42"/>
  <c r="U188" i="42" s="1"/>
  <c r="U189" i="42" s="1"/>
  <c r="T191" i="42"/>
  <c r="T253" i="42" s="1"/>
  <c r="T257" i="42" s="1"/>
  <c r="T259" i="42" s="1"/>
  <c r="T192" i="42"/>
  <c r="T263" i="42" s="1"/>
  <c r="T265" i="42" s="1"/>
  <c r="T268" i="42" s="1"/>
  <c r="U196" i="42"/>
  <c r="U215" i="42" s="1"/>
  <c r="U216" i="42" s="1"/>
  <c r="U218" i="42" s="1"/>
  <c r="N43" i="45" l="1"/>
  <c r="M45" i="45"/>
  <c r="M46" i="45" s="1"/>
  <c r="T270" i="42"/>
  <c r="T271" i="42" s="1"/>
  <c r="T272" i="42"/>
  <c r="T274" i="42" s="1"/>
  <c r="U219" i="42"/>
  <c r="U221" i="42" s="1"/>
  <c r="G34" i="22"/>
  <c r="G56" i="22" s="1"/>
  <c r="H34" i="22"/>
  <c r="H56" i="22" s="1"/>
  <c r="I34" i="22"/>
  <c r="I56" i="22" s="1"/>
  <c r="J34" i="22"/>
  <c r="J56" i="22" s="1"/>
  <c r="K34" i="22"/>
  <c r="K56" i="22" s="1"/>
  <c r="L34" i="22"/>
  <c r="L56" i="22" s="1"/>
  <c r="M34" i="22"/>
  <c r="M56" i="22" s="1"/>
  <c r="N34" i="22"/>
  <c r="N56" i="22" s="1"/>
  <c r="O34" i="22"/>
  <c r="O56" i="22" s="1"/>
  <c r="F34" i="22"/>
  <c r="F56" i="22" s="1"/>
  <c r="G26" i="22"/>
  <c r="H26" i="22"/>
  <c r="I26" i="22"/>
  <c r="L26" i="22" s="1"/>
  <c r="J26" i="22"/>
  <c r="K26" i="22"/>
  <c r="N26" i="22"/>
  <c r="F26" i="22"/>
  <c r="N12" i="19"/>
  <c r="N13" i="19"/>
  <c r="L12" i="19"/>
  <c r="L13" i="19"/>
  <c r="J12" i="19"/>
  <c r="J32" i="19" s="1"/>
  <c r="J13" i="19"/>
  <c r="E91" i="13"/>
  <c r="H12" i="19"/>
  <c r="H13" i="19"/>
  <c r="D29" i="19"/>
  <c r="D28" i="19"/>
  <c r="D27" i="19"/>
  <c r="N11" i="19"/>
  <c r="L11" i="19"/>
  <c r="J11" i="19"/>
  <c r="H11" i="19"/>
  <c r="F11" i="19"/>
  <c r="E46" i="6"/>
  <c r="M26" i="22" l="1"/>
  <c r="O26" i="22"/>
  <c r="N45" i="45"/>
  <c r="N46" i="45" s="1"/>
  <c r="O27" i="45"/>
  <c r="O68" i="45" s="1"/>
  <c r="U227" i="42"/>
  <c r="U224" i="42"/>
  <c r="U230" i="42"/>
  <c r="U233" i="42" s="1"/>
  <c r="U236" i="42" s="1"/>
  <c r="U239" i="42" s="1"/>
  <c r="U240" i="42" s="1"/>
  <c r="U247" i="42"/>
  <c r="F25" i="22"/>
  <c r="F43" i="22" s="1"/>
  <c r="F44" i="22" s="1"/>
  <c r="F50" i="22" s="1"/>
  <c r="F57" i="22" s="1"/>
  <c r="H25" i="22"/>
  <c r="H43" i="22" s="1"/>
  <c r="O25" i="22"/>
  <c r="O43" i="22" s="1"/>
  <c r="K25" i="22"/>
  <c r="K43" i="22" s="1"/>
  <c r="G25" i="22"/>
  <c r="G43" i="22" s="1"/>
  <c r="G44" i="22" s="1"/>
  <c r="G50" i="22" s="1"/>
  <c r="G57" i="22" s="1"/>
  <c r="N25" i="22"/>
  <c r="N43" i="22" s="1"/>
  <c r="J25" i="22"/>
  <c r="J43" i="22" s="1"/>
  <c r="L25" i="22"/>
  <c r="L43" i="22" s="1"/>
  <c r="M25" i="22"/>
  <c r="M43" i="22" s="1"/>
  <c r="I25" i="22"/>
  <c r="I43" i="22" s="1"/>
  <c r="D32" i="19"/>
  <c r="F35" i="22"/>
  <c r="F49" i="22" s="1"/>
  <c r="F29" i="22"/>
  <c r="G29" i="22"/>
  <c r="H29" i="22" s="1"/>
  <c r="I29" i="22" s="1"/>
  <c r="J29" i="22" s="1"/>
  <c r="K29" i="22" s="1"/>
  <c r="L29" i="22" s="1"/>
  <c r="O69" i="45" l="1"/>
  <c r="O79" i="45"/>
  <c r="U248" i="42"/>
  <c r="U250" i="42" s="1"/>
  <c r="U267" i="42" s="1"/>
  <c r="O28" i="45" s="1"/>
  <c r="O30" i="45"/>
  <c r="O32" i="45" s="1"/>
  <c r="O58" i="45" s="1"/>
  <c r="U242" i="42"/>
  <c r="U185" i="42" s="1"/>
  <c r="U186" i="42" s="1"/>
  <c r="U192" i="42" s="1"/>
  <c r="U263" i="42" s="1"/>
  <c r="M29" i="22"/>
  <c r="H48" i="22"/>
  <c r="H55" i="22"/>
  <c r="F55" i="22"/>
  <c r="F48" i="22"/>
  <c r="F51" i="22" s="1"/>
  <c r="F58" i="22" s="1"/>
  <c r="I48" i="22"/>
  <c r="I55" i="22"/>
  <c r="J48" i="22"/>
  <c r="J55" i="22"/>
  <c r="G55" i="22"/>
  <c r="G48" i="22"/>
  <c r="K55" i="22"/>
  <c r="K48" i="22"/>
  <c r="G33" i="22"/>
  <c r="F69" i="22"/>
  <c r="L48" i="22"/>
  <c r="L55" i="22"/>
  <c r="G10" i="3"/>
  <c r="H10" i="3"/>
  <c r="I10" i="3"/>
  <c r="J10" i="3"/>
  <c r="F10" i="3"/>
  <c r="G22" i="3"/>
  <c r="H22" i="3"/>
  <c r="I22" i="3"/>
  <c r="J22" i="3"/>
  <c r="F22" i="3"/>
  <c r="G16" i="3"/>
  <c r="H16" i="3"/>
  <c r="I16" i="3"/>
  <c r="J16" i="3"/>
  <c r="F16" i="3"/>
  <c r="P3" i="2"/>
  <c r="E14" i="2"/>
  <c r="F16" i="2"/>
  <c r="H10" i="2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BD10" i="2" s="1"/>
  <c r="BE10" i="2" s="1"/>
  <c r="BF10" i="2" s="1"/>
  <c r="BG10" i="2" s="1"/>
  <c r="BH10" i="2" s="1"/>
  <c r="BI10" i="2" s="1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BT10" i="2" s="1"/>
  <c r="BU10" i="2" s="1"/>
  <c r="BV10" i="2" s="1"/>
  <c r="BW10" i="2" s="1"/>
  <c r="BX10" i="2" s="1"/>
  <c r="BY10" i="2" s="1"/>
  <c r="BZ10" i="2" s="1"/>
  <c r="CA10" i="2" s="1"/>
  <c r="CB10" i="2" s="1"/>
  <c r="CC10" i="2" s="1"/>
  <c r="CD10" i="2" s="1"/>
  <c r="CE10" i="2" s="1"/>
  <c r="CF10" i="2" s="1"/>
  <c r="CG10" i="2" s="1"/>
  <c r="CH10" i="2" s="1"/>
  <c r="CI10" i="2" s="1"/>
  <c r="CJ10" i="2" s="1"/>
  <c r="CK10" i="2" s="1"/>
  <c r="CL10" i="2" s="1"/>
  <c r="CM10" i="2" s="1"/>
  <c r="CN10" i="2" s="1"/>
  <c r="CO10" i="2" s="1"/>
  <c r="CP10" i="2" s="1"/>
  <c r="CQ10" i="2" s="1"/>
  <c r="CR10" i="2" s="1"/>
  <c r="CS10" i="2" s="1"/>
  <c r="CT10" i="2" s="1"/>
  <c r="CU10" i="2" s="1"/>
  <c r="CV10" i="2" s="1"/>
  <c r="CW10" i="2" s="1"/>
  <c r="CX10" i="2" s="1"/>
  <c r="CY10" i="2" s="1"/>
  <c r="CZ10" i="2" s="1"/>
  <c r="DA10" i="2" s="1"/>
  <c r="DB10" i="2" s="1"/>
  <c r="DC10" i="2" s="1"/>
  <c r="DD10" i="2" s="1"/>
  <c r="DE10" i="2" s="1"/>
  <c r="DF10" i="2" s="1"/>
  <c r="DG10" i="2" s="1"/>
  <c r="DH10" i="2" s="1"/>
  <c r="DI10" i="2" s="1"/>
  <c r="DJ10" i="2" s="1"/>
  <c r="DK10" i="2" s="1"/>
  <c r="DL10" i="2" s="1"/>
  <c r="DM10" i="2" s="1"/>
  <c r="DN10" i="2" s="1"/>
  <c r="DO10" i="2" s="1"/>
  <c r="DP10" i="2" s="1"/>
  <c r="DQ10" i="2" s="1"/>
  <c r="DR10" i="2" s="1"/>
  <c r="DS10" i="2" s="1"/>
  <c r="DT10" i="2" s="1"/>
  <c r="DU10" i="2" s="1"/>
  <c r="DV10" i="2" s="1"/>
  <c r="DW10" i="2" s="1"/>
  <c r="DX10" i="2" s="1"/>
  <c r="DY10" i="2" s="1"/>
  <c r="DZ10" i="2" s="1"/>
  <c r="EA10" i="2" s="1"/>
  <c r="EB10" i="2" s="1"/>
  <c r="EC10" i="2" s="1"/>
  <c r="ED10" i="2" s="1"/>
  <c r="EE10" i="2" s="1"/>
  <c r="EF10" i="2" s="1"/>
  <c r="EG10" i="2" s="1"/>
  <c r="EH10" i="2" s="1"/>
  <c r="EI10" i="2" s="1"/>
  <c r="EJ10" i="2" s="1"/>
  <c r="EK10" i="2" s="1"/>
  <c r="EL10" i="2" s="1"/>
  <c r="EM10" i="2" s="1"/>
  <c r="EN10" i="2" s="1"/>
  <c r="EO10" i="2" s="1"/>
  <c r="EP10" i="2" s="1"/>
  <c r="EQ10" i="2" s="1"/>
  <c r="ER10" i="2" s="1"/>
  <c r="ES10" i="2" s="1"/>
  <c r="ET10" i="2" s="1"/>
  <c r="EU10" i="2" s="1"/>
  <c r="EV10" i="2" s="1"/>
  <c r="EW10" i="2" s="1"/>
  <c r="EX10" i="2" s="1"/>
  <c r="EY10" i="2" s="1"/>
  <c r="EZ10" i="2" s="1"/>
  <c r="FA10" i="2" s="1"/>
  <c r="FB10" i="2" s="1"/>
  <c r="FC10" i="2" s="1"/>
  <c r="FD10" i="2" s="1"/>
  <c r="FE10" i="2" s="1"/>
  <c r="FF10" i="2" s="1"/>
  <c r="FG10" i="2" s="1"/>
  <c r="FH10" i="2" s="1"/>
  <c r="FI10" i="2" s="1"/>
  <c r="FJ10" i="2" s="1"/>
  <c r="FK10" i="2" s="1"/>
  <c r="FL10" i="2" s="1"/>
  <c r="FM10" i="2" s="1"/>
  <c r="FN10" i="2" s="1"/>
  <c r="FO10" i="2" s="1"/>
  <c r="FP10" i="2" s="1"/>
  <c r="FQ10" i="2" s="1"/>
  <c r="FR10" i="2" s="1"/>
  <c r="FS10" i="2" s="1"/>
  <c r="FT10" i="2" s="1"/>
  <c r="FU10" i="2" s="1"/>
  <c r="FV10" i="2" s="1"/>
  <c r="FW10" i="2" s="1"/>
  <c r="FX10" i="2" s="1"/>
  <c r="FY10" i="2" s="1"/>
  <c r="FZ10" i="2" s="1"/>
  <c r="GA10" i="2" s="1"/>
  <c r="GB10" i="2" s="1"/>
  <c r="GC10" i="2" s="1"/>
  <c r="GD10" i="2" s="1"/>
  <c r="GE10" i="2" s="1"/>
  <c r="GF10" i="2" s="1"/>
  <c r="GG10" i="2" s="1"/>
  <c r="GH10" i="2" s="1"/>
  <c r="GI10" i="2" s="1"/>
  <c r="GJ10" i="2" s="1"/>
  <c r="GK10" i="2" s="1"/>
  <c r="GL10" i="2" s="1"/>
  <c r="GM10" i="2" s="1"/>
  <c r="GN10" i="2" s="1"/>
  <c r="GO10" i="2" s="1"/>
  <c r="GP10" i="2" s="1"/>
  <c r="GQ10" i="2" s="1"/>
  <c r="GR10" i="2" s="1"/>
  <c r="GS10" i="2" s="1"/>
  <c r="GT10" i="2" s="1"/>
  <c r="GU10" i="2" s="1"/>
  <c r="GV10" i="2" s="1"/>
  <c r="GW10" i="2" s="1"/>
  <c r="GX10" i="2" s="1"/>
  <c r="GY10" i="2" s="1"/>
  <c r="GZ10" i="2" s="1"/>
  <c r="HA10" i="2" s="1"/>
  <c r="HB10" i="2" s="1"/>
  <c r="HC10" i="2" s="1"/>
  <c r="HD10" i="2" s="1"/>
  <c r="HE10" i="2" s="1"/>
  <c r="HF10" i="2" s="1"/>
  <c r="HG10" i="2" s="1"/>
  <c r="HH10" i="2" s="1"/>
  <c r="HI10" i="2" s="1"/>
  <c r="HJ10" i="2" s="1"/>
  <c r="HK10" i="2" s="1"/>
  <c r="HL10" i="2" s="1"/>
  <c r="HM10" i="2" s="1"/>
  <c r="HN10" i="2" s="1"/>
  <c r="HO10" i="2" s="1"/>
  <c r="HP10" i="2" s="1"/>
  <c r="HQ10" i="2" s="1"/>
  <c r="HR10" i="2" s="1"/>
  <c r="HS10" i="2" s="1"/>
  <c r="HT10" i="2" s="1"/>
  <c r="HU10" i="2" s="1"/>
  <c r="HV10" i="2" s="1"/>
  <c r="HW10" i="2" s="1"/>
  <c r="HX10" i="2" s="1"/>
  <c r="HY10" i="2" s="1"/>
  <c r="HZ10" i="2" s="1"/>
  <c r="IA10" i="2" s="1"/>
  <c r="IB10" i="2" s="1"/>
  <c r="IC10" i="2" s="1"/>
  <c r="ID10" i="2" s="1"/>
  <c r="IE10" i="2" s="1"/>
  <c r="IF10" i="2" s="1"/>
  <c r="IG10" i="2" s="1"/>
  <c r="IH10" i="2" s="1"/>
  <c r="II10" i="2" s="1"/>
  <c r="IJ10" i="2" s="1"/>
  <c r="IK10" i="2" s="1"/>
  <c r="IL10" i="2" s="1"/>
  <c r="IM10" i="2" s="1"/>
  <c r="IN10" i="2" s="1"/>
  <c r="IO10" i="2" s="1"/>
  <c r="IP10" i="2" s="1"/>
  <c r="IQ10" i="2" s="1"/>
  <c r="IR10" i="2" s="1"/>
  <c r="IS10" i="2" s="1"/>
  <c r="IT10" i="2" s="1"/>
  <c r="IU10" i="2" s="1"/>
  <c r="IV10" i="2" s="1"/>
  <c r="IW10" i="2" s="1"/>
  <c r="IX10" i="2" s="1"/>
  <c r="IY10" i="2" s="1"/>
  <c r="IZ10" i="2" s="1"/>
  <c r="JA10" i="2" s="1"/>
  <c r="JB10" i="2" s="1"/>
  <c r="JC10" i="2" s="1"/>
  <c r="JD10" i="2" s="1"/>
  <c r="JE10" i="2" s="1"/>
  <c r="JF10" i="2" s="1"/>
  <c r="JG10" i="2" s="1"/>
  <c r="JH10" i="2" s="1"/>
  <c r="JI10" i="2" s="1"/>
  <c r="JJ10" i="2" s="1"/>
  <c r="JK10" i="2" s="1"/>
  <c r="JL10" i="2" s="1"/>
  <c r="JM10" i="2" s="1"/>
  <c r="JN10" i="2" s="1"/>
  <c r="JO10" i="2" s="1"/>
  <c r="JP10" i="2" s="1"/>
  <c r="JQ10" i="2" s="1"/>
  <c r="JR10" i="2" s="1"/>
  <c r="JS10" i="2" s="1"/>
  <c r="JT10" i="2" s="1"/>
  <c r="JU10" i="2" s="1"/>
  <c r="JV10" i="2" s="1"/>
  <c r="JW10" i="2" s="1"/>
  <c r="JX10" i="2" s="1"/>
  <c r="JY10" i="2" s="1"/>
  <c r="JZ10" i="2" s="1"/>
  <c r="KA10" i="2" s="1"/>
  <c r="KB10" i="2" s="1"/>
  <c r="KC10" i="2" s="1"/>
  <c r="KD10" i="2" s="1"/>
  <c r="KE10" i="2" s="1"/>
  <c r="KF10" i="2" s="1"/>
  <c r="KG10" i="2" s="1"/>
  <c r="KH10" i="2" s="1"/>
  <c r="KI10" i="2" s="1"/>
  <c r="KJ10" i="2" s="1"/>
  <c r="KK10" i="2" s="1"/>
  <c r="KL10" i="2" s="1"/>
  <c r="KM10" i="2" s="1"/>
  <c r="KN10" i="2" s="1"/>
  <c r="KO10" i="2" s="1"/>
  <c r="KP10" i="2" s="1"/>
  <c r="KQ10" i="2" s="1"/>
  <c r="KR10" i="2" s="1"/>
  <c r="KS10" i="2" s="1"/>
  <c r="KT10" i="2" s="1"/>
  <c r="KU10" i="2" s="1"/>
  <c r="KV10" i="2" s="1"/>
  <c r="KW10" i="2" s="1"/>
  <c r="KX10" i="2" s="1"/>
  <c r="KY10" i="2" s="1"/>
  <c r="KZ10" i="2" s="1"/>
  <c r="LA10" i="2" s="1"/>
  <c r="LB10" i="2" s="1"/>
  <c r="LC10" i="2" s="1"/>
  <c r="LD10" i="2" s="1"/>
  <c r="LE10" i="2" s="1"/>
  <c r="LF10" i="2" s="1"/>
  <c r="LG10" i="2" s="1"/>
  <c r="G26" i="4"/>
  <c r="E74" i="15"/>
  <c r="F37" i="15"/>
  <c r="F63" i="15"/>
  <c r="F65" i="15" s="1"/>
  <c r="F75" i="15" s="1"/>
  <c r="F89" i="15" s="1"/>
  <c r="E63" i="15"/>
  <c r="E53" i="15"/>
  <c r="U53" i="15" s="1"/>
  <c r="E21" i="15"/>
  <c r="E54" i="15" s="1"/>
  <c r="E10" i="16"/>
  <c r="F4" i="16" s="1"/>
  <c r="C97" i="13"/>
  <c r="J91" i="13"/>
  <c r="K91" i="13" s="1"/>
  <c r="H3" i="16"/>
  <c r="E42" i="15"/>
  <c r="M42" i="15" s="1"/>
  <c r="G5" i="15"/>
  <c r="G4" i="15"/>
  <c r="F4" i="15"/>
  <c r="Q53" i="15"/>
  <c r="M53" i="15"/>
  <c r="I53" i="15"/>
  <c r="I3" i="16"/>
  <c r="J3" i="16" s="1"/>
  <c r="K3" i="16" s="1"/>
  <c r="L3" i="16" s="1"/>
  <c r="M3" i="16" s="1"/>
  <c r="N3" i="16" s="1"/>
  <c r="O3" i="16" s="1"/>
  <c r="P3" i="16" s="1"/>
  <c r="H53" i="15"/>
  <c r="X53" i="15"/>
  <c r="T53" i="15"/>
  <c r="P53" i="15"/>
  <c r="L53" i="15"/>
  <c r="AA53" i="15"/>
  <c r="W53" i="15"/>
  <c r="S53" i="15"/>
  <c r="O53" i="15"/>
  <c r="K53" i="15"/>
  <c r="Z53" i="15"/>
  <c r="V53" i="15"/>
  <c r="R53" i="15"/>
  <c r="N53" i="15"/>
  <c r="J53" i="15"/>
  <c r="Y53" i="15"/>
  <c r="Q42" i="15"/>
  <c r="H3" i="15"/>
  <c r="E13" i="16"/>
  <c r="E15" i="16" s="1"/>
  <c r="U7" i="6"/>
  <c r="AB285" i="14"/>
  <c r="AA285" i="14"/>
  <c r="Z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H283" i="14"/>
  <c r="H268" i="14"/>
  <c r="H220" i="14"/>
  <c r="AB207" i="14"/>
  <c r="AB248" i="14" s="1"/>
  <c r="AB271" i="14" s="1"/>
  <c r="AA207" i="14"/>
  <c r="AA248" i="14" s="1"/>
  <c r="AA271" i="14" s="1"/>
  <c r="Z207" i="14"/>
  <c r="Z248" i="14" s="1"/>
  <c r="Z271" i="14" s="1"/>
  <c r="Y207" i="14"/>
  <c r="Y248" i="14" s="1"/>
  <c r="Y271" i="14" s="1"/>
  <c r="X207" i="14"/>
  <c r="X248" i="14" s="1"/>
  <c r="X271" i="14" s="1"/>
  <c r="W207" i="14"/>
  <c r="W248" i="14" s="1"/>
  <c r="W271" i="14" s="1"/>
  <c r="V207" i="14"/>
  <c r="V248" i="14" s="1"/>
  <c r="V271" i="14" s="1"/>
  <c r="U207" i="14"/>
  <c r="U248" i="14" s="1"/>
  <c r="U271" i="14" s="1"/>
  <c r="T207" i="14"/>
  <c r="T248" i="14" s="1"/>
  <c r="T271" i="14" s="1"/>
  <c r="S207" i="14"/>
  <c r="S248" i="14" s="1"/>
  <c r="S271" i="14" s="1"/>
  <c r="R207" i="14"/>
  <c r="R248" i="14" s="1"/>
  <c r="R271" i="14" s="1"/>
  <c r="Q207" i="14"/>
  <c r="Q248" i="14" s="1"/>
  <c r="Q271" i="14" s="1"/>
  <c r="P207" i="14"/>
  <c r="P248" i="14" s="1"/>
  <c r="P271" i="14" s="1"/>
  <c r="O207" i="14"/>
  <c r="O248" i="14" s="1"/>
  <c r="O271" i="14" s="1"/>
  <c r="N207" i="14"/>
  <c r="N248" i="14" s="1"/>
  <c r="N271" i="14" s="1"/>
  <c r="H196" i="14"/>
  <c r="M95" i="14"/>
  <c r="L95" i="14"/>
  <c r="K95" i="14"/>
  <c r="J95" i="14"/>
  <c r="I95" i="14"/>
  <c r="H95" i="14"/>
  <c r="M52" i="14"/>
  <c r="L52" i="14"/>
  <c r="K52" i="14"/>
  <c r="J52" i="14"/>
  <c r="I52" i="14"/>
  <c r="H52" i="14"/>
  <c r="F1" i="14"/>
  <c r="F3" i="14" s="1"/>
  <c r="H2" i="14" s="1"/>
  <c r="H3" i="14" s="1"/>
  <c r="J83" i="13"/>
  <c r="K83" i="13" s="1"/>
  <c r="E83" i="13"/>
  <c r="J75" i="13"/>
  <c r="K75" i="13" s="1"/>
  <c r="E75" i="13"/>
  <c r="J67" i="13"/>
  <c r="K67" i="13" s="1"/>
  <c r="E67" i="13"/>
  <c r="C73" i="13" s="1"/>
  <c r="C65" i="13"/>
  <c r="J59" i="13"/>
  <c r="K59" i="13" s="1"/>
  <c r="E59" i="13"/>
  <c r="N54" i="13"/>
  <c r="M54" i="13"/>
  <c r="L54" i="13"/>
  <c r="K54" i="13"/>
  <c r="J54" i="13"/>
  <c r="I54" i="13"/>
  <c r="N51" i="13"/>
  <c r="M207" i="14" s="1"/>
  <c r="M248" i="14" s="1"/>
  <c r="M271" i="14" s="1"/>
  <c r="M51" i="13"/>
  <c r="L207" i="14" s="1"/>
  <c r="L248" i="14" s="1"/>
  <c r="L271" i="14" s="1"/>
  <c r="L51" i="13"/>
  <c r="K207" i="14" s="1"/>
  <c r="K248" i="14" s="1"/>
  <c r="K271" i="14" s="1"/>
  <c r="K51" i="13"/>
  <c r="J207" i="14" s="1"/>
  <c r="J248" i="14" s="1"/>
  <c r="J271" i="14" s="1"/>
  <c r="J51" i="13"/>
  <c r="I207" i="14" s="1"/>
  <c r="I248" i="14" s="1"/>
  <c r="I271" i="14" s="1"/>
  <c r="I51" i="13"/>
  <c r="H207" i="14" s="1"/>
  <c r="H248" i="14" s="1"/>
  <c r="H271" i="14" s="1"/>
  <c r="AC44" i="13"/>
  <c r="AB44" i="13"/>
  <c r="AA44" i="13"/>
  <c r="Z44" i="13"/>
  <c r="Y44" i="13"/>
  <c r="X44" i="13"/>
  <c r="W44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J44" i="13"/>
  <c r="I44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N41" i="13"/>
  <c r="M41" i="13"/>
  <c r="L41" i="13"/>
  <c r="K41" i="13"/>
  <c r="J41" i="13"/>
  <c r="I41" i="13"/>
  <c r="N35" i="13"/>
  <c r="M35" i="13"/>
  <c r="L35" i="13"/>
  <c r="K35" i="13"/>
  <c r="J35" i="13"/>
  <c r="I35" i="13"/>
  <c r="N22" i="13"/>
  <c r="M22" i="13"/>
  <c r="L22" i="13"/>
  <c r="K22" i="13"/>
  <c r="J22" i="13"/>
  <c r="I22" i="13"/>
  <c r="N19" i="13"/>
  <c r="M19" i="13"/>
  <c r="L19" i="13"/>
  <c r="K19" i="13"/>
  <c r="J19" i="13"/>
  <c r="I19" i="13"/>
  <c r="N18" i="13"/>
  <c r="M18" i="13"/>
  <c r="L18" i="13"/>
  <c r="K18" i="13"/>
  <c r="J18" i="13"/>
  <c r="I18" i="13"/>
  <c r="N15" i="13"/>
  <c r="M15" i="13"/>
  <c r="L15" i="13"/>
  <c r="K15" i="13"/>
  <c r="J15" i="13"/>
  <c r="I15" i="13"/>
  <c r="N13" i="13"/>
  <c r="M13" i="13"/>
  <c r="L13" i="13"/>
  <c r="K13" i="13"/>
  <c r="J13" i="13"/>
  <c r="I13" i="13"/>
  <c r="G9" i="13"/>
  <c r="N2" i="13"/>
  <c r="N78" i="13" s="1"/>
  <c r="M2" i="13"/>
  <c r="L2" i="13"/>
  <c r="K2" i="13"/>
  <c r="K3" i="13" s="1"/>
  <c r="K9" i="13" s="1"/>
  <c r="J2" i="13"/>
  <c r="I2" i="13"/>
  <c r="K3" i="6"/>
  <c r="K5" i="6" s="1"/>
  <c r="K6" i="6" s="1"/>
  <c r="E41" i="6"/>
  <c r="E36" i="6"/>
  <c r="E31" i="6"/>
  <c r="E29" i="6"/>
  <c r="F24" i="6"/>
  <c r="F38" i="6" s="1"/>
  <c r="K9" i="6"/>
  <c r="K8" i="6"/>
  <c r="D113" i="1"/>
  <c r="D114" i="1"/>
  <c r="D115" i="1"/>
  <c r="D116" i="1"/>
  <c r="D117" i="1"/>
  <c r="D118" i="1"/>
  <c r="D119" i="1"/>
  <c r="D112" i="1"/>
  <c r="G115" i="1"/>
  <c r="G116" i="1"/>
  <c r="G117" i="1"/>
  <c r="G118" i="1"/>
  <c r="G119" i="1"/>
  <c r="F115" i="1"/>
  <c r="F116" i="1"/>
  <c r="F117" i="1"/>
  <c r="F118" i="1"/>
  <c r="F119" i="1"/>
  <c r="G50" i="1"/>
  <c r="G51" i="1"/>
  <c r="G52" i="1"/>
  <c r="G53" i="1"/>
  <c r="G54" i="1"/>
  <c r="G46" i="1"/>
  <c r="H46" i="1"/>
  <c r="F46" i="1"/>
  <c r="F37" i="1"/>
  <c r="F48" i="1"/>
  <c r="H37" i="1"/>
  <c r="H48" i="1"/>
  <c r="F38" i="1"/>
  <c r="F49" i="1"/>
  <c r="H38" i="1"/>
  <c r="H49" i="1"/>
  <c r="F39" i="1"/>
  <c r="F50" i="1"/>
  <c r="G39" i="1"/>
  <c r="H39" i="1"/>
  <c r="H50" i="1" s="1"/>
  <c r="F40" i="1"/>
  <c r="F51" i="1" s="1"/>
  <c r="G40" i="1"/>
  <c r="H40" i="1"/>
  <c r="H51" i="1"/>
  <c r="F41" i="1"/>
  <c r="F52" i="1"/>
  <c r="G41" i="1"/>
  <c r="H41" i="1"/>
  <c r="H52" i="1" s="1"/>
  <c r="F42" i="1"/>
  <c r="F53" i="1" s="1"/>
  <c r="G42" i="1"/>
  <c r="H42" i="1"/>
  <c r="H53" i="1"/>
  <c r="F43" i="1"/>
  <c r="F54" i="1"/>
  <c r="G43" i="1"/>
  <c r="H43" i="1"/>
  <c r="H54" i="1" s="1"/>
  <c r="B43" i="1"/>
  <c r="B54" i="1" s="1"/>
  <c r="B37" i="1"/>
  <c r="B48" i="1" s="1"/>
  <c r="B38" i="1"/>
  <c r="B49" i="1" s="1"/>
  <c r="B39" i="1"/>
  <c r="B50" i="1" s="1"/>
  <c r="B40" i="1"/>
  <c r="B51" i="1" s="1"/>
  <c r="B41" i="1"/>
  <c r="B52" i="1" s="1"/>
  <c r="B42" i="1"/>
  <c r="B53" i="1" s="1"/>
  <c r="H36" i="1"/>
  <c r="H47" i="1" s="1"/>
  <c r="F36" i="1"/>
  <c r="F47" i="1" s="1"/>
  <c r="B36" i="1"/>
  <c r="B47" i="1" s="1"/>
  <c r="E23" i="1"/>
  <c r="F23" i="1" s="1"/>
  <c r="E24" i="1"/>
  <c r="E40" i="1" s="1"/>
  <c r="E51" i="1" s="1"/>
  <c r="F24" i="1"/>
  <c r="E25" i="1"/>
  <c r="F25" i="1"/>
  <c r="E26" i="1"/>
  <c r="F26" i="1"/>
  <c r="E27" i="1"/>
  <c r="F27" i="1"/>
  <c r="F19" i="1"/>
  <c r="E19" i="1"/>
  <c r="E42" i="1"/>
  <c r="E53" i="1"/>
  <c r="E43" i="1"/>
  <c r="E54" i="1" s="1"/>
  <c r="E41" i="1"/>
  <c r="E52" i="1" s="1"/>
  <c r="E39" i="1"/>
  <c r="E50" i="1" s="1"/>
  <c r="F8" i="1"/>
  <c r="G49" i="1" s="1"/>
  <c r="E8" i="1"/>
  <c r="G114" i="1"/>
  <c r="G38" i="1"/>
  <c r="F114" i="1"/>
  <c r="E22" i="1"/>
  <c r="E38" i="1" s="1"/>
  <c r="E49" i="1" s="1"/>
  <c r="F8" i="6"/>
  <c r="F6" i="6"/>
  <c r="F5" i="6"/>
  <c r="E26" i="6" s="1"/>
  <c r="E7" i="6"/>
  <c r="E37" i="6" s="1"/>
  <c r="E35" i="4"/>
  <c r="E25" i="4"/>
  <c r="E20" i="4"/>
  <c r="E31" i="4"/>
  <c r="E23" i="4"/>
  <c r="G20" i="4"/>
  <c r="H32" i="4" s="1"/>
  <c r="G21" i="4"/>
  <c r="F52" i="4"/>
  <c r="F46" i="4"/>
  <c r="F45" i="4"/>
  <c r="F49" i="4" s="1"/>
  <c r="F53" i="4" s="1"/>
  <c r="E49" i="4"/>
  <c r="E47" i="4"/>
  <c r="G42" i="4"/>
  <c r="H42" i="4" s="1"/>
  <c r="E7" i="4"/>
  <c r="F7" i="1"/>
  <c r="E7" i="1"/>
  <c r="E21" i="1" s="1"/>
  <c r="F113" i="1"/>
  <c r="G113" i="1"/>
  <c r="G37" i="1"/>
  <c r="H20" i="4"/>
  <c r="G19" i="4"/>
  <c r="H16" i="4" s="1"/>
  <c r="F39" i="3"/>
  <c r="G36" i="3" s="1"/>
  <c r="F6" i="1"/>
  <c r="E6" i="1"/>
  <c r="E20" i="1" s="1"/>
  <c r="G36" i="1"/>
  <c r="G112" i="1"/>
  <c r="G47" i="1"/>
  <c r="B2" i="14"/>
  <c r="C89" i="13" l="1"/>
  <c r="N76" i="13"/>
  <c r="L81" i="22"/>
  <c r="L83" i="22" s="1"/>
  <c r="F65" i="22"/>
  <c r="F59" i="22"/>
  <c r="O41" i="45"/>
  <c r="O34" i="45"/>
  <c r="E36" i="45" s="1"/>
  <c r="E37" i="45" s="1"/>
  <c r="E61" i="45" s="1"/>
  <c r="E71" i="45" s="1"/>
  <c r="E81" i="45" s="1"/>
  <c r="E93" i="45" s="1"/>
  <c r="V246" i="42"/>
  <c r="V184" i="42"/>
  <c r="V188" i="42" s="1"/>
  <c r="V189" i="42" s="1"/>
  <c r="U191" i="42"/>
  <c r="U253" i="42" s="1"/>
  <c r="U257" i="42" s="1"/>
  <c r="U259" i="42" s="1"/>
  <c r="U195" i="42"/>
  <c r="U265" i="42" s="1"/>
  <c r="U268" i="42" s="1"/>
  <c r="F64" i="22"/>
  <c r="F66" i="22" s="1"/>
  <c r="F49" i="6"/>
  <c r="G35" i="6"/>
  <c r="G36" i="6" s="1"/>
  <c r="Q3" i="16"/>
  <c r="P4" i="16"/>
  <c r="F20" i="1"/>
  <c r="E36" i="1"/>
  <c r="E47" i="1" s="1"/>
  <c r="E37" i="1"/>
  <c r="E48" i="1" s="1"/>
  <c r="F21" i="1"/>
  <c r="F5" i="16"/>
  <c r="I4" i="16"/>
  <c r="J4" i="16"/>
  <c r="L4" i="16"/>
  <c r="K4" i="16"/>
  <c r="F57" i="4"/>
  <c r="G48" i="1"/>
  <c r="F22" i="1"/>
  <c r="K10" i="6"/>
  <c r="K11" i="6" s="1"/>
  <c r="K12" i="6" s="1"/>
  <c r="E14" i="6" s="1"/>
  <c r="N94" i="13"/>
  <c r="O4" i="16"/>
  <c r="H4" i="16"/>
  <c r="G37" i="6"/>
  <c r="G21" i="6"/>
  <c r="M4" i="16"/>
  <c r="F112" i="1"/>
  <c r="N4" i="16"/>
  <c r="G37" i="3"/>
  <c r="R63" i="15"/>
  <c r="P63" i="15"/>
  <c r="K63" i="15"/>
  <c r="O63" i="15"/>
  <c r="S63" i="15"/>
  <c r="W63" i="15"/>
  <c r="AA63" i="15"/>
  <c r="J63" i="15"/>
  <c r="N63" i="15"/>
  <c r="V63" i="15"/>
  <c r="Z63" i="15"/>
  <c r="I63" i="15"/>
  <c r="M63" i="15"/>
  <c r="Q63" i="15"/>
  <c r="U63" i="15"/>
  <c r="Y63" i="15"/>
  <c r="L63" i="15"/>
  <c r="T63" i="15"/>
  <c r="X63" i="15"/>
  <c r="H63" i="15"/>
  <c r="I3" i="15"/>
  <c r="I4" i="15" s="1"/>
  <c r="T42" i="15"/>
  <c r="K42" i="15"/>
  <c r="V42" i="15"/>
  <c r="AA42" i="15"/>
  <c r="P42" i="15"/>
  <c r="I42" i="15"/>
  <c r="N42" i="15"/>
  <c r="W42" i="15"/>
  <c r="S42" i="15"/>
  <c r="L42" i="15"/>
  <c r="H42" i="15"/>
  <c r="Y42" i="15"/>
  <c r="O42" i="15"/>
  <c r="Z42" i="15"/>
  <c r="H5" i="15"/>
  <c r="H4" i="15"/>
  <c r="X42" i="15"/>
  <c r="U42" i="15"/>
  <c r="J42" i="15"/>
  <c r="R42" i="15"/>
  <c r="N87" i="13"/>
  <c r="N84" i="13"/>
  <c r="N92" i="13"/>
  <c r="F10" i="6"/>
  <c r="F15" i="6" s="1"/>
  <c r="F7" i="6"/>
  <c r="E23" i="6" s="1"/>
  <c r="E22" i="6"/>
  <c r="G22" i="6" s="1"/>
  <c r="N29" i="22"/>
  <c r="M48" i="22"/>
  <c r="M55" i="22"/>
  <c r="F5" i="14"/>
  <c r="F6" i="21"/>
  <c r="F8" i="21" s="1"/>
  <c r="F11" i="21" s="1"/>
  <c r="I3" i="13"/>
  <c r="I2" i="14"/>
  <c r="I3" i="14" s="1"/>
  <c r="H4" i="14"/>
  <c r="E4" i="13"/>
  <c r="H31" i="4"/>
  <c r="H46" i="4"/>
  <c r="W54" i="4" s="1"/>
  <c r="I42" i="4"/>
  <c r="G46" i="4"/>
  <c r="V54" i="4" s="1"/>
  <c r="G54" i="4"/>
  <c r="K54" i="4"/>
  <c r="O54" i="4"/>
  <c r="S54" i="4"/>
  <c r="R54" i="4"/>
  <c r="H54" i="4"/>
  <c r="L54" i="4"/>
  <c r="P54" i="4"/>
  <c r="T54" i="4"/>
  <c r="N54" i="4"/>
  <c r="I54" i="4"/>
  <c r="M54" i="4"/>
  <c r="Q54" i="4"/>
  <c r="U54" i="4"/>
  <c r="J54" i="4"/>
  <c r="G38" i="3"/>
  <c r="K36" i="13"/>
  <c r="J205" i="14" s="1"/>
  <c r="J252" i="14" s="1"/>
  <c r="J270" i="14" s="1"/>
  <c r="K10" i="13"/>
  <c r="G6" i="21"/>
  <c r="G8" i="21" s="1"/>
  <c r="G11" i="21" s="1"/>
  <c r="J3" i="13"/>
  <c r="J9" i="13" s="1"/>
  <c r="K6" i="21"/>
  <c r="K8" i="21" s="1"/>
  <c r="K11" i="21" s="1"/>
  <c r="N93" i="13"/>
  <c r="N3" i="13"/>
  <c r="N9" i="13" s="1"/>
  <c r="N86" i="13"/>
  <c r="N79" i="13"/>
  <c r="O2" i="13"/>
  <c r="N85" i="13"/>
  <c r="N77" i="13"/>
  <c r="N95" i="13"/>
  <c r="I6" i="21"/>
  <c r="I8" i="21" s="1"/>
  <c r="I11" i="21" s="1"/>
  <c r="L3" i="13"/>
  <c r="L9" i="13" s="1"/>
  <c r="C81" i="13"/>
  <c r="H6" i="21"/>
  <c r="H8" i="21" s="1"/>
  <c r="H11" i="21" s="1"/>
  <c r="J6" i="21"/>
  <c r="J8" i="21" s="1"/>
  <c r="J11" i="21" s="1"/>
  <c r="M3" i="13"/>
  <c r="M9" i="13" s="1"/>
  <c r="G38" i="6"/>
  <c r="H35" i="6" s="1"/>
  <c r="O70" i="13"/>
  <c r="O63" i="13"/>
  <c r="O62" i="13"/>
  <c r="O69" i="13"/>
  <c r="O71" i="13"/>
  <c r="O68" i="13"/>
  <c r="O60" i="13"/>
  <c r="O61" i="13"/>
  <c r="N89" i="13" l="1"/>
  <c r="N81" i="13"/>
  <c r="N97" i="13"/>
  <c r="M81" i="22"/>
  <c r="M83" i="22" s="1"/>
  <c r="F73" i="22"/>
  <c r="G63" i="22"/>
  <c r="F72" i="22"/>
  <c r="O43" i="45"/>
  <c r="U270" i="42"/>
  <c r="U271" i="42" s="1"/>
  <c r="U272" i="42"/>
  <c r="U274" i="42" s="1"/>
  <c r="V196" i="42"/>
  <c r="V215" i="42" s="1"/>
  <c r="V216" i="42" s="1"/>
  <c r="V218" i="42" s="1"/>
  <c r="V219" i="42" s="1"/>
  <c r="V221" i="42" s="1"/>
  <c r="Q5" i="16"/>
  <c r="Q4" i="16"/>
  <c r="R3" i="16"/>
  <c r="M5" i="16"/>
  <c r="I5" i="16"/>
  <c r="H5" i="16"/>
  <c r="K5" i="16"/>
  <c r="L5" i="16"/>
  <c r="J5" i="16"/>
  <c r="N5" i="16"/>
  <c r="O5" i="16"/>
  <c r="P5" i="16"/>
  <c r="J3" i="15"/>
  <c r="I5" i="15"/>
  <c r="H58" i="15"/>
  <c r="H57" i="15"/>
  <c r="H59" i="15"/>
  <c r="H56" i="15"/>
  <c r="J144" i="14"/>
  <c r="M4" i="13"/>
  <c r="M39" i="13" s="1"/>
  <c r="L208" i="14" s="1"/>
  <c r="L256" i="14" s="1"/>
  <c r="L269" i="14" s="1"/>
  <c r="O65" i="13"/>
  <c r="H36" i="6"/>
  <c r="H37" i="6" s="1"/>
  <c r="O29" i="22"/>
  <c r="N48" i="22"/>
  <c r="N55" i="22"/>
  <c r="F7" i="14"/>
  <c r="H6" i="14" s="1"/>
  <c r="H7" i="14" s="1"/>
  <c r="F6" i="14"/>
  <c r="H5" i="14" s="1"/>
  <c r="I4" i="13"/>
  <c r="K4" i="13"/>
  <c r="K11" i="13" s="1"/>
  <c r="L4" i="13"/>
  <c r="L11" i="13" s="1"/>
  <c r="M33" i="13"/>
  <c r="L201" i="14" s="1"/>
  <c r="I10" i="13"/>
  <c r="I36" i="13"/>
  <c r="H205" i="14" s="1"/>
  <c r="H252" i="14" s="1"/>
  <c r="H270" i="14" s="1"/>
  <c r="I5" i="14"/>
  <c r="I6" i="14"/>
  <c r="I4" i="14"/>
  <c r="J2" i="14"/>
  <c r="J3" i="14" s="1"/>
  <c r="N4" i="13"/>
  <c r="J4" i="13"/>
  <c r="H227" i="14"/>
  <c r="H231" i="14"/>
  <c r="H250" i="14" s="1"/>
  <c r="H276" i="14" s="1"/>
  <c r="H202" i="14"/>
  <c r="H217" i="14"/>
  <c r="H225" i="14" s="1"/>
  <c r="H157" i="14"/>
  <c r="I49" i="13"/>
  <c r="H286" i="14"/>
  <c r="H216" i="14"/>
  <c r="H204" i="14"/>
  <c r="H300" i="14" s="1"/>
  <c r="H235" i="14"/>
  <c r="H251" i="14" s="1"/>
  <c r="H277" i="14" s="1"/>
  <c r="H211" i="14"/>
  <c r="H311" i="14" s="1"/>
  <c r="I48" i="13"/>
  <c r="I17" i="13"/>
  <c r="H255" i="14"/>
  <c r="H267" i="14" s="1"/>
  <c r="H224" i="14"/>
  <c r="H213" i="14"/>
  <c r="H313" i="14" s="1"/>
  <c r="H212" i="14"/>
  <c r="H312" i="14" s="1"/>
  <c r="H153" i="14"/>
  <c r="H244" i="14" s="1"/>
  <c r="I31" i="13"/>
  <c r="I27" i="13"/>
  <c r="H259" i="14"/>
  <c r="H210" i="14"/>
  <c r="H310" i="14" s="1"/>
  <c r="H199" i="14"/>
  <c r="H145" i="14"/>
  <c r="H237" i="14"/>
  <c r="I46" i="4"/>
  <c r="X54" i="4" s="1"/>
  <c r="J42" i="4"/>
  <c r="F48" i="4"/>
  <c r="G45" i="4" s="1"/>
  <c r="F54" i="4"/>
  <c r="F55" i="4" s="1"/>
  <c r="G52" i="4" s="1"/>
  <c r="G39" i="3"/>
  <c r="H36" i="3" s="1"/>
  <c r="O73" i="13"/>
  <c r="J36" i="13"/>
  <c r="I205" i="14" s="1"/>
  <c r="I252" i="14" s="1"/>
  <c r="I270" i="14" s="1"/>
  <c r="J10" i="13"/>
  <c r="N36" i="13"/>
  <c r="M205" i="14" s="1"/>
  <c r="M252" i="14" s="1"/>
  <c r="M270" i="14" s="1"/>
  <c r="N10" i="13"/>
  <c r="M10" i="13"/>
  <c r="M36" i="13"/>
  <c r="L205" i="14" s="1"/>
  <c r="L252" i="14" s="1"/>
  <c r="L270" i="14" s="1"/>
  <c r="L10" i="13"/>
  <c r="L36" i="13"/>
  <c r="K205" i="14" s="1"/>
  <c r="K252" i="14" s="1"/>
  <c r="K270" i="14" s="1"/>
  <c r="L6" i="21"/>
  <c r="L8" i="21" s="1"/>
  <c r="L11" i="21" s="1"/>
  <c r="O87" i="13"/>
  <c r="O78" i="13"/>
  <c r="O94" i="13"/>
  <c r="O79" i="13"/>
  <c r="O84" i="13"/>
  <c r="O92" i="13"/>
  <c r="O4" i="13"/>
  <c r="O86" i="13"/>
  <c r="P2" i="13"/>
  <c r="O3" i="13"/>
  <c r="O93" i="13"/>
  <c r="O77" i="13"/>
  <c r="O95" i="13"/>
  <c r="O85" i="13"/>
  <c r="O76" i="13"/>
  <c r="I20" i="13"/>
  <c r="F7" i="21"/>
  <c r="F13" i="21" s="1"/>
  <c r="I24" i="13"/>
  <c r="H168" i="14" s="1"/>
  <c r="I39" i="13"/>
  <c r="I38" i="13"/>
  <c r="I33" i="13"/>
  <c r="H201" i="14" s="1"/>
  <c r="I42" i="13"/>
  <c r="H230" i="14" s="1"/>
  <c r="I45" i="13"/>
  <c r="H234" i="14" s="1"/>
  <c r="I47" i="13"/>
  <c r="H254" i="14" s="1"/>
  <c r="K25" i="13"/>
  <c r="J171" i="14" s="1"/>
  <c r="G23" i="6"/>
  <c r="G24" i="6" s="1"/>
  <c r="H21" i="6" s="1"/>
  <c r="P70" i="13"/>
  <c r="P68" i="13"/>
  <c r="P69" i="13"/>
  <c r="P61" i="13"/>
  <c r="P71" i="13"/>
  <c r="P62" i="13"/>
  <c r="P60" i="13"/>
  <c r="P63" i="13"/>
  <c r="I59" i="15" l="1"/>
  <c r="O97" i="13"/>
  <c r="O16" i="13" s="1"/>
  <c r="N156" i="14" s="1"/>
  <c r="N11" i="13"/>
  <c r="M148" i="14" s="1"/>
  <c r="I11" i="13"/>
  <c r="H148" i="14" s="1"/>
  <c r="M12" i="13"/>
  <c r="L152" i="14" s="1"/>
  <c r="M11" i="13"/>
  <c r="L148" i="14" s="1"/>
  <c r="M42" i="13"/>
  <c r="L230" i="14" s="1"/>
  <c r="J12" i="13"/>
  <c r="J11" i="13"/>
  <c r="N81" i="22"/>
  <c r="N83" i="22" s="1"/>
  <c r="F74" i="22"/>
  <c r="H44" i="22"/>
  <c r="H50" i="22" s="1"/>
  <c r="H57" i="22" s="1"/>
  <c r="L24" i="13"/>
  <c r="K168" i="14" s="1"/>
  <c r="L12" i="13"/>
  <c r="K152" i="14" s="1"/>
  <c r="L25" i="13"/>
  <c r="K171" i="14" s="1"/>
  <c r="M45" i="13"/>
  <c r="L234" i="14" s="1"/>
  <c r="M20" i="13"/>
  <c r="L160" i="14" s="1"/>
  <c r="M25" i="13"/>
  <c r="L171" i="14" s="1"/>
  <c r="M50" i="13"/>
  <c r="M32" i="13"/>
  <c r="L192" i="14" s="1"/>
  <c r="J7" i="21"/>
  <c r="J13" i="21" s="1"/>
  <c r="M24" i="13"/>
  <c r="L168" i="14" s="1"/>
  <c r="K33" i="13"/>
  <c r="J201" i="14" s="1"/>
  <c r="K12" i="13"/>
  <c r="N12" i="13"/>
  <c r="M26" i="13"/>
  <c r="L176" i="14" s="1"/>
  <c r="M47" i="13"/>
  <c r="L254" i="14" s="1"/>
  <c r="M38" i="13"/>
  <c r="M28" i="13"/>
  <c r="L179" i="14" s="1"/>
  <c r="O45" i="45"/>
  <c r="O46" i="45" s="1"/>
  <c r="P27" i="45"/>
  <c r="P68" i="45" s="1"/>
  <c r="V247" i="42"/>
  <c r="V230" i="42"/>
  <c r="V233" i="42" s="1"/>
  <c r="V236" i="42" s="1"/>
  <c r="V239" i="42" s="1"/>
  <c r="V240" i="42" s="1"/>
  <c r="V227" i="42"/>
  <c r="V224" i="42"/>
  <c r="K148" i="14"/>
  <c r="L38" i="13"/>
  <c r="I190" i="14"/>
  <c r="I193" i="14"/>
  <c r="I141" i="14"/>
  <c r="I240" i="14" s="1"/>
  <c r="I328" i="14" s="1"/>
  <c r="O9" i="13"/>
  <c r="I57" i="15"/>
  <c r="R5" i="16"/>
  <c r="S3" i="16"/>
  <c r="R4" i="16"/>
  <c r="L42" i="13"/>
  <c r="K230" i="14" s="1"/>
  <c r="L26" i="13"/>
  <c r="K176" i="14" s="1"/>
  <c r="I56" i="15"/>
  <c r="L39" i="13"/>
  <c r="I37" i="13"/>
  <c r="H193" i="14"/>
  <c r="H141" i="14"/>
  <c r="H240" i="14" s="1"/>
  <c r="H328" i="14" s="1"/>
  <c r="H190" i="14"/>
  <c r="I58" i="15"/>
  <c r="O89" i="13"/>
  <c r="O81" i="13"/>
  <c r="H169" i="14"/>
  <c r="H291" i="14" s="1"/>
  <c r="K3" i="15"/>
  <c r="J4" i="15"/>
  <c r="J5" i="15"/>
  <c r="H60" i="15"/>
  <c r="H64" i="15" s="1"/>
  <c r="I140" i="14"/>
  <c r="H140" i="14"/>
  <c r="L144" i="14"/>
  <c r="I28" i="13"/>
  <c r="H179" i="14" s="1"/>
  <c r="I23" i="13"/>
  <c r="H165" i="14" s="1"/>
  <c r="I16" i="13"/>
  <c r="H156" i="14" s="1"/>
  <c r="K144" i="14"/>
  <c r="J23" i="13"/>
  <c r="I165" i="14" s="1"/>
  <c r="J16" i="13"/>
  <c r="I156" i="14" s="1"/>
  <c r="L28" i="13"/>
  <c r="K179" i="14" s="1"/>
  <c r="L23" i="13"/>
  <c r="K165" i="14" s="1"/>
  <c r="L16" i="13"/>
  <c r="K156" i="14" s="1"/>
  <c r="M23" i="13"/>
  <c r="M16" i="13"/>
  <c r="L156" i="14" s="1"/>
  <c r="I144" i="14"/>
  <c r="G9" i="21"/>
  <c r="N16" i="13"/>
  <c r="M156" i="14" s="1"/>
  <c r="N23" i="13"/>
  <c r="M165" i="14" s="1"/>
  <c r="K28" i="13"/>
  <c r="J179" i="14" s="1"/>
  <c r="K16" i="13"/>
  <c r="K23" i="13"/>
  <c r="J165" i="14" s="1"/>
  <c r="O28" i="13"/>
  <c r="O23" i="13"/>
  <c r="N165" i="14" s="1"/>
  <c r="M144" i="14"/>
  <c r="H188" i="14"/>
  <c r="H273" i="14"/>
  <c r="H144" i="14"/>
  <c r="F9" i="21"/>
  <c r="F12" i="21" s="1"/>
  <c r="K38" i="13"/>
  <c r="P65" i="13"/>
  <c r="H38" i="6"/>
  <c r="I35" i="6" s="1"/>
  <c r="O55" i="22"/>
  <c r="O48" i="22"/>
  <c r="K39" i="13"/>
  <c r="J152" i="14"/>
  <c r="I25" i="13"/>
  <c r="H171" i="14" s="1"/>
  <c r="K47" i="13"/>
  <c r="J254" i="14" s="1"/>
  <c r="K26" i="13"/>
  <c r="J176" i="14" s="1"/>
  <c r="J148" i="14"/>
  <c r="K42" i="13"/>
  <c r="J230" i="14" s="1"/>
  <c r="H7" i="21"/>
  <c r="H13" i="21" s="1"/>
  <c r="K20" i="13"/>
  <c r="J160" i="14" s="1"/>
  <c r="I32" i="13"/>
  <c r="H192" i="14" s="1"/>
  <c r="K45" i="13"/>
  <c r="J234" i="14" s="1"/>
  <c r="K32" i="13"/>
  <c r="J192" i="14" s="1"/>
  <c r="K50" i="13"/>
  <c r="K24" i="13"/>
  <c r="J168" i="14" s="1"/>
  <c r="I50" i="13"/>
  <c r="I52" i="13" s="1"/>
  <c r="I12" i="13"/>
  <c r="H152" i="14" s="1"/>
  <c r="I26" i="13"/>
  <c r="H176" i="14" s="1"/>
  <c r="L47" i="13"/>
  <c r="K254" i="14" s="1"/>
  <c r="L50" i="13"/>
  <c r="L33" i="13"/>
  <c r="K201" i="14" s="1"/>
  <c r="L20" i="13"/>
  <c r="K160" i="14" s="1"/>
  <c r="L45" i="13"/>
  <c r="K234" i="14" s="1"/>
  <c r="L32" i="13"/>
  <c r="K192" i="14" s="1"/>
  <c r="I7" i="21"/>
  <c r="I13" i="21" s="1"/>
  <c r="H304" i="14"/>
  <c r="H229" i="14"/>
  <c r="H289" i="14"/>
  <c r="H233" i="14"/>
  <c r="H218" i="14"/>
  <c r="H222" i="14" s="1"/>
  <c r="J4" i="14"/>
  <c r="J140" i="14" s="1"/>
  <c r="K2" i="14"/>
  <c r="K3" i="14" s="1"/>
  <c r="J6" i="14"/>
  <c r="J5" i="14"/>
  <c r="H241" i="14"/>
  <c r="H317" i="14"/>
  <c r="I283" i="14"/>
  <c r="J28" i="13"/>
  <c r="I179" i="14" s="1"/>
  <c r="J39" i="13"/>
  <c r="I208" i="14" s="1"/>
  <c r="I256" i="14" s="1"/>
  <c r="I269" i="14" s="1"/>
  <c r="I148" i="14"/>
  <c r="J32" i="13"/>
  <c r="I192" i="14" s="1"/>
  <c r="J33" i="13"/>
  <c r="I201" i="14" s="1"/>
  <c r="J25" i="13"/>
  <c r="I171" i="14" s="1"/>
  <c r="J42" i="13"/>
  <c r="I230" i="14" s="1"/>
  <c r="J47" i="13"/>
  <c r="I254" i="14" s="1"/>
  <c r="J24" i="13"/>
  <c r="I168" i="14" s="1"/>
  <c r="J50" i="13"/>
  <c r="J52" i="13" s="1"/>
  <c r="J26" i="13"/>
  <c r="I176" i="14" s="1"/>
  <c r="J38" i="13"/>
  <c r="J45" i="13"/>
  <c r="I234" i="14" s="1"/>
  <c r="J20" i="13"/>
  <c r="I160" i="14" s="1"/>
  <c r="G7" i="21"/>
  <c r="G13" i="21" s="1"/>
  <c r="I152" i="14"/>
  <c r="I196" i="14"/>
  <c r="H299" i="14"/>
  <c r="H247" i="14"/>
  <c r="H198" i="14"/>
  <c r="N28" i="13"/>
  <c r="M179" i="14" s="1"/>
  <c r="N25" i="13"/>
  <c r="M171" i="14" s="1"/>
  <c r="N24" i="13"/>
  <c r="M168" i="14" s="1"/>
  <c r="N20" i="13"/>
  <c r="M160" i="14" s="1"/>
  <c r="K7" i="21"/>
  <c r="K12" i="21" s="1"/>
  <c r="N26" i="13"/>
  <c r="M176" i="14" s="1"/>
  <c r="I259" i="14"/>
  <c r="I213" i="14"/>
  <c r="I313" i="14" s="1"/>
  <c r="I211" i="14"/>
  <c r="I311" i="14" s="1"/>
  <c r="I216" i="14"/>
  <c r="I224" i="14" s="1"/>
  <c r="J48" i="13"/>
  <c r="J37" i="13"/>
  <c r="I237" i="14"/>
  <c r="I212" i="14"/>
  <c r="I312" i="14" s="1"/>
  <c r="I204" i="14"/>
  <c r="I300" i="14" s="1"/>
  <c r="I153" i="14"/>
  <c r="I244" i="14" s="1"/>
  <c r="J31" i="13"/>
  <c r="I286" i="14"/>
  <c r="I231" i="14"/>
  <c r="I250" i="14" s="1"/>
  <c r="I276" i="14" s="1"/>
  <c r="I202" i="14"/>
  <c r="I199" i="14"/>
  <c r="I145" i="14"/>
  <c r="J27" i="13"/>
  <c r="I210" i="14"/>
  <c r="I310" i="14" s="1"/>
  <c r="I235" i="14"/>
  <c r="I251" i="14" s="1"/>
  <c r="I277" i="14" s="1"/>
  <c r="I157" i="14"/>
  <c r="I217" i="14"/>
  <c r="I225" i="14" s="1"/>
  <c r="I7" i="14"/>
  <c r="I255" i="14"/>
  <c r="I267" i="14" s="1"/>
  <c r="I227" i="14"/>
  <c r="J49" i="13"/>
  <c r="J17" i="13"/>
  <c r="M152" i="14"/>
  <c r="K42" i="4"/>
  <c r="J46" i="4"/>
  <c r="Y54" i="4" s="1"/>
  <c r="G49" i="4"/>
  <c r="G57" i="4"/>
  <c r="G48" i="4"/>
  <c r="H45" i="4" s="1"/>
  <c r="H37" i="3"/>
  <c r="H38" i="3" s="1"/>
  <c r="P73" i="13"/>
  <c r="J208" i="14"/>
  <c r="J256" i="14" s="1"/>
  <c r="J269" i="14" s="1"/>
  <c r="H208" i="14"/>
  <c r="H256" i="14" s="1"/>
  <c r="H269" i="14" s="1"/>
  <c r="I40" i="13"/>
  <c r="M6" i="21"/>
  <c r="M8" i="21" s="1"/>
  <c r="M11" i="21" s="1"/>
  <c r="P93" i="13"/>
  <c r="P86" i="13"/>
  <c r="P79" i="13"/>
  <c r="P87" i="13"/>
  <c r="P78" i="13"/>
  <c r="P3" i="13"/>
  <c r="P94" i="13"/>
  <c r="P84" i="13"/>
  <c r="P76" i="13"/>
  <c r="P4" i="13"/>
  <c r="H38" i="13"/>
  <c r="P92" i="13"/>
  <c r="P85" i="13"/>
  <c r="P95" i="13"/>
  <c r="P77" i="13"/>
  <c r="G25" i="13"/>
  <c r="H45" i="13"/>
  <c r="N45" i="13" s="1"/>
  <c r="M234" i="14" s="1"/>
  <c r="Q2" i="13"/>
  <c r="H33" i="13"/>
  <c r="G28" i="13"/>
  <c r="H36" i="13"/>
  <c r="G20" i="13"/>
  <c r="G26" i="13"/>
  <c r="H50" i="13"/>
  <c r="H39" i="13"/>
  <c r="G24" i="13"/>
  <c r="O20" i="13"/>
  <c r="N160" i="14" s="1"/>
  <c r="O26" i="13"/>
  <c r="N176" i="14" s="1"/>
  <c r="O25" i="13"/>
  <c r="N171" i="14" s="1"/>
  <c r="O24" i="13"/>
  <c r="N168" i="14" s="1"/>
  <c r="L7" i="21"/>
  <c r="L12" i="21" s="1"/>
  <c r="N179" i="14"/>
  <c r="H160" i="14"/>
  <c r="K208" i="14"/>
  <c r="K256" i="14" s="1"/>
  <c r="K269" i="14" s="1"/>
  <c r="O10" i="13"/>
  <c r="N144" i="14" s="1"/>
  <c r="H22" i="6"/>
  <c r="H23" i="6" s="1"/>
  <c r="Q70" i="13"/>
  <c r="Q61" i="13"/>
  <c r="Q62" i="13"/>
  <c r="Q68" i="13"/>
  <c r="Q71" i="13"/>
  <c r="Q60" i="13"/>
  <c r="Q63" i="13"/>
  <c r="Q69" i="13"/>
  <c r="I149" i="14" l="1"/>
  <c r="I243" i="14" s="1"/>
  <c r="P97" i="13"/>
  <c r="P16" i="13" s="1"/>
  <c r="O156" i="14" s="1"/>
  <c r="H42" i="13"/>
  <c r="H47" i="13"/>
  <c r="N47" i="13" s="1"/>
  <c r="M254" i="14" s="1"/>
  <c r="H149" i="14"/>
  <c r="H175" i="14" s="1"/>
  <c r="H177" i="14" s="1"/>
  <c r="H305" i="14" s="1"/>
  <c r="O11" i="13"/>
  <c r="N148" i="14" s="1"/>
  <c r="F76" i="22"/>
  <c r="F87" i="22"/>
  <c r="O81" i="22"/>
  <c r="O83" i="22" s="1"/>
  <c r="J156" i="14"/>
  <c r="H9" i="21"/>
  <c r="H12" i="21" s="1"/>
  <c r="I9" i="21"/>
  <c r="J9" i="21"/>
  <c r="J12" i="21" s="1"/>
  <c r="K9" i="21"/>
  <c r="K13" i="21" s="1"/>
  <c r="O12" i="13"/>
  <c r="N152" i="14" s="1"/>
  <c r="P81" i="13"/>
  <c r="P69" i="45"/>
  <c r="P79" i="45"/>
  <c r="V248" i="42"/>
  <c r="V250" i="42" s="1"/>
  <c r="W246" i="42" s="1"/>
  <c r="P30" i="45"/>
  <c r="P32" i="45" s="1"/>
  <c r="P58" i="45" s="1"/>
  <c r="V242" i="42"/>
  <c r="V185" i="42" s="1"/>
  <c r="V186" i="42" s="1"/>
  <c r="V192" i="42" s="1"/>
  <c r="V263" i="42" s="1"/>
  <c r="I166" i="14"/>
  <c r="I290" i="14" s="1"/>
  <c r="H166" i="14"/>
  <c r="H290" i="14" s="1"/>
  <c r="I161" i="14"/>
  <c r="I197" i="14" s="1"/>
  <c r="I172" i="14"/>
  <c r="I293" i="14" s="1"/>
  <c r="H172" i="14"/>
  <c r="H293" i="14" s="1"/>
  <c r="H180" i="14"/>
  <c r="H307" i="14" s="1"/>
  <c r="H161" i="14"/>
  <c r="H274" i="14" s="1"/>
  <c r="I180" i="14"/>
  <c r="I307" i="14" s="1"/>
  <c r="H242" i="14"/>
  <c r="I60" i="15"/>
  <c r="I64" i="15" s="1"/>
  <c r="T3" i="16"/>
  <c r="S5" i="16"/>
  <c r="S4" i="16"/>
  <c r="K40" i="13"/>
  <c r="I12" i="21"/>
  <c r="I189" i="14"/>
  <c r="I246" i="14"/>
  <c r="I187" i="14"/>
  <c r="H297" i="14"/>
  <c r="K52" i="13"/>
  <c r="J141" i="14"/>
  <c r="J161" i="14" s="1"/>
  <c r="J197" i="14" s="1"/>
  <c r="J190" i="14"/>
  <c r="J193" i="14"/>
  <c r="I220" i="14"/>
  <c r="H189" i="14"/>
  <c r="H246" i="14"/>
  <c r="J187" i="14"/>
  <c r="I297" i="14"/>
  <c r="P89" i="13"/>
  <c r="K4" i="15"/>
  <c r="K5" i="15"/>
  <c r="L3" i="15"/>
  <c r="J57" i="15"/>
  <c r="J58" i="15"/>
  <c r="J59" i="15"/>
  <c r="J56" i="15"/>
  <c r="I273" i="14"/>
  <c r="I188" i="14"/>
  <c r="P9" i="13"/>
  <c r="G12" i="21"/>
  <c r="P28" i="13"/>
  <c r="O179" i="14" s="1"/>
  <c r="P23" i="13"/>
  <c r="O165" i="14" s="1"/>
  <c r="L165" i="14"/>
  <c r="L9" i="21"/>
  <c r="L13" i="21" s="1"/>
  <c r="Q65" i="13"/>
  <c r="I36" i="6"/>
  <c r="I37" i="6" s="1"/>
  <c r="O47" i="13"/>
  <c r="N254" i="14" s="1"/>
  <c r="J40" i="13"/>
  <c r="O45" i="13"/>
  <c r="N234" i="14" s="1"/>
  <c r="I169" i="14"/>
  <c r="I291" i="14" s="1"/>
  <c r="I233" i="14"/>
  <c r="I289" i="14"/>
  <c r="I304" i="14"/>
  <c r="I229" i="14"/>
  <c r="I241" i="14"/>
  <c r="I242" i="14" s="1"/>
  <c r="I245" i="14" s="1"/>
  <c r="I175" i="14"/>
  <c r="I177" i="14" s="1"/>
  <c r="I305" i="14" s="1"/>
  <c r="I299" i="14"/>
  <c r="J196" i="14"/>
  <c r="I218" i="14"/>
  <c r="I222" i="14" s="1"/>
  <c r="J220" i="14" s="1"/>
  <c r="I247" i="14"/>
  <c r="I198" i="14"/>
  <c r="I317" i="14"/>
  <c r="J283" i="14"/>
  <c r="J255" i="14"/>
  <c r="J267" i="14" s="1"/>
  <c r="J217" i="14"/>
  <c r="J225" i="14" s="1"/>
  <c r="J199" i="14"/>
  <c r="J7" i="14"/>
  <c r="K37" i="13"/>
  <c r="K17" i="13"/>
  <c r="J235" i="14"/>
  <c r="J251" i="14" s="1"/>
  <c r="J277" i="14" s="1"/>
  <c r="J227" i="14"/>
  <c r="J210" i="14"/>
  <c r="J310" i="14" s="1"/>
  <c r="J237" i="14"/>
  <c r="J202" i="14"/>
  <c r="J157" i="14"/>
  <c r="K48" i="13"/>
  <c r="J286" i="14"/>
  <c r="J212" i="14"/>
  <c r="J312" i="14" s="1"/>
  <c r="J211" i="14"/>
  <c r="J311" i="14" s="1"/>
  <c r="J216" i="14"/>
  <c r="J231" i="14"/>
  <c r="J250" i="14" s="1"/>
  <c r="J276" i="14" s="1"/>
  <c r="J153" i="14"/>
  <c r="J244" i="14" s="1"/>
  <c r="K31" i="13"/>
  <c r="J145" i="14"/>
  <c r="K49" i="13"/>
  <c r="J259" i="14"/>
  <c r="J204" i="14"/>
  <c r="J300" i="14" s="1"/>
  <c r="K27" i="13"/>
  <c r="J213" i="14"/>
  <c r="J313" i="14" s="1"/>
  <c r="L2" i="14"/>
  <c r="L3" i="14" s="1"/>
  <c r="K4" i="14"/>
  <c r="K140" i="14" s="1"/>
  <c r="K6" i="14"/>
  <c r="K5" i="14"/>
  <c r="K46" i="4"/>
  <c r="Z54" i="4" s="1"/>
  <c r="L42" i="4"/>
  <c r="G53" i="4"/>
  <c r="G55" i="4" s="1"/>
  <c r="H52" i="4" s="1"/>
  <c r="H57" i="4" s="1"/>
  <c r="H48" i="4"/>
  <c r="I45" i="4" s="1"/>
  <c r="H49" i="4"/>
  <c r="H39" i="3"/>
  <c r="I36" i="3" s="1"/>
  <c r="Q73" i="13"/>
  <c r="N6" i="21"/>
  <c r="N8" i="21" s="1"/>
  <c r="N11" i="21" s="1"/>
  <c r="Q93" i="13"/>
  <c r="Q86" i="13"/>
  <c r="Q79" i="13"/>
  <c r="Q4" i="13"/>
  <c r="Q85" i="13"/>
  <c r="Q77" i="13"/>
  <c r="R2" i="13"/>
  <c r="Q95" i="13"/>
  <c r="Q76" i="13"/>
  <c r="Q94" i="13"/>
  <c r="Q84" i="13"/>
  <c r="Q3" i="13"/>
  <c r="Q87" i="13"/>
  <c r="Q92" i="13"/>
  <c r="Q78" i="13"/>
  <c r="P25" i="13"/>
  <c r="O171" i="14" s="1"/>
  <c r="P24" i="13"/>
  <c r="O168" i="14" s="1"/>
  <c r="M7" i="21"/>
  <c r="M12" i="21" s="1"/>
  <c r="P20" i="13"/>
  <c r="O160" i="14" s="1"/>
  <c r="P26" i="13"/>
  <c r="O176" i="14" s="1"/>
  <c r="P47" i="13"/>
  <c r="P45" i="13"/>
  <c r="O234" i="14" s="1"/>
  <c r="P32" i="13"/>
  <c r="O192" i="14" s="1"/>
  <c r="P10" i="13"/>
  <c r="O144" i="14" s="1"/>
  <c r="H24" i="6"/>
  <c r="I21" i="6" s="1"/>
  <c r="R71" i="13"/>
  <c r="R68" i="13"/>
  <c r="R61" i="13"/>
  <c r="R70" i="13"/>
  <c r="R69" i="13"/>
  <c r="R60" i="13"/>
  <c r="R62" i="13"/>
  <c r="R63" i="13"/>
  <c r="Q97" i="13" l="1"/>
  <c r="H243" i="14"/>
  <c r="H245" i="14" s="1"/>
  <c r="H266" i="14" s="1"/>
  <c r="H329" i="14" s="1"/>
  <c r="H330" i="14" s="1"/>
  <c r="J149" i="14"/>
  <c r="J243" i="14" s="1"/>
  <c r="H308" i="14"/>
  <c r="H314" i="14" s="1"/>
  <c r="H318" i="14" s="1"/>
  <c r="P11" i="13"/>
  <c r="O148" i="14" s="1"/>
  <c r="P12" i="13"/>
  <c r="O152" i="14" s="1"/>
  <c r="V195" i="42"/>
  <c r="W196" i="42" s="1"/>
  <c r="W215" i="42" s="1"/>
  <c r="W216" i="42" s="1"/>
  <c r="W218" i="42" s="1"/>
  <c r="V191" i="42"/>
  <c r="V253" i="42" s="1"/>
  <c r="V257" i="42" s="1"/>
  <c r="V259" i="42" s="1"/>
  <c r="W184" i="42"/>
  <c r="W188" i="42" s="1"/>
  <c r="W189" i="42" s="1"/>
  <c r="V267" i="42"/>
  <c r="P28" i="45" s="1"/>
  <c r="V265" i="42"/>
  <c r="I274" i="14"/>
  <c r="H332" i="14"/>
  <c r="H294" i="14"/>
  <c r="H301" i="14" s="1"/>
  <c r="H197" i="14"/>
  <c r="H182" i="14"/>
  <c r="J274" i="14"/>
  <c r="J240" i="14"/>
  <c r="J328" i="14" s="1"/>
  <c r="J172" i="14"/>
  <c r="J293" i="14" s="1"/>
  <c r="J180" i="14"/>
  <c r="J307" i="14" s="1"/>
  <c r="U3" i="16"/>
  <c r="T4" i="16"/>
  <c r="T5" i="16"/>
  <c r="J218" i="14"/>
  <c r="J222" i="14" s="1"/>
  <c r="K220" i="14" s="1"/>
  <c r="K187" i="14"/>
  <c r="J297" i="14"/>
  <c r="K193" i="14"/>
  <c r="K141" i="14"/>
  <c r="K149" i="14" s="1"/>
  <c r="K243" i="14" s="1"/>
  <c r="K190" i="14"/>
  <c r="J189" i="14"/>
  <c r="J246" i="14"/>
  <c r="J166" i="14"/>
  <c r="J290" i="14" s="1"/>
  <c r="Q81" i="13"/>
  <c r="Q89" i="13"/>
  <c r="K57" i="15"/>
  <c r="K58" i="15"/>
  <c r="K56" i="15"/>
  <c r="K59" i="15"/>
  <c r="M3" i="15"/>
  <c r="L5" i="15"/>
  <c r="L4" i="15"/>
  <c r="J60" i="15"/>
  <c r="J64" i="15" s="1"/>
  <c r="Q9" i="13"/>
  <c r="Q16" i="13"/>
  <c r="P156" i="14" s="1"/>
  <c r="Q23" i="13"/>
  <c r="P165" i="14" s="1"/>
  <c r="J273" i="14"/>
  <c r="J188" i="14"/>
  <c r="H27" i="15"/>
  <c r="R65" i="13"/>
  <c r="I38" i="6"/>
  <c r="J35" i="6" s="1"/>
  <c r="J224" i="14"/>
  <c r="J233" i="14" s="1"/>
  <c r="I182" i="14"/>
  <c r="I308" i="14"/>
  <c r="I314" i="14" s="1"/>
  <c r="I318" i="14" s="1"/>
  <c r="Q28" i="13"/>
  <c r="P179" i="14" s="1"/>
  <c r="J241" i="14"/>
  <c r="J169" i="14"/>
  <c r="J247" i="14"/>
  <c r="J198" i="14"/>
  <c r="J229" i="14"/>
  <c r="J304" i="14"/>
  <c r="I266" i="14"/>
  <c r="I329" i="14" s="1"/>
  <c r="I330" i="14" s="1"/>
  <c r="I249" i="14"/>
  <c r="J317" i="14"/>
  <c r="K283" i="14"/>
  <c r="M2" i="14"/>
  <c r="M3" i="14" s="1"/>
  <c r="L4" i="14"/>
  <c r="L140" i="14" s="1"/>
  <c r="L6" i="14"/>
  <c r="L5" i="14"/>
  <c r="J299" i="14"/>
  <c r="K196" i="14"/>
  <c r="I332" i="14"/>
  <c r="I333" i="14" s="1"/>
  <c r="I294" i="14"/>
  <c r="I301" i="14" s="1"/>
  <c r="K259" i="14"/>
  <c r="K211" i="14"/>
  <c r="K311" i="14" s="1"/>
  <c r="K216" i="14"/>
  <c r="K157" i="14"/>
  <c r="L48" i="13"/>
  <c r="K255" i="14"/>
  <c r="K267" i="14" s="1"/>
  <c r="K210" i="14"/>
  <c r="K310" i="14" s="1"/>
  <c r="K237" i="14"/>
  <c r="K202" i="14"/>
  <c r="K153" i="14"/>
  <c r="K244" i="14" s="1"/>
  <c r="L31" i="13"/>
  <c r="K224" i="14"/>
  <c r="K217" i="14"/>
  <c r="K199" i="14"/>
  <c r="K231" i="14"/>
  <c r="K250" i="14" s="1"/>
  <c r="K276" i="14" s="1"/>
  <c r="K235" i="14"/>
  <c r="K251" i="14" s="1"/>
  <c r="K277" i="14" s="1"/>
  <c r="K145" i="14"/>
  <c r="L49" i="13"/>
  <c r="L27" i="13"/>
  <c r="K286" i="14"/>
  <c r="K213" i="14"/>
  <c r="K313" i="14" s="1"/>
  <c r="L17" i="13"/>
  <c r="K225" i="14"/>
  <c r="K212" i="14"/>
  <c r="K312" i="14" s="1"/>
  <c r="K227" i="14"/>
  <c r="K7" i="14"/>
  <c r="K204" i="14"/>
  <c r="K300" i="14" s="1"/>
  <c r="L37" i="13"/>
  <c r="L52" i="13"/>
  <c r="L40" i="13"/>
  <c r="L46" i="4"/>
  <c r="AA54" i="4" s="1"/>
  <c r="M42" i="4"/>
  <c r="I49" i="4"/>
  <c r="I48" i="4"/>
  <c r="J45" i="4" s="1"/>
  <c r="H53" i="4"/>
  <c r="H55" i="4" s="1"/>
  <c r="I52" i="4" s="1"/>
  <c r="I57" i="4" s="1"/>
  <c r="I37" i="3"/>
  <c r="I38" i="3" s="1"/>
  <c r="R73" i="13"/>
  <c r="Q26" i="13"/>
  <c r="P176" i="14" s="1"/>
  <c r="Q25" i="13"/>
  <c r="P171" i="14" s="1"/>
  <c r="Q24" i="13"/>
  <c r="P168" i="14" s="1"/>
  <c r="N7" i="21"/>
  <c r="N12" i="21" s="1"/>
  <c r="Q20" i="13"/>
  <c r="P160" i="14" s="1"/>
  <c r="Q45" i="13"/>
  <c r="P234" i="14" s="1"/>
  <c r="Q32" i="13"/>
  <c r="P192" i="14" s="1"/>
  <c r="Q47" i="13"/>
  <c r="P254" i="14" s="1"/>
  <c r="O6" i="21"/>
  <c r="O8" i="21" s="1"/>
  <c r="O11" i="21" s="1"/>
  <c r="R95" i="13"/>
  <c r="R84" i="13"/>
  <c r="R77" i="13"/>
  <c r="R87" i="13"/>
  <c r="R79" i="13"/>
  <c r="R94" i="13"/>
  <c r="R85" i="13"/>
  <c r="R76" i="13"/>
  <c r="S2" i="13"/>
  <c r="R86" i="13"/>
  <c r="R92" i="13"/>
  <c r="R78" i="13"/>
  <c r="R4" i="13"/>
  <c r="R93" i="13"/>
  <c r="R3" i="13"/>
  <c r="O254" i="14"/>
  <c r="I27" i="15"/>
  <c r="Q10" i="13"/>
  <c r="P144" i="14" s="1"/>
  <c r="I22" i="6"/>
  <c r="I23" i="6" s="1"/>
  <c r="I24" i="6" s="1"/>
  <c r="J21" i="6" s="1"/>
  <c r="S60" i="13"/>
  <c r="S62" i="13"/>
  <c r="S71" i="13"/>
  <c r="S61" i="13"/>
  <c r="S69" i="13"/>
  <c r="S68" i="13"/>
  <c r="S70" i="13"/>
  <c r="S63" i="13"/>
  <c r="R97" i="13" l="1"/>
  <c r="J175" i="14"/>
  <c r="J177" i="14" s="1"/>
  <c r="J305" i="14" s="1"/>
  <c r="H323" i="14"/>
  <c r="H324" i="14" s="1"/>
  <c r="H272" i="14"/>
  <c r="H275" i="14" s="1"/>
  <c r="H279" i="14" s="1"/>
  <c r="H221" i="14" s="1"/>
  <c r="H249" i="14"/>
  <c r="H253" i="14" s="1"/>
  <c r="H257" i="14" s="1"/>
  <c r="H326" i="14" s="1"/>
  <c r="H333" i="14"/>
  <c r="M9" i="21"/>
  <c r="M13" i="21" s="1"/>
  <c r="Q11" i="13"/>
  <c r="P148" i="14" s="1"/>
  <c r="Q12" i="13"/>
  <c r="P152" i="14" s="1"/>
  <c r="V272" i="42"/>
  <c r="V274" i="42" s="1"/>
  <c r="P41" i="45"/>
  <c r="V268" i="42"/>
  <c r="W219" i="42"/>
  <c r="W221" i="42" s="1"/>
  <c r="I183" i="14"/>
  <c r="I268" i="14" s="1"/>
  <c r="I272" i="14" s="1"/>
  <c r="I275" i="14" s="1"/>
  <c r="H320" i="14"/>
  <c r="H321" i="14" s="1"/>
  <c r="H322" i="14"/>
  <c r="J242" i="14"/>
  <c r="J245" i="14" s="1"/>
  <c r="J266" i="14" s="1"/>
  <c r="J329" i="14" s="1"/>
  <c r="J330" i="14" s="1"/>
  <c r="K240" i="14"/>
  <c r="K328" i="14" s="1"/>
  <c r="K172" i="14"/>
  <c r="K293" i="14" s="1"/>
  <c r="K180" i="14"/>
  <c r="K307" i="14" s="1"/>
  <c r="K166" i="14"/>
  <c r="K290" i="14" s="1"/>
  <c r="K161" i="14"/>
  <c r="K189" i="14"/>
  <c r="K246" i="14"/>
  <c r="V3" i="16"/>
  <c r="U5" i="16"/>
  <c r="U4" i="16"/>
  <c r="L141" i="14"/>
  <c r="L149" i="14" s="1"/>
  <c r="L243" i="14" s="1"/>
  <c r="L190" i="14"/>
  <c r="L193" i="14"/>
  <c r="L187" i="14"/>
  <c r="K297" i="14"/>
  <c r="R81" i="13"/>
  <c r="R89" i="13"/>
  <c r="I322" i="14"/>
  <c r="N3" i="15"/>
  <c r="M5" i="15"/>
  <c r="M4" i="15"/>
  <c r="L57" i="15"/>
  <c r="L56" i="15"/>
  <c r="L59" i="15"/>
  <c r="K60" i="15"/>
  <c r="K64" i="15" s="1"/>
  <c r="I323" i="14"/>
  <c r="I324" i="14" s="1"/>
  <c r="N9" i="21"/>
  <c r="N13" i="21" s="1"/>
  <c r="R28" i="13"/>
  <c r="Q179" i="14" s="1"/>
  <c r="R16" i="13"/>
  <c r="Q156" i="14" s="1"/>
  <c r="R23" i="13"/>
  <c r="Q165" i="14" s="1"/>
  <c r="R9" i="13"/>
  <c r="K188" i="14"/>
  <c r="K273" i="14"/>
  <c r="J289" i="14"/>
  <c r="S65" i="13"/>
  <c r="J36" i="6"/>
  <c r="J37" i="6" s="1"/>
  <c r="J308" i="14"/>
  <c r="J314" i="14" s="1"/>
  <c r="J318" i="14" s="1"/>
  <c r="I320" i="14"/>
  <c r="I321" i="14" s="1"/>
  <c r="K233" i="14"/>
  <c r="K289" i="14"/>
  <c r="L227" i="14"/>
  <c r="L210" i="14"/>
  <c r="L310" i="14" s="1"/>
  <c r="L237" i="14"/>
  <c r="L202" i="14"/>
  <c r="L217" i="14"/>
  <c r="L199" i="14"/>
  <c r="L145" i="14"/>
  <c r="M27" i="13"/>
  <c r="L286" i="14"/>
  <c r="L216" i="14"/>
  <c r="L224" i="14" s="1"/>
  <c r="L231" i="14"/>
  <c r="L250" i="14" s="1"/>
  <c r="L276" i="14" s="1"/>
  <c r="L235" i="14"/>
  <c r="L251" i="14" s="1"/>
  <c r="L277" i="14" s="1"/>
  <c r="L225" i="14"/>
  <c r="L157" i="14"/>
  <c r="L7" i="14"/>
  <c r="M49" i="13"/>
  <c r="L259" i="14"/>
  <c r="L204" i="14"/>
  <c r="L300" i="14" s="1"/>
  <c r="L213" i="14"/>
  <c r="L313" i="14" s="1"/>
  <c r="L212" i="14"/>
  <c r="L312" i="14" s="1"/>
  <c r="L211" i="14"/>
  <c r="L311" i="14" s="1"/>
  <c r="M48" i="13"/>
  <c r="L255" i="14"/>
  <c r="L267" i="14" s="1"/>
  <c r="L153" i="14"/>
  <c r="L244" i="14" s="1"/>
  <c r="M31" i="13"/>
  <c r="E17" i="15" s="1"/>
  <c r="E18" i="15" s="1"/>
  <c r="M17" i="13"/>
  <c r="M37" i="13"/>
  <c r="M40" i="13"/>
  <c r="M52" i="13"/>
  <c r="K299" i="14"/>
  <c r="L196" i="14"/>
  <c r="K218" i="14"/>
  <c r="K222" i="14" s="1"/>
  <c r="L220" i="14" s="1"/>
  <c r="L283" i="14"/>
  <c r="K317" i="14"/>
  <c r="K198" i="14"/>
  <c r="K247" i="14"/>
  <c r="K229" i="14"/>
  <c r="K304" i="14"/>
  <c r="K175" i="14"/>
  <c r="K177" i="14" s="1"/>
  <c r="K305" i="14" s="1"/>
  <c r="K241" i="14"/>
  <c r="K169" i="14"/>
  <c r="M6" i="14"/>
  <c r="M5" i="14"/>
  <c r="M4" i="14"/>
  <c r="M140" i="14" s="1"/>
  <c r="N2" i="14"/>
  <c r="N3" i="14" s="1"/>
  <c r="J291" i="14"/>
  <c r="J332" i="14" s="1"/>
  <c r="J182" i="14"/>
  <c r="I253" i="14"/>
  <c r="M46" i="4"/>
  <c r="AB54" i="4" s="1"/>
  <c r="N42" i="4"/>
  <c r="J48" i="4"/>
  <c r="K45" i="4" s="1"/>
  <c r="J49" i="4"/>
  <c r="I53" i="4"/>
  <c r="I55" i="4" s="1"/>
  <c r="J52" i="4" s="1"/>
  <c r="J57" i="4" s="1"/>
  <c r="I39" i="3"/>
  <c r="J36" i="3" s="1"/>
  <c r="S73" i="13"/>
  <c r="R20" i="13"/>
  <c r="Q160" i="14" s="1"/>
  <c r="R26" i="13"/>
  <c r="Q176" i="14" s="1"/>
  <c r="R25" i="13"/>
  <c r="Q171" i="14" s="1"/>
  <c r="R24" i="13"/>
  <c r="Q168" i="14" s="1"/>
  <c r="O7" i="21"/>
  <c r="O12" i="21" s="1"/>
  <c r="R45" i="13"/>
  <c r="Q234" i="14" s="1"/>
  <c r="R32" i="13"/>
  <c r="Q192" i="14" s="1"/>
  <c r="R47" i="13"/>
  <c r="Q254" i="14" s="1"/>
  <c r="P6" i="21"/>
  <c r="P8" i="21" s="1"/>
  <c r="P11" i="21" s="1"/>
  <c r="S95" i="13"/>
  <c r="S84" i="13"/>
  <c r="S77" i="13"/>
  <c r="S3" i="13"/>
  <c r="S93" i="13"/>
  <c r="S86" i="13"/>
  <c r="S78" i="13"/>
  <c r="T2" i="13"/>
  <c r="S94" i="13"/>
  <c r="S76" i="13"/>
  <c r="S85" i="13"/>
  <c r="S79" i="13"/>
  <c r="S92" i="13"/>
  <c r="S4" i="13"/>
  <c r="S87" i="13"/>
  <c r="R10" i="13"/>
  <c r="Q144" i="14" s="1"/>
  <c r="J22" i="6"/>
  <c r="J23" i="6" s="1"/>
  <c r="T62" i="13"/>
  <c r="T71" i="13"/>
  <c r="T70" i="13"/>
  <c r="T63" i="13"/>
  <c r="T68" i="13"/>
  <c r="T60" i="13"/>
  <c r="T69" i="13"/>
  <c r="T61" i="13"/>
  <c r="S97" i="13" l="1"/>
  <c r="H331" i="14"/>
  <c r="H262" i="14"/>
  <c r="H325" i="14"/>
  <c r="H341" i="14" s="1"/>
  <c r="H338" i="14" s="1"/>
  <c r="R11" i="13"/>
  <c r="Q148" i="14" s="1"/>
  <c r="R12" i="13"/>
  <c r="Q152" i="14" s="1"/>
  <c r="P43" i="45"/>
  <c r="Q27" i="45"/>
  <c r="Q68" i="45" s="1"/>
  <c r="R27" i="45"/>
  <c r="R68" i="45" s="1"/>
  <c r="S27" i="45"/>
  <c r="S68" i="45" s="1"/>
  <c r="T27" i="45"/>
  <c r="T68" i="45" s="1"/>
  <c r="U27" i="45"/>
  <c r="U68" i="45" s="1"/>
  <c r="V27" i="45"/>
  <c r="V68" i="45" s="1"/>
  <c r="W27" i="45"/>
  <c r="W68" i="45" s="1"/>
  <c r="X27" i="45"/>
  <c r="X68" i="45" s="1"/>
  <c r="Y27" i="45"/>
  <c r="Y68" i="45" s="1"/>
  <c r="Z27" i="45"/>
  <c r="Z68" i="45" s="1"/>
  <c r="AA27" i="45"/>
  <c r="AA68" i="45" s="1"/>
  <c r="V270" i="42"/>
  <c r="V271" i="42" s="1"/>
  <c r="W227" i="42"/>
  <c r="W224" i="42"/>
  <c r="W247" i="42"/>
  <c r="W230" i="42"/>
  <c r="W233" i="42" s="1"/>
  <c r="W236" i="42" s="1"/>
  <c r="W239" i="42" s="1"/>
  <c r="I325" i="14"/>
  <c r="I341" i="14" s="1"/>
  <c r="I338" i="14" s="1"/>
  <c r="K242" i="14"/>
  <c r="K245" i="14" s="1"/>
  <c r="K249" i="14" s="1"/>
  <c r="J333" i="14"/>
  <c r="J249" i="14"/>
  <c r="J253" i="14" s="1"/>
  <c r="M141" i="14"/>
  <c r="L240" i="14"/>
  <c r="L328" i="14" s="1"/>
  <c r="L172" i="14"/>
  <c r="L293" i="14" s="1"/>
  <c r="L161" i="14"/>
  <c r="L180" i="14"/>
  <c r="L307" i="14" s="1"/>
  <c r="L166" i="14"/>
  <c r="L290" i="14" s="1"/>
  <c r="M187" i="14"/>
  <c r="M193" i="14" s="1"/>
  <c r="L297" i="14"/>
  <c r="W3" i="16"/>
  <c r="V5" i="16"/>
  <c r="V4" i="16"/>
  <c r="M263" i="14"/>
  <c r="M262" i="14"/>
  <c r="L189" i="14"/>
  <c r="L246" i="14"/>
  <c r="K197" i="14"/>
  <c r="K274" i="14"/>
  <c r="S89" i="13"/>
  <c r="S81" i="13"/>
  <c r="H260" i="14"/>
  <c r="H327" i="14" s="1"/>
  <c r="M56" i="15"/>
  <c r="N5" i="15"/>
  <c r="O3" i="15"/>
  <c r="N4" i="15"/>
  <c r="S28" i="13"/>
  <c r="S23" i="13"/>
  <c r="R165" i="14" s="1"/>
  <c r="S16" i="13"/>
  <c r="R156" i="14" s="1"/>
  <c r="H284" i="14"/>
  <c r="H263" i="14"/>
  <c r="S9" i="13"/>
  <c r="L273" i="14"/>
  <c r="L188" i="14"/>
  <c r="I257" i="14"/>
  <c r="I263" i="14" s="1"/>
  <c r="I262" i="14"/>
  <c r="I279" i="14"/>
  <c r="I221" i="14" s="1"/>
  <c r="I331" i="14"/>
  <c r="T65" i="13"/>
  <c r="J38" i="6"/>
  <c r="K35" i="6" s="1"/>
  <c r="K36" i="6"/>
  <c r="K37" i="6" s="1"/>
  <c r="K308" i="14"/>
  <c r="K314" i="14" s="1"/>
  <c r="K318" i="14" s="1"/>
  <c r="N4" i="14"/>
  <c r="N140" i="14" s="1"/>
  <c r="N6" i="14"/>
  <c r="N5" i="14"/>
  <c r="O2" i="14"/>
  <c r="O3" i="14" s="1"/>
  <c r="J183" i="14"/>
  <c r="J268" i="14" s="1"/>
  <c r="J272" i="14" s="1"/>
  <c r="J275" i="14" s="1"/>
  <c r="L218" i="14"/>
  <c r="L222" i="14" s="1"/>
  <c r="M220" i="14" s="1"/>
  <c r="M196" i="14"/>
  <c r="L299" i="14"/>
  <c r="K291" i="14"/>
  <c r="K332" i="14" s="1"/>
  <c r="K182" i="14"/>
  <c r="K183" i="14" s="1"/>
  <c r="K268" i="14" s="1"/>
  <c r="L241" i="14"/>
  <c r="L175" i="14"/>
  <c r="L177" i="14" s="1"/>
  <c r="L305" i="14" s="1"/>
  <c r="L169" i="14"/>
  <c r="M237" i="14"/>
  <c r="M227" i="14"/>
  <c r="N48" i="13"/>
  <c r="N52" i="13"/>
  <c r="M213" i="14"/>
  <c r="M313" i="14" s="1"/>
  <c r="M217" i="14"/>
  <c r="M216" i="14"/>
  <c r="M204" i="14"/>
  <c r="M300" i="14" s="1"/>
  <c r="N31" i="13"/>
  <c r="N40" i="13"/>
  <c r="M211" i="14"/>
  <c r="M311" i="14" s="1"/>
  <c r="N27" i="13"/>
  <c r="N37" i="13"/>
  <c r="M212" i="14"/>
  <c r="M312" i="14" s="1"/>
  <c r="N49" i="13"/>
  <c r="N17" i="13"/>
  <c r="M210" i="14"/>
  <c r="M310" i="14" s="1"/>
  <c r="M259" i="14"/>
  <c r="M7" i="14"/>
  <c r="J294" i="14"/>
  <c r="J301" i="14" s="1"/>
  <c r="J320" i="14" s="1"/>
  <c r="J321" i="14" s="1"/>
  <c r="L304" i="14"/>
  <c r="L229" i="14"/>
  <c r="L317" i="14"/>
  <c r="M283" i="14"/>
  <c r="L289" i="14"/>
  <c r="L233" i="14"/>
  <c r="M235" i="14" s="1"/>
  <c r="M251" i="14" s="1"/>
  <c r="M277" i="14" s="1"/>
  <c r="L198" i="14"/>
  <c r="L247" i="14"/>
  <c r="O42" i="4"/>
  <c r="N46" i="4"/>
  <c r="AC54" i="4" s="1"/>
  <c r="J53" i="4"/>
  <c r="J55" i="4" s="1"/>
  <c r="K52" i="4" s="1"/>
  <c r="K57" i="4" s="1"/>
  <c r="K48" i="4"/>
  <c r="L45" i="4" s="1"/>
  <c r="K49" i="4"/>
  <c r="T73" i="13"/>
  <c r="T94" i="13"/>
  <c r="T87" i="13"/>
  <c r="T76" i="13"/>
  <c r="T3" i="13"/>
  <c r="T93" i="13"/>
  <c r="T85" i="13"/>
  <c r="T78" i="13"/>
  <c r="T4" i="13"/>
  <c r="T92" i="13"/>
  <c r="T77" i="13"/>
  <c r="T84" i="13"/>
  <c r="U2" i="13"/>
  <c r="T95" i="13"/>
  <c r="T86" i="13"/>
  <c r="T79" i="13"/>
  <c r="S20" i="13"/>
  <c r="R160" i="14" s="1"/>
  <c r="S26" i="13"/>
  <c r="R176" i="14" s="1"/>
  <c r="S25" i="13"/>
  <c r="R171" i="14" s="1"/>
  <c r="S24" i="13"/>
  <c r="R168" i="14" s="1"/>
  <c r="P7" i="21"/>
  <c r="P12" i="21" s="1"/>
  <c r="S47" i="13"/>
  <c r="R254" i="14" s="1"/>
  <c r="S32" i="13"/>
  <c r="R192" i="14" s="1"/>
  <c r="S45" i="13"/>
  <c r="R234" i="14" s="1"/>
  <c r="R179" i="14"/>
  <c r="S10" i="13"/>
  <c r="R144" i="14" s="1"/>
  <c r="J24" i="6"/>
  <c r="K21" i="6" s="1"/>
  <c r="U68" i="13"/>
  <c r="U61" i="13"/>
  <c r="U63" i="13"/>
  <c r="U69" i="13"/>
  <c r="U70" i="13"/>
  <c r="U71" i="13"/>
  <c r="U62" i="13"/>
  <c r="U60" i="13"/>
  <c r="T97" i="13" l="1"/>
  <c r="M161" i="14"/>
  <c r="M149" i="14"/>
  <c r="M243" i="14" s="1"/>
  <c r="O9" i="21"/>
  <c r="O13" i="21" s="1"/>
  <c r="S11" i="13"/>
  <c r="R148" i="14" s="1"/>
  <c r="S12" i="13"/>
  <c r="R152" i="14" s="1"/>
  <c r="P45" i="45"/>
  <c r="P46" i="45" s="1"/>
  <c r="X69" i="45"/>
  <c r="X79" i="45"/>
  <c r="AA69" i="45"/>
  <c r="AA79" i="45"/>
  <c r="S69" i="45"/>
  <c r="S79" i="45"/>
  <c r="Z69" i="45"/>
  <c r="Z79" i="45"/>
  <c r="V69" i="45"/>
  <c r="V79" i="45"/>
  <c r="R69" i="45"/>
  <c r="R79" i="45"/>
  <c r="T69" i="45"/>
  <c r="T79" i="45"/>
  <c r="W69" i="45"/>
  <c r="W79" i="45"/>
  <c r="Y69" i="45"/>
  <c r="Y79" i="45"/>
  <c r="U69" i="45"/>
  <c r="U79" i="45"/>
  <c r="Q69" i="45"/>
  <c r="E70" i="45" s="1"/>
  <c r="E72" i="45" s="1"/>
  <c r="E74" i="45" s="1"/>
  <c r="Q79" i="45"/>
  <c r="W240" i="42"/>
  <c r="W242" i="42" s="1"/>
  <c r="W185" i="42" s="1"/>
  <c r="W186" i="42" s="1"/>
  <c r="K333" i="14"/>
  <c r="K266" i="14"/>
  <c r="K329" i="14" s="1"/>
  <c r="K330" i="14" s="1"/>
  <c r="M153" i="14"/>
  <c r="M244" i="14" s="1"/>
  <c r="M145" i="14"/>
  <c r="M241" i="14" s="1"/>
  <c r="M240" i="14"/>
  <c r="M328" i="14" s="1"/>
  <c r="M157" i="14"/>
  <c r="M273" i="14" s="1"/>
  <c r="M166" i="14"/>
  <c r="M290" i="14" s="1"/>
  <c r="M172" i="14"/>
  <c r="M293" i="14" s="1"/>
  <c r="M180" i="14"/>
  <c r="M307" i="14" s="1"/>
  <c r="I284" i="14"/>
  <c r="L242" i="14"/>
  <c r="L245" i="14" s="1"/>
  <c r="L249" i="14" s="1"/>
  <c r="M189" i="14"/>
  <c r="M246" i="14"/>
  <c r="N262" i="14"/>
  <c r="N263" i="14"/>
  <c r="N141" i="14"/>
  <c r="W4" i="16"/>
  <c r="W5" i="16"/>
  <c r="X3" i="16"/>
  <c r="M274" i="14"/>
  <c r="M197" i="14"/>
  <c r="L274" i="14"/>
  <c r="L197" i="14"/>
  <c r="T89" i="13"/>
  <c r="T81" i="13"/>
  <c r="N56" i="15"/>
  <c r="P3" i="15"/>
  <c r="O4" i="15"/>
  <c r="O5" i="15"/>
  <c r="J323" i="14"/>
  <c r="J324" i="14" s="1"/>
  <c r="J322" i="14"/>
  <c r="J325" i="14" s="1"/>
  <c r="J341" i="14" s="1"/>
  <c r="J338" i="14" s="1"/>
  <c r="T28" i="13"/>
  <c r="S179" i="14" s="1"/>
  <c r="T16" i="13"/>
  <c r="S156" i="14" s="1"/>
  <c r="T23" i="13"/>
  <c r="S165" i="14" s="1"/>
  <c r="I260" i="14"/>
  <c r="I327" i="14" s="1"/>
  <c r="T9" i="13"/>
  <c r="I326" i="14"/>
  <c r="J257" i="14"/>
  <c r="J263" i="14" s="1"/>
  <c r="J262" i="14"/>
  <c r="J279" i="14"/>
  <c r="J221" i="14" s="1"/>
  <c r="J331" i="14"/>
  <c r="U65" i="13"/>
  <c r="K38" i="6"/>
  <c r="L35" i="6" s="1"/>
  <c r="L308" i="14"/>
  <c r="L314" i="14" s="1"/>
  <c r="L318" i="14" s="1"/>
  <c r="M218" i="14"/>
  <c r="L291" i="14"/>
  <c r="L332" i="14" s="1"/>
  <c r="L182" i="14"/>
  <c r="L183" i="14" s="1"/>
  <c r="L268" i="14" s="1"/>
  <c r="K253" i="14"/>
  <c r="K294" i="14"/>
  <c r="K301" i="14" s="1"/>
  <c r="K320" i="14" s="1"/>
  <c r="K321" i="14" s="1"/>
  <c r="N227" i="14"/>
  <c r="N204" i="14"/>
  <c r="N300" i="14" s="1"/>
  <c r="N217" i="14"/>
  <c r="N216" i="14"/>
  <c r="N7" i="14"/>
  <c r="N259" i="14"/>
  <c r="N210" i="14"/>
  <c r="N310" i="14" s="1"/>
  <c r="N212" i="14"/>
  <c r="N312" i="14" s="1"/>
  <c r="N211" i="14"/>
  <c r="N311" i="14" s="1"/>
  <c r="N237" i="14"/>
  <c r="N213" i="14"/>
  <c r="N313" i="14" s="1"/>
  <c r="O4" i="14"/>
  <c r="O140" i="14" s="1"/>
  <c r="O6" i="14"/>
  <c r="O5" i="14"/>
  <c r="P2" i="14"/>
  <c r="P3" i="14" s="1"/>
  <c r="O46" i="4"/>
  <c r="AD54" i="4" s="1"/>
  <c r="P42" i="4"/>
  <c r="L48" i="4"/>
  <c r="M45" i="4" s="1"/>
  <c r="L49" i="4"/>
  <c r="K53" i="4"/>
  <c r="K55" i="4" s="1"/>
  <c r="L52" i="4" s="1"/>
  <c r="L57" i="4" s="1"/>
  <c r="U73" i="13"/>
  <c r="U95" i="13"/>
  <c r="U85" i="13"/>
  <c r="U78" i="13"/>
  <c r="U93" i="13"/>
  <c r="U87" i="13"/>
  <c r="U76" i="13"/>
  <c r="V2" i="13"/>
  <c r="U92" i="13"/>
  <c r="U86" i="13"/>
  <c r="U79" i="13"/>
  <c r="U3" i="13"/>
  <c r="U84" i="13"/>
  <c r="U94" i="13"/>
  <c r="U77" i="13"/>
  <c r="U4" i="13"/>
  <c r="T25" i="13"/>
  <c r="S171" i="14" s="1"/>
  <c r="T24" i="13"/>
  <c r="S168" i="14" s="1"/>
  <c r="T20" i="13"/>
  <c r="S160" i="14" s="1"/>
  <c r="T26" i="13"/>
  <c r="S176" i="14" s="1"/>
  <c r="T45" i="13"/>
  <c r="S234" i="14" s="1"/>
  <c r="T47" i="13"/>
  <c r="S254" i="14" s="1"/>
  <c r="T32" i="13"/>
  <c r="S192" i="14" s="1"/>
  <c r="T10" i="13"/>
  <c r="S144" i="14" s="1"/>
  <c r="K22" i="6"/>
  <c r="K23" i="6" s="1"/>
  <c r="V70" i="13"/>
  <c r="V61" i="13"/>
  <c r="V68" i="13"/>
  <c r="V60" i="13"/>
  <c r="V69" i="13"/>
  <c r="V63" i="13"/>
  <c r="V62" i="13"/>
  <c r="V71" i="13"/>
  <c r="U97" i="13" l="1"/>
  <c r="U16" i="13" s="1"/>
  <c r="T156" i="14" s="1"/>
  <c r="N145" i="14"/>
  <c r="N241" i="14" s="1"/>
  <c r="N149" i="14"/>
  <c r="N243" i="14" s="1"/>
  <c r="P9" i="21"/>
  <c r="P13" i="21" s="1"/>
  <c r="T11" i="13"/>
  <c r="S148" i="14" s="1"/>
  <c r="T12" i="13"/>
  <c r="S152" i="14" s="1"/>
  <c r="E80" i="45"/>
  <c r="E82" i="45" s="1"/>
  <c r="E84" i="45" s="1"/>
  <c r="W30" i="45"/>
  <c r="W32" i="45" s="1"/>
  <c r="W58" i="45" s="1"/>
  <c r="AA30" i="45"/>
  <c r="AA32" i="45" s="1"/>
  <c r="AA58" i="45" s="1"/>
  <c r="V30" i="45"/>
  <c r="V32" i="45" s="1"/>
  <c r="V58" i="45" s="1"/>
  <c r="Z30" i="45"/>
  <c r="Z32" i="45" s="1"/>
  <c r="Z58" i="45" s="1"/>
  <c r="S30" i="45"/>
  <c r="S32" i="45" s="1"/>
  <c r="S58" i="45" s="1"/>
  <c r="Y30" i="45"/>
  <c r="Y32" i="45" s="1"/>
  <c r="Y58" i="45" s="1"/>
  <c r="R30" i="45"/>
  <c r="R32" i="45" s="1"/>
  <c r="R58" i="45" s="1"/>
  <c r="W195" i="42"/>
  <c r="W192" i="42"/>
  <c r="W263" i="42" s="1"/>
  <c r="W191" i="42"/>
  <c r="W253" i="42" s="1"/>
  <c r="W257" i="42" s="1"/>
  <c r="W259" i="42" s="1"/>
  <c r="U30" i="45"/>
  <c r="U32" i="45" s="1"/>
  <c r="U58" i="45" s="1"/>
  <c r="Q30" i="45"/>
  <c r="Q32" i="45" s="1"/>
  <c r="Q58" i="45" s="1"/>
  <c r="X30" i="45"/>
  <c r="X32" i="45" s="1"/>
  <c r="X58" i="45" s="1"/>
  <c r="T30" i="45"/>
  <c r="T32" i="45" s="1"/>
  <c r="T58" i="45" s="1"/>
  <c r="W248" i="42"/>
  <c r="W250" i="42" s="1"/>
  <c r="W267" i="42" s="1"/>
  <c r="M188" i="14"/>
  <c r="M190" i="14" s="1"/>
  <c r="N187" i="14" s="1"/>
  <c r="K272" i="14"/>
  <c r="K275" i="14" s="1"/>
  <c r="K331" i="14" s="1"/>
  <c r="N157" i="14"/>
  <c r="N188" i="14" s="1"/>
  <c r="M242" i="14"/>
  <c r="M245" i="14" s="1"/>
  <c r="M266" i="14" s="1"/>
  <c r="M329" i="14" s="1"/>
  <c r="M330" i="14" s="1"/>
  <c r="M175" i="14"/>
  <c r="M177" i="14" s="1"/>
  <c r="M305" i="14" s="1"/>
  <c r="N153" i="14"/>
  <c r="N244" i="14" s="1"/>
  <c r="M169" i="14"/>
  <c r="M291" i="14" s="1"/>
  <c r="L266" i="14"/>
  <c r="L329" i="14" s="1"/>
  <c r="L330" i="14" s="1"/>
  <c r="L333" i="14"/>
  <c r="N161" i="14"/>
  <c r="N240" i="14"/>
  <c r="N328" i="14" s="1"/>
  <c r="N172" i="14"/>
  <c r="N293" i="14" s="1"/>
  <c r="N180" i="14"/>
  <c r="N307" i="14" s="1"/>
  <c r="N166" i="14"/>
  <c r="N290" i="14" s="1"/>
  <c r="Y3" i="16"/>
  <c r="X4" i="16"/>
  <c r="X5" i="16"/>
  <c r="O262" i="14"/>
  <c r="O263" i="14"/>
  <c r="O141" i="14"/>
  <c r="N218" i="14"/>
  <c r="U89" i="13"/>
  <c r="U81" i="13"/>
  <c r="Q3" i="15"/>
  <c r="P4" i="15"/>
  <c r="P5" i="15"/>
  <c r="K322" i="14"/>
  <c r="K325" i="14" s="1"/>
  <c r="K341" i="14" s="1"/>
  <c r="K338" i="14" s="1"/>
  <c r="K323" i="14"/>
  <c r="K324" i="14" s="1"/>
  <c r="U9" i="13"/>
  <c r="U28" i="13"/>
  <c r="U23" i="13"/>
  <c r="T165" i="14" s="1"/>
  <c r="L294" i="14"/>
  <c r="L301" i="14" s="1"/>
  <c r="L320" i="14" s="1"/>
  <c r="L321" i="14" s="1"/>
  <c r="J284" i="14"/>
  <c r="K257" i="14"/>
  <c r="K263" i="14" s="1"/>
  <c r="K262" i="14"/>
  <c r="J326" i="14"/>
  <c r="J260" i="14"/>
  <c r="J327" i="14" s="1"/>
  <c r="V65" i="13"/>
  <c r="L36" i="6"/>
  <c r="L37" i="6" s="1"/>
  <c r="P4" i="14"/>
  <c r="E71" i="15" s="1"/>
  <c r="P6" i="14"/>
  <c r="Q2" i="14"/>
  <c r="Q3" i="14" s="1"/>
  <c r="P5" i="14"/>
  <c r="O217" i="14"/>
  <c r="O216" i="14"/>
  <c r="O218" i="14" s="1"/>
  <c r="O212" i="14"/>
  <c r="O312" i="14" s="1"/>
  <c r="O211" i="14"/>
  <c r="O311" i="14" s="1"/>
  <c r="O210" i="14"/>
  <c r="O310" i="14" s="1"/>
  <c r="O237" i="14"/>
  <c r="O259" i="14"/>
  <c r="O204" i="14"/>
  <c r="O300" i="14" s="1"/>
  <c r="O213" i="14"/>
  <c r="O313" i="14" s="1"/>
  <c r="O227" i="14"/>
  <c r="O7" i="14"/>
  <c r="L253" i="14"/>
  <c r="P46" i="4"/>
  <c r="AE54" i="4" s="1"/>
  <c r="Q42" i="4"/>
  <c r="M49" i="4"/>
  <c r="M48" i="4"/>
  <c r="N45" i="4" s="1"/>
  <c r="L53" i="4"/>
  <c r="L55" i="4" s="1"/>
  <c r="M52" i="4" s="1"/>
  <c r="M57" i="4" s="1"/>
  <c r="V73" i="13"/>
  <c r="U26" i="13"/>
  <c r="T176" i="14" s="1"/>
  <c r="U25" i="13"/>
  <c r="T171" i="14" s="1"/>
  <c r="U24" i="13"/>
  <c r="T168" i="14" s="1"/>
  <c r="U20" i="13"/>
  <c r="T160" i="14" s="1"/>
  <c r="U45" i="13"/>
  <c r="T234" i="14" s="1"/>
  <c r="U32" i="13"/>
  <c r="T192" i="14" s="1"/>
  <c r="T179" i="14"/>
  <c r="U47" i="13"/>
  <c r="T254" i="14" s="1"/>
  <c r="V92" i="13"/>
  <c r="V87" i="13"/>
  <c r="V94" i="13"/>
  <c r="V84" i="13"/>
  <c r="V77" i="13"/>
  <c r="V95" i="13"/>
  <c r="V86" i="13"/>
  <c r="V79" i="13"/>
  <c r="W2" i="13"/>
  <c r="V76" i="13"/>
  <c r="V85" i="13"/>
  <c r="V93" i="13"/>
  <c r="V3" i="13"/>
  <c r="V4" i="13"/>
  <c r="V78" i="13"/>
  <c r="U10" i="13"/>
  <c r="T144" i="14" s="1"/>
  <c r="K24" i="6"/>
  <c r="L21" i="6" s="1"/>
  <c r="W62" i="13"/>
  <c r="W69" i="13"/>
  <c r="W70" i="13"/>
  <c r="W71" i="13"/>
  <c r="W61" i="13"/>
  <c r="W63" i="13"/>
  <c r="W60" i="13"/>
  <c r="W68" i="13"/>
  <c r="V97" i="13" l="1"/>
  <c r="N169" i="14"/>
  <c r="O157" i="14"/>
  <c r="O273" i="14" s="1"/>
  <c r="O149" i="14"/>
  <c r="O243" i="14" s="1"/>
  <c r="U11" i="13"/>
  <c r="T148" i="14" s="1"/>
  <c r="T28" i="45"/>
  <c r="X28" i="45"/>
  <c r="Q28" i="45"/>
  <c r="U28" i="45"/>
  <c r="Y28" i="45"/>
  <c r="R28" i="45"/>
  <c r="V28" i="45"/>
  <c r="Z28" i="45"/>
  <c r="S28" i="45"/>
  <c r="W28" i="45"/>
  <c r="AA28" i="45"/>
  <c r="U12" i="13"/>
  <c r="T152" i="14" s="1"/>
  <c r="W272" i="42"/>
  <c r="W274" i="42" s="1"/>
  <c r="Q41" i="45"/>
  <c r="E60" i="45"/>
  <c r="E62" i="45" s="1"/>
  <c r="E64" i="45" s="1"/>
  <c r="W265" i="42"/>
  <c r="W268" i="42" s="1"/>
  <c r="R41" i="45"/>
  <c r="S41" i="45"/>
  <c r="T41" i="45"/>
  <c r="U41" i="45"/>
  <c r="V41" i="45"/>
  <c r="W41" i="45"/>
  <c r="X41" i="45"/>
  <c r="Y41" i="45"/>
  <c r="Z41" i="45"/>
  <c r="AA41" i="45"/>
  <c r="K279" i="14"/>
  <c r="K221" i="14" s="1"/>
  <c r="N273" i="14"/>
  <c r="M297" i="14"/>
  <c r="N175" i="14"/>
  <c r="N177" i="14" s="1"/>
  <c r="N305" i="14" s="1"/>
  <c r="K284" i="14"/>
  <c r="M332" i="14"/>
  <c r="M333" i="14" s="1"/>
  <c r="M182" i="14"/>
  <c r="M183" i="14" s="1"/>
  <c r="M268" i="14" s="1"/>
  <c r="L272" i="14"/>
  <c r="L275" i="14" s="1"/>
  <c r="L331" i="14" s="1"/>
  <c r="O145" i="14"/>
  <c r="O169" i="14" s="1"/>
  <c r="O153" i="14"/>
  <c r="O244" i="14" s="1"/>
  <c r="Y5" i="16"/>
  <c r="Z3" i="16"/>
  <c r="Y4" i="16"/>
  <c r="N274" i="14"/>
  <c r="N197" i="14"/>
  <c r="N242" i="14"/>
  <c r="N245" i="14" s="1"/>
  <c r="N266" i="14" s="1"/>
  <c r="N329" i="14" s="1"/>
  <c r="P263" i="14"/>
  <c r="P262" i="14"/>
  <c r="O166" i="14"/>
  <c r="O290" i="14" s="1"/>
  <c r="O172" i="14"/>
  <c r="O293" i="14" s="1"/>
  <c r="O180" i="14"/>
  <c r="O307" i="14" s="1"/>
  <c r="O161" i="14"/>
  <c r="O240" i="14"/>
  <c r="O328" i="14" s="1"/>
  <c r="V89" i="13"/>
  <c r="V81" i="13"/>
  <c r="R3" i="15"/>
  <c r="Q4" i="15"/>
  <c r="Q5" i="15"/>
  <c r="P57" i="15"/>
  <c r="P56" i="15"/>
  <c r="P59" i="15"/>
  <c r="P58" i="15"/>
  <c r="L322" i="14"/>
  <c r="L325" i="14" s="1"/>
  <c r="L341" i="14" s="1"/>
  <c r="L338" i="14" s="1"/>
  <c r="L323" i="14"/>
  <c r="L324" i="14" s="1"/>
  <c r="N193" i="14"/>
  <c r="V28" i="13"/>
  <c r="U179" i="14" s="1"/>
  <c r="V23" i="13"/>
  <c r="U165" i="14" s="1"/>
  <c r="V16" i="13"/>
  <c r="U156" i="14" s="1"/>
  <c r="V9" i="13"/>
  <c r="L257" i="14"/>
  <c r="L263" i="14" s="1"/>
  <c r="L262" i="14"/>
  <c r="K260" i="14"/>
  <c r="K327" i="14" s="1"/>
  <c r="K326" i="14"/>
  <c r="W65" i="13"/>
  <c r="L38" i="6"/>
  <c r="M35" i="6" s="1"/>
  <c r="N291" i="14"/>
  <c r="E16" i="16"/>
  <c r="E17" i="16" s="1"/>
  <c r="E81" i="15"/>
  <c r="P210" i="14"/>
  <c r="P310" i="14" s="1"/>
  <c r="P237" i="14"/>
  <c r="P7" i="14"/>
  <c r="P259" i="14"/>
  <c r="P204" i="14"/>
  <c r="P300" i="14" s="1"/>
  <c r="P212" i="14"/>
  <c r="P312" i="14" s="1"/>
  <c r="P227" i="14"/>
  <c r="P216" i="14"/>
  <c r="P213" i="14"/>
  <c r="P313" i="14" s="1"/>
  <c r="P211" i="14"/>
  <c r="P311" i="14" s="1"/>
  <c r="P217" i="14"/>
  <c r="Q4" i="14"/>
  <c r="Q6" i="14"/>
  <c r="R2" i="14"/>
  <c r="R3" i="14" s="1"/>
  <c r="Q5" i="14"/>
  <c r="Q46" i="4"/>
  <c r="AF54" i="4" s="1"/>
  <c r="R42" i="4"/>
  <c r="N48" i="4"/>
  <c r="O45" i="4" s="1"/>
  <c r="N49" i="4"/>
  <c r="M53" i="4"/>
  <c r="M55" i="4" s="1"/>
  <c r="N52" i="4" s="1"/>
  <c r="N57" i="4" s="1"/>
  <c r="W73" i="13"/>
  <c r="V20" i="13"/>
  <c r="U160" i="14" s="1"/>
  <c r="V26" i="13"/>
  <c r="U176" i="14" s="1"/>
  <c r="V25" i="13"/>
  <c r="U171" i="14" s="1"/>
  <c r="V24" i="13"/>
  <c r="U168" i="14" s="1"/>
  <c r="V32" i="13"/>
  <c r="U192" i="14" s="1"/>
  <c r="V45" i="13"/>
  <c r="U234" i="14" s="1"/>
  <c r="V47" i="13"/>
  <c r="U254" i="14" s="1"/>
  <c r="W95" i="13"/>
  <c r="W86" i="13"/>
  <c r="W79" i="13"/>
  <c r="W93" i="13"/>
  <c r="W84" i="13"/>
  <c r="W77" i="13"/>
  <c r="W3" i="13"/>
  <c r="W78" i="13"/>
  <c r="W87" i="13"/>
  <c r="W76" i="13"/>
  <c r="W94" i="13"/>
  <c r="W85" i="13"/>
  <c r="W4" i="13"/>
  <c r="W92" i="13"/>
  <c r="X2" i="13"/>
  <c r="V10" i="13"/>
  <c r="U144" i="14" s="1"/>
  <c r="L22" i="6"/>
  <c r="L23" i="6" s="1"/>
  <c r="X70" i="13"/>
  <c r="X68" i="13"/>
  <c r="X60" i="13"/>
  <c r="X71" i="13"/>
  <c r="X62" i="13"/>
  <c r="X69" i="13"/>
  <c r="X61" i="13"/>
  <c r="X63" i="13"/>
  <c r="O188" i="14" l="1"/>
  <c r="W81" i="13"/>
  <c r="W11" i="13" s="1"/>
  <c r="V148" i="14" s="1"/>
  <c r="W97" i="13"/>
  <c r="W16" i="13" s="1"/>
  <c r="V156" i="14" s="1"/>
  <c r="L279" i="14"/>
  <c r="L221" i="14" s="1"/>
  <c r="V11" i="13"/>
  <c r="U148" i="14" s="1"/>
  <c r="W270" i="42"/>
  <c r="W271" i="42" s="1"/>
  <c r="V12" i="13"/>
  <c r="U152" i="14" s="1"/>
  <c r="X43" i="45"/>
  <c r="X45" i="45" s="1"/>
  <c r="X46" i="45" s="1"/>
  <c r="T43" i="45"/>
  <c r="T45" i="45" s="1"/>
  <c r="T46" i="45" s="1"/>
  <c r="AA43" i="45"/>
  <c r="W43" i="45"/>
  <c r="S43" i="45"/>
  <c r="Z43" i="45"/>
  <c r="Z45" i="45" s="1"/>
  <c r="Z46" i="45" s="1"/>
  <c r="V43" i="45"/>
  <c r="R43" i="45"/>
  <c r="Y43" i="45"/>
  <c r="U43" i="45"/>
  <c r="Q43" i="45"/>
  <c r="Q45" i="45" s="1"/>
  <c r="Q46" i="45" s="1"/>
  <c r="AA45" i="45"/>
  <c r="AA46" i="45" s="1"/>
  <c r="S45" i="45"/>
  <c r="S46" i="45" s="1"/>
  <c r="N330" i="14"/>
  <c r="N182" i="14"/>
  <c r="N183" i="14" s="1"/>
  <c r="N268" i="14" s="1"/>
  <c r="H31" i="15" s="1"/>
  <c r="H32" i="15"/>
  <c r="N332" i="14"/>
  <c r="N333" i="14" s="1"/>
  <c r="O241" i="14"/>
  <c r="O242" i="14" s="1"/>
  <c r="O245" i="14" s="1"/>
  <c r="O266" i="14" s="1"/>
  <c r="O329" i="14" s="1"/>
  <c r="O175" i="14"/>
  <c r="O177" i="14" s="1"/>
  <c r="O305" i="14" s="1"/>
  <c r="O274" i="14"/>
  <c r="I32" i="15" s="1"/>
  <c r="O197" i="14"/>
  <c r="Q263" i="14"/>
  <c r="Q262" i="14"/>
  <c r="E21" i="16"/>
  <c r="H24" i="15"/>
  <c r="H30" i="15" s="1"/>
  <c r="H46" i="15" s="1"/>
  <c r="H74" i="15" s="1"/>
  <c r="Z4" i="16"/>
  <c r="Z5" i="16"/>
  <c r="AA3" i="16"/>
  <c r="W89" i="13"/>
  <c r="L260" i="14"/>
  <c r="L327" i="14" s="1"/>
  <c r="P60" i="15"/>
  <c r="P64" i="15" s="1"/>
  <c r="S3" i="15"/>
  <c r="R4" i="15"/>
  <c r="R5" i="15"/>
  <c r="Q59" i="15"/>
  <c r="Q56" i="15"/>
  <c r="Q58" i="15"/>
  <c r="Q57" i="15"/>
  <c r="W28" i="13"/>
  <c r="W23" i="13"/>
  <c r="V165" i="14" s="1"/>
  <c r="P140" i="14"/>
  <c r="P141" i="14" s="1"/>
  <c r="P149" i="14" s="1"/>
  <c r="P243" i="14" s="1"/>
  <c r="Q140" i="14"/>
  <c r="L326" i="14"/>
  <c r="N189" i="14"/>
  <c r="N190" i="14" s="1"/>
  <c r="N246" i="14"/>
  <c r="W9" i="13"/>
  <c r="L284" i="14"/>
  <c r="X65" i="13"/>
  <c r="M36" i="6"/>
  <c r="M37" i="6" s="1"/>
  <c r="O291" i="14"/>
  <c r="Q259" i="14"/>
  <c r="Q212" i="14"/>
  <c r="Q312" i="14" s="1"/>
  <c r="Q210" i="14"/>
  <c r="Q310" i="14" s="1"/>
  <c r="Q7" i="14"/>
  <c r="Q213" i="14"/>
  <c r="Q313" i="14" s="1"/>
  <c r="Q217" i="14"/>
  <c r="Q216" i="14"/>
  <c r="Q218" i="14" s="1"/>
  <c r="Q204" i="14"/>
  <c r="Q300" i="14" s="1"/>
  <c r="Q227" i="14"/>
  <c r="Q211" i="14"/>
  <c r="Q311" i="14" s="1"/>
  <c r="Q237" i="14"/>
  <c r="P218" i="14"/>
  <c r="R6" i="14"/>
  <c r="R5" i="14"/>
  <c r="S2" i="14"/>
  <c r="S3" i="14" s="1"/>
  <c r="R4" i="14"/>
  <c r="R140" i="14" s="1"/>
  <c r="S42" i="4"/>
  <c r="R46" i="4"/>
  <c r="AG54" i="4" s="1"/>
  <c r="N53" i="4"/>
  <c r="N55" i="4" s="1"/>
  <c r="O52" i="4" s="1"/>
  <c r="O57" i="4" s="1"/>
  <c r="O48" i="4"/>
  <c r="P45" i="4" s="1"/>
  <c r="O49" i="4"/>
  <c r="X73" i="13"/>
  <c r="W20" i="13"/>
  <c r="V160" i="14" s="1"/>
  <c r="W26" i="13"/>
  <c r="V176" i="14" s="1"/>
  <c r="W25" i="13"/>
  <c r="V171" i="14" s="1"/>
  <c r="W24" i="13"/>
  <c r="V168" i="14" s="1"/>
  <c r="W47" i="13"/>
  <c r="V254" i="14" s="1"/>
  <c r="W45" i="13"/>
  <c r="V234" i="14" s="1"/>
  <c r="W32" i="13"/>
  <c r="V192" i="14" s="1"/>
  <c r="V179" i="14"/>
  <c r="X93" i="13"/>
  <c r="X85" i="13"/>
  <c r="X78" i="13"/>
  <c r="X4" i="13"/>
  <c r="X95" i="13"/>
  <c r="X87" i="13"/>
  <c r="X76" i="13"/>
  <c r="Y2" i="13"/>
  <c r="X94" i="13"/>
  <c r="X86" i="13"/>
  <c r="X92" i="13"/>
  <c r="X84" i="13"/>
  <c r="X3" i="13"/>
  <c r="X79" i="13"/>
  <c r="X77" i="13"/>
  <c r="K27" i="15"/>
  <c r="P27" i="15"/>
  <c r="J27" i="15"/>
  <c r="O27" i="15"/>
  <c r="L27" i="15"/>
  <c r="M27" i="15"/>
  <c r="N27" i="15"/>
  <c r="W10" i="13"/>
  <c r="V144" i="14" s="1"/>
  <c r="L24" i="6"/>
  <c r="M21" i="6" s="1"/>
  <c r="Y62" i="13"/>
  <c r="Y70" i="13"/>
  <c r="Y63" i="13"/>
  <c r="Y69" i="13"/>
  <c r="Y61" i="13"/>
  <c r="Y60" i="13"/>
  <c r="Y68" i="13"/>
  <c r="Y71" i="13"/>
  <c r="X97" i="13" l="1"/>
  <c r="X16" i="13" s="1"/>
  <c r="W156" i="14" s="1"/>
  <c r="W12" i="13"/>
  <c r="V152" i="14" s="1"/>
  <c r="R45" i="45"/>
  <c r="R46" i="45" s="1"/>
  <c r="W45" i="45"/>
  <c r="W46" i="45" s="1"/>
  <c r="U45" i="45"/>
  <c r="U46" i="45" s="1"/>
  <c r="V45" i="45"/>
  <c r="V46" i="45" s="1"/>
  <c r="Y45" i="45"/>
  <c r="Y46" i="45" s="1"/>
  <c r="X89" i="13"/>
  <c r="O330" i="14"/>
  <c r="I24" i="15"/>
  <c r="I30" i="15" s="1"/>
  <c r="I46" i="15" s="1"/>
  <c r="I74" i="15" s="1"/>
  <c r="O182" i="14"/>
  <c r="O183" i="14" s="1"/>
  <c r="O268" i="14" s="1"/>
  <c r="I31" i="15" s="1"/>
  <c r="O332" i="14"/>
  <c r="O333" i="14" s="1"/>
  <c r="AA4" i="16"/>
  <c r="AA5" i="16"/>
  <c r="M38" i="6"/>
  <c r="N35" i="6" s="1"/>
  <c r="R263" i="14"/>
  <c r="R262" i="14"/>
  <c r="X81" i="13"/>
  <c r="Q60" i="15"/>
  <c r="Q64" i="15" s="1"/>
  <c r="S4" i="15"/>
  <c r="S5" i="15"/>
  <c r="T3" i="15"/>
  <c r="R56" i="15"/>
  <c r="R58" i="15"/>
  <c r="R59" i="15"/>
  <c r="R57" i="15"/>
  <c r="X28" i="13"/>
  <c r="W179" i="14" s="1"/>
  <c r="X23" i="13"/>
  <c r="W165" i="14" s="1"/>
  <c r="O187" i="14"/>
  <c r="O193" i="14" s="1"/>
  <c r="N297" i="14"/>
  <c r="X9" i="13"/>
  <c r="Q141" i="14"/>
  <c r="Q149" i="14" s="1"/>
  <c r="Q243" i="14" s="1"/>
  <c r="P240" i="14"/>
  <c r="P328" i="14" s="1"/>
  <c r="P161" i="14"/>
  <c r="P166" i="14"/>
  <c r="P290" i="14" s="1"/>
  <c r="P180" i="14"/>
  <c r="P307" i="14" s="1"/>
  <c r="P172" i="14"/>
  <c r="P293" i="14" s="1"/>
  <c r="P153" i="14"/>
  <c r="P244" i="14" s="1"/>
  <c r="P157" i="14"/>
  <c r="P145" i="14"/>
  <c r="Y65" i="13"/>
  <c r="N36" i="6"/>
  <c r="N37" i="6" s="1"/>
  <c r="T2" i="14"/>
  <c r="T3" i="14" s="1"/>
  <c r="S5" i="14"/>
  <c r="S4" i="14"/>
  <c r="S140" i="14" s="1"/>
  <c r="S6" i="14"/>
  <c r="R227" i="14"/>
  <c r="R204" i="14"/>
  <c r="R300" i="14" s="1"/>
  <c r="R259" i="14"/>
  <c r="R211" i="14"/>
  <c r="R311" i="14" s="1"/>
  <c r="R210" i="14"/>
  <c r="R310" i="14" s="1"/>
  <c r="R237" i="14"/>
  <c r="R216" i="14"/>
  <c r="R7" i="14"/>
  <c r="R212" i="14"/>
  <c r="R312" i="14" s="1"/>
  <c r="R217" i="14"/>
  <c r="R213" i="14"/>
  <c r="R313" i="14" s="1"/>
  <c r="S46" i="4"/>
  <c r="AH54" i="4" s="1"/>
  <c r="T42" i="4"/>
  <c r="P48" i="4"/>
  <c r="Q45" i="4" s="1"/>
  <c r="P49" i="4"/>
  <c r="O53" i="4"/>
  <c r="O55" i="4" s="1"/>
  <c r="P52" i="4" s="1"/>
  <c r="P57" i="4" s="1"/>
  <c r="Y73" i="13"/>
  <c r="Y92" i="13"/>
  <c r="Y85" i="13"/>
  <c r="Y78" i="13"/>
  <c r="Y93" i="13"/>
  <c r="Y87" i="13"/>
  <c r="Y76" i="13"/>
  <c r="Z2" i="13"/>
  <c r="Y77" i="13"/>
  <c r="Y4" i="13"/>
  <c r="Y86" i="13"/>
  <c r="Y95" i="13"/>
  <c r="Y84" i="13"/>
  <c r="Y94" i="13"/>
  <c r="Y79" i="13"/>
  <c r="Y3" i="13"/>
  <c r="X25" i="13"/>
  <c r="W171" i="14" s="1"/>
  <c r="X24" i="13"/>
  <c r="W168" i="14" s="1"/>
  <c r="X20" i="13"/>
  <c r="W160" i="14" s="1"/>
  <c r="X26" i="13"/>
  <c r="W176" i="14" s="1"/>
  <c r="X45" i="13"/>
  <c r="W234" i="14" s="1"/>
  <c r="X32" i="13"/>
  <c r="W192" i="14" s="1"/>
  <c r="X47" i="13"/>
  <c r="X10" i="13"/>
  <c r="W144" i="14" s="1"/>
  <c r="M22" i="6"/>
  <c r="M23" i="6" s="1"/>
  <c r="Z70" i="13"/>
  <c r="Z71" i="13"/>
  <c r="Z61" i="13"/>
  <c r="Z69" i="13"/>
  <c r="Z62" i="13"/>
  <c r="Z68" i="13"/>
  <c r="Z60" i="13"/>
  <c r="Z63" i="13"/>
  <c r="Y97" i="13" l="1"/>
  <c r="Y16" i="13" s="1"/>
  <c r="X156" i="14" s="1"/>
  <c r="X11" i="13"/>
  <c r="W148" i="14" s="1"/>
  <c r="X12" i="13"/>
  <c r="W152" i="14" s="1"/>
  <c r="E92" i="45"/>
  <c r="S262" i="14"/>
  <c r="S263" i="14"/>
  <c r="Y89" i="13"/>
  <c r="Y81" i="13"/>
  <c r="R60" i="15"/>
  <c r="R64" i="15" s="1"/>
  <c r="S59" i="15"/>
  <c r="S57" i="15"/>
  <c r="S58" i="15"/>
  <c r="S56" i="15"/>
  <c r="U3" i="15"/>
  <c r="T4" i="15"/>
  <c r="T5" i="15"/>
  <c r="P273" i="14"/>
  <c r="P188" i="14"/>
  <c r="P197" i="14"/>
  <c r="P274" i="14"/>
  <c r="O189" i="14"/>
  <c r="O190" i="14" s="1"/>
  <c r="O246" i="14"/>
  <c r="Y28" i="13"/>
  <c r="X179" i="14" s="1"/>
  <c r="Y23" i="13"/>
  <c r="X165" i="14" s="1"/>
  <c r="P241" i="14"/>
  <c r="P242" i="14" s="1"/>
  <c r="P245" i="14" s="1"/>
  <c r="P266" i="14" s="1"/>
  <c r="P329" i="14" s="1"/>
  <c r="P169" i="14"/>
  <c r="P175" i="14"/>
  <c r="P177" i="14" s="1"/>
  <c r="P305" i="14" s="1"/>
  <c r="R141" i="14"/>
  <c r="R149" i="14" s="1"/>
  <c r="R243" i="14" s="1"/>
  <c r="Q240" i="14"/>
  <c r="Q328" i="14" s="1"/>
  <c r="Q172" i="14"/>
  <c r="Q293" i="14" s="1"/>
  <c r="Q161" i="14"/>
  <c r="Q166" i="14"/>
  <c r="Q290" i="14" s="1"/>
  <c r="Q180" i="14"/>
  <c r="Q307" i="14" s="1"/>
  <c r="Q145" i="14"/>
  <c r="Q153" i="14"/>
  <c r="Q244" i="14" s="1"/>
  <c r="Q157" i="14"/>
  <c r="Y9" i="13"/>
  <c r="Z65" i="13"/>
  <c r="N38" i="6"/>
  <c r="O35" i="6" s="1"/>
  <c r="R218" i="14"/>
  <c r="T6" i="14"/>
  <c r="T5" i="14"/>
  <c r="T4" i="14"/>
  <c r="T140" i="14" s="1"/>
  <c r="U2" i="14"/>
  <c r="U3" i="14" s="1"/>
  <c r="S217" i="14"/>
  <c r="S216" i="14"/>
  <c r="S212" i="14"/>
  <c r="S312" i="14" s="1"/>
  <c r="S213" i="14"/>
  <c r="S313" i="14" s="1"/>
  <c r="S7" i="14"/>
  <c r="S210" i="14"/>
  <c r="S310" i="14" s="1"/>
  <c r="S259" i="14"/>
  <c r="S204" i="14"/>
  <c r="S300" i="14" s="1"/>
  <c r="S227" i="14"/>
  <c r="S211" i="14"/>
  <c r="S311" i="14" s="1"/>
  <c r="S237" i="14"/>
  <c r="T46" i="4"/>
  <c r="AI54" i="4" s="1"/>
  <c r="U42" i="4"/>
  <c r="P53" i="4"/>
  <c r="P55" i="4" s="1"/>
  <c r="Q52" i="4" s="1"/>
  <c r="Q57" i="4" s="1"/>
  <c r="Q48" i="4"/>
  <c r="R45" i="4" s="1"/>
  <c r="Q49" i="4"/>
  <c r="Z73" i="13"/>
  <c r="Z95" i="13"/>
  <c r="Z87" i="13"/>
  <c r="Z76" i="13"/>
  <c r="Z3" i="13"/>
  <c r="Z94" i="13"/>
  <c r="Z85" i="13"/>
  <c r="Z78" i="13"/>
  <c r="Z4" i="13"/>
  <c r="Z77" i="13"/>
  <c r="AA2" i="13"/>
  <c r="Z92" i="13"/>
  <c r="Z86" i="13"/>
  <c r="Z93" i="13"/>
  <c r="Z84" i="13"/>
  <c r="Z79" i="13"/>
  <c r="Y26" i="13"/>
  <c r="X176" i="14" s="1"/>
  <c r="Y25" i="13"/>
  <c r="X171" i="14" s="1"/>
  <c r="Y24" i="13"/>
  <c r="X168" i="14" s="1"/>
  <c r="Y20" i="13"/>
  <c r="X160" i="14" s="1"/>
  <c r="Y32" i="13"/>
  <c r="X192" i="14" s="1"/>
  <c r="Y47" i="13"/>
  <c r="X254" i="14" s="1"/>
  <c r="Y45" i="13"/>
  <c r="X234" i="14" s="1"/>
  <c r="W254" i="14"/>
  <c r="Q27" i="15"/>
  <c r="Y10" i="13"/>
  <c r="X144" i="14" s="1"/>
  <c r="M24" i="6"/>
  <c r="N21" i="6" s="1"/>
  <c r="AA63" i="13"/>
  <c r="AA71" i="13"/>
  <c r="AA61" i="13"/>
  <c r="AA60" i="13"/>
  <c r="AA70" i="13"/>
  <c r="AA69" i="13"/>
  <c r="AA62" i="13"/>
  <c r="AA68" i="13"/>
  <c r="Z97" i="13" l="1"/>
  <c r="Y11" i="13"/>
  <c r="X148" i="14" s="1"/>
  <c r="Z89" i="13"/>
  <c r="Z12" i="13" s="1"/>
  <c r="Y152" i="14" s="1"/>
  <c r="Y12" i="13"/>
  <c r="X152" i="14" s="1"/>
  <c r="T263" i="14"/>
  <c r="T262" i="14"/>
  <c r="Z81" i="13"/>
  <c r="P330" i="14"/>
  <c r="J24" i="15"/>
  <c r="J30" i="15" s="1"/>
  <c r="J46" i="15" s="1"/>
  <c r="J74" i="15" s="1"/>
  <c r="U4" i="15"/>
  <c r="U5" i="15"/>
  <c r="V3" i="15"/>
  <c r="S60" i="15"/>
  <c r="S64" i="15" s="1"/>
  <c r="J32" i="15"/>
  <c r="Q188" i="14"/>
  <c r="Q273" i="14"/>
  <c r="S141" i="14"/>
  <c r="S149" i="14" s="1"/>
  <c r="S243" i="14" s="1"/>
  <c r="R240" i="14"/>
  <c r="R328" i="14" s="1"/>
  <c r="R161" i="14"/>
  <c r="R180" i="14"/>
  <c r="R307" i="14" s="1"/>
  <c r="R172" i="14"/>
  <c r="R293" i="14" s="1"/>
  <c r="R166" i="14"/>
  <c r="R290" i="14" s="1"/>
  <c r="R145" i="14"/>
  <c r="R157" i="14"/>
  <c r="R153" i="14"/>
  <c r="R244" i="14" s="1"/>
  <c r="P187" i="14"/>
  <c r="O297" i="14"/>
  <c r="Q169" i="14"/>
  <c r="Q291" i="14" s="1"/>
  <c r="Q241" i="14"/>
  <c r="Q242" i="14" s="1"/>
  <c r="Q245" i="14" s="1"/>
  <c r="Q266" i="14" s="1"/>
  <c r="Q329" i="14" s="1"/>
  <c r="Q175" i="14"/>
  <c r="Q177" i="14" s="1"/>
  <c r="Q305" i="14" s="1"/>
  <c r="P182" i="14"/>
  <c r="P183" i="14" s="1"/>
  <c r="P268" i="14" s="1"/>
  <c r="J31" i="15" s="1"/>
  <c r="P291" i="14"/>
  <c r="P332" i="14" s="1"/>
  <c r="P333" i="14" s="1"/>
  <c r="Z28" i="13"/>
  <c r="Y179" i="14" s="1"/>
  <c r="Z16" i="13"/>
  <c r="Y156" i="14" s="1"/>
  <c r="Z23" i="13"/>
  <c r="Y165" i="14" s="1"/>
  <c r="Q197" i="14"/>
  <c r="Q274" i="14"/>
  <c r="Z9" i="13"/>
  <c r="AA65" i="13"/>
  <c r="O36" i="6"/>
  <c r="O37" i="6" s="1"/>
  <c r="U5" i="14"/>
  <c r="U4" i="14"/>
  <c r="U140" i="14" s="1"/>
  <c r="U6" i="14"/>
  <c r="V2" i="14"/>
  <c r="V3" i="14" s="1"/>
  <c r="S218" i="14"/>
  <c r="T227" i="14"/>
  <c r="T204" i="14"/>
  <c r="T300" i="14" s="1"/>
  <c r="T211" i="14"/>
  <c r="T311" i="14" s="1"/>
  <c r="T210" i="14"/>
  <c r="T310" i="14" s="1"/>
  <c r="T237" i="14"/>
  <c r="T7" i="14"/>
  <c r="T259" i="14"/>
  <c r="T213" i="14"/>
  <c r="T313" i="14" s="1"/>
  <c r="T216" i="14"/>
  <c r="T212" i="14"/>
  <c r="T312" i="14" s="1"/>
  <c r="T217" i="14"/>
  <c r="U46" i="4"/>
  <c r="AJ54" i="4" s="1"/>
  <c r="V42" i="4"/>
  <c r="R48" i="4"/>
  <c r="S45" i="4" s="1"/>
  <c r="R49" i="4"/>
  <c r="Q53" i="4"/>
  <c r="Q55" i="4" s="1"/>
  <c r="R52" i="4" s="1"/>
  <c r="R57" i="4" s="1"/>
  <c r="AA73" i="13"/>
  <c r="Z20" i="13"/>
  <c r="Y160" i="14" s="1"/>
  <c r="Z26" i="13"/>
  <c r="Y176" i="14" s="1"/>
  <c r="Z25" i="13"/>
  <c r="Y171" i="14" s="1"/>
  <c r="Z24" i="13"/>
  <c r="Y168" i="14" s="1"/>
  <c r="Z45" i="13"/>
  <c r="Y234" i="14" s="1"/>
  <c r="Z32" i="13"/>
  <c r="Y192" i="14" s="1"/>
  <c r="Z47" i="13"/>
  <c r="Y254" i="14" s="1"/>
  <c r="AA94" i="13"/>
  <c r="AA93" i="13"/>
  <c r="AA86" i="13"/>
  <c r="AA79" i="13"/>
  <c r="AA85" i="13"/>
  <c r="AA78" i="13"/>
  <c r="AA4" i="13"/>
  <c r="AA95" i="13"/>
  <c r="AA84" i="13"/>
  <c r="AA77" i="13"/>
  <c r="AA3" i="13"/>
  <c r="AB2" i="13"/>
  <c r="AA87" i="13"/>
  <c r="AA92" i="13"/>
  <c r="AA76" i="13"/>
  <c r="Z10" i="13"/>
  <c r="Y144" i="14" s="1"/>
  <c r="N22" i="6"/>
  <c r="N23" i="6" s="1"/>
  <c r="AB61" i="13"/>
  <c r="AB63" i="13"/>
  <c r="AB69" i="13"/>
  <c r="AB62" i="13"/>
  <c r="AB68" i="13"/>
  <c r="AB60" i="13"/>
  <c r="AB70" i="13"/>
  <c r="AB71" i="13"/>
  <c r="AA97" i="13" l="1"/>
  <c r="AA16" i="13" s="1"/>
  <c r="Z156" i="14" s="1"/>
  <c r="AA89" i="13"/>
  <c r="AA12" i="13" s="1"/>
  <c r="Z152" i="14" s="1"/>
  <c r="Z11" i="13"/>
  <c r="Y148" i="14" s="1"/>
  <c r="U263" i="14"/>
  <c r="U262" i="14"/>
  <c r="AA81" i="13"/>
  <c r="AA11" i="13" s="1"/>
  <c r="Z148" i="14" s="1"/>
  <c r="Q330" i="14"/>
  <c r="U59" i="15"/>
  <c r="U57" i="15"/>
  <c r="U58" i="15"/>
  <c r="U56" i="15"/>
  <c r="W3" i="15"/>
  <c r="V4" i="15"/>
  <c r="V5" i="15"/>
  <c r="R188" i="14"/>
  <c r="R273" i="14"/>
  <c r="R175" i="14"/>
  <c r="R177" i="14" s="1"/>
  <c r="R305" i="14" s="1"/>
  <c r="R169" i="14"/>
  <c r="R241" i="14"/>
  <c r="R242" i="14" s="1"/>
  <c r="R245" i="14" s="1"/>
  <c r="R266" i="14" s="1"/>
  <c r="R329" i="14" s="1"/>
  <c r="R197" i="14"/>
  <c r="R274" i="14"/>
  <c r="Q182" i="14"/>
  <c r="Q183" i="14" s="1"/>
  <c r="Q268" i="14" s="1"/>
  <c r="T141" i="14"/>
  <c r="T149" i="14" s="1"/>
  <c r="T243" i="14" s="1"/>
  <c r="S240" i="14"/>
  <c r="S328" i="14" s="1"/>
  <c r="S166" i="14"/>
  <c r="S290" i="14" s="1"/>
  <c r="S172" i="14"/>
  <c r="S293" i="14" s="1"/>
  <c r="S161" i="14"/>
  <c r="S180" i="14"/>
  <c r="S307" i="14" s="1"/>
  <c r="S157" i="14"/>
  <c r="S153" i="14"/>
  <c r="S244" i="14" s="1"/>
  <c r="S145" i="14"/>
  <c r="AA9" i="13"/>
  <c r="AA28" i="13"/>
  <c r="AA23" i="13"/>
  <c r="Z165" i="14" s="1"/>
  <c r="P193" i="14"/>
  <c r="Q332" i="14"/>
  <c r="Q333" i="14" s="1"/>
  <c r="AB65" i="13"/>
  <c r="O38" i="6"/>
  <c r="P35" i="6" s="1"/>
  <c r="T218" i="14"/>
  <c r="U237" i="14"/>
  <c r="U227" i="14"/>
  <c r="U204" i="14"/>
  <c r="U300" i="14" s="1"/>
  <c r="U211" i="14"/>
  <c r="U311" i="14" s="1"/>
  <c r="U210" i="14"/>
  <c r="U310" i="14" s="1"/>
  <c r="U7" i="14"/>
  <c r="U212" i="14"/>
  <c r="U312" i="14" s="1"/>
  <c r="U217" i="14"/>
  <c r="U213" i="14"/>
  <c r="U313" i="14" s="1"/>
  <c r="U259" i="14"/>
  <c r="U216" i="14"/>
  <c r="U218" i="14" s="1"/>
  <c r="V6" i="14"/>
  <c r="V5" i="14"/>
  <c r="V4" i="14"/>
  <c r="V140" i="14" s="1"/>
  <c r="W2" i="14"/>
  <c r="W3" i="14" s="1"/>
  <c r="W42" i="4"/>
  <c r="V46" i="4"/>
  <c r="AK54" i="4" s="1"/>
  <c r="R53" i="4"/>
  <c r="R55" i="4" s="1"/>
  <c r="S52" i="4" s="1"/>
  <c r="S57" i="4" s="1"/>
  <c r="S49" i="4"/>
  <c r="S48" i="4"/>
  <c r="T45" i="4" s="1"/>
  <c r="AB73" i="13"/>
  <c r="AA20" i="13"/>
  <c r="Z160" i="14" s="1"/>
  <c r="AA26" i="13"/>
  <c r="Z176" i="14" s="1"/>
  <c r="AA25" i="13"/>
  <c r="Z171" i="14" s="1"/>
  <c r="AA24" i="13"/>
  <c r="Z168" i="14" s="1"/>
  <c r="AA47" i="13"/>
  <c r="Z254" i="14" s="1"/>
  <c r="AA32" i="13"/>
  <c r="Z192" i="14" s="1"/>
  <c r="AA45" i="13"/>
  <c r="Z234" i="14" s="1"/>
  <c r="Z179" i="14"/>
  <c r="AB92" i="13"/>
  <c r="AB87" i="13"/>
  <c r="AB76" i="13"/>
  <c r="AB3" i="13"/>
  <c r="AB93" i="13"/>
  <c r="AB86" i="13"/>
  <c r="AB79" i="13"/>
  <c r="AB94" i="13"/>
  <c r="AB85" i="13"/>
  <c r="AB78" i="13"/>
  <c r="AB4" i="13"/>
  <c r="AB77" i="13"/>
  <c r="AB95" i="13"/>
  <c r="AC2" i="13"/>
  <c r="AB84" i="13"/>
  <c r="S27" i="15"/>
  <c r="R27" i="15"/>
  <c r="AA10" i="13"/>
  <c r="Z144" i="14" s="1"/>
  <c r="N24" i="6"/>
  <c r="O21" i="6" s="1"/>
  <c r="AC70" i="13"/>
  <c r="AC71" i="13"/>
  <c r="AC60" i="13"/>
  <c r="AC61" i="13"/>
  <c r="AC68" i="13"/>
  <c r="AC63" i="13"/>
  <c r="AC62" i="13"/>
  <c r="AC69" i="13"/>
  <c r="AB97" i="13" l="1"/>
  <c r="AB16" i="13" s="1"/>
  <c r="AA156" i="14" s="1"/>
  <c r="V263" i="14"/>
  <c r="V262" i="14"/>
  <c r="AB89" i="13"/>
  <c r="AB81" i="13"/>
  <c r="R330" i="14"/>
  <c r="W5" i="15"/>
  <c r="X3" i="15"/>
  <c r="W4" i="15"/>
  <c r="V56" i="15"/>
  <c r="V58" i="15"/>
  <c r="V59" i="15"/>
  <c r="V57" i="15"/>
  <c r="U60" i="15"/>
  <c r="U64" i="15" s="1"/>
  <c r="AB28" i="13"/>
  <c r="AB23" i="13"/>
  <c r="AA165" i="14" s="1"/>
  <c r="S188" i="14"/>
  <c r="S273" i="14"/>
  <c r="R291" i="14"/>
  <c r="R332" i="14" s="1"/>
  <c r="R333" i="14" s="1"/>
  <c r="R182" i="14"/>
  <c r="R183" i="14" s="1"/>
  <c r="R268" i="14" s="1"/>
  <c r="P189" i="14"/>
  <c r="P190" i="14" s="1"/>
  <c r="P246" i="14"/>
  <c r="S175" i="14"/>
  <c r="S177" i="14" s="1"/>
  <c r="S305" i="14" s="1"/>
  <c r="S241" i="14"/>
  <c r="S242" i="14" s="1"/>
  <c r="S245" i="14" s="1"/>
  <c r="S266" i="14" s="1"/>
  <c r="S329" i="14" s="1"/>
  <c r="S169" i="14"/>
  <c r="S197" i="14"/>
  <c r="S274" i="14"/>
  <c r="U141" i="14"/>
  <c r="U149" i="14" s="1"/>
  <c r="U243" i="14" s="1"/>
  <c r="T240" i="14"/>
  <c r="T328" i="14" s="1"/>
  <c r="T166" i="14"/>
  <c r="T290" i="14" s="1"/>
  <c r="T172" i="14"/>
  <c r="T293" i="14" s="1"/>
  <c r="T161" i="14"/>
  <c r="T180" i="14"/>
  <c r="T307" i="14" s="1"/>
  <c r="T145" i="14"/>
  <c r="T157" i="14"/>
  <c r="T153" i="14"/>
  <c r="T244" i="14" s="1"/>
  <c r="AB9" i="13"/>
  <c r="G23" i="13"/>
  <c r="AC65" i="13"/>
  <c r="P36" i="6"/>
  <c r="P37" i="6" s="1"/>
  <c r="T27" i="15"/>
  <c r="X2" i="14"/>
  <c r="X3" i="14" s="1"/>
  <c r="W5" i="14"/>
  <c r="W4" i="14"/>
  <c r="W140" i="14" s="1"/>
  <c r="W6" i="14"/>
  <c r="V227" i="14"/>
  <c r="V204" i="14"/>
  <c r="V300" i="14" s="1"/>
  <c r="V259" i="14"/>
  <c r="V211" i="14"/>
  <c r="V311" i="14" s="1"/>
  <c r="V210" i="14"/>
  <c r="V310" i="14" s="1"/>
  <c r="V237" i="14"/>
  <c r="V216" i="14"/>
  <c r="V7" i="14"/>
  <c r="V212" i="14"/>
  <c r="V312" i="14" s="1"/>
  <c r="V213" i="14"/>
  <c r="V313" i="14" s="1"/>
  <c r="V217" i="14"/>
  <c r="X42" i="4"/>
  <c r="W46" i="4"/>
  <c r="AL54" i="4" s="1"/>
  <c r="S53" i="4"/>
  <c r="S55" i="4" s="1"/>
  <c r="T52" i="4" s="1"/>
  <c r="T57" i="4" s="1"/>
  <c r="T49" i="4"/>
  <c r="T48" i="4"/>
  <c r="U45" i="4" s="1"/>
  <c r="AC73" i="13"/>
  <c r="AB25" i="13"/>
  <c r="AA171" i="14" s="1"/>
  <c r="AB24" i="13"/>
  <c r="AA168" i="14" s="1"/>
  <c r="AB20" i="13"/>
  <c r="AA160" i="14" s="1"/>
  <c r="AB26" i="13"/>
  <c r="AA176" i="14" s="1"/>
  <c r="AA179" i="14"/>
  <c r="AB45" i="13"/>
  <c r="AA234" i="14" s="1"/>
  <c r="AB47" i="13"/>
  <c r="AB32" i="13"/>
  <c r="AA192" i="14" s="1"/>
  <c r="AC94" i="13"/>
  <c r="AC86" i="13"/>
  <c r="AC79" i="13"/>
  <c r="AC95" i="13"/>
  <c r="AC85" i="13"/>
  <c r="AC78" i="13"/>
  <c r="AC92" i="13"/>
  <c r="AC84" i="13"/>
  <c r="AC77" i="13"/>
  <c r="AC3" i="13"/>
  <c r="AC93" i="13"/>
  <c r="AC87" i="13"/>
  <c r="AC4" i="13"/>
  <c r="AC76" i="13"/>
  <c r="AB10" i="13"/>
  <c r="AA144" i="14" s="1"/>
  <c r="O22" i="6"/>
  <c r="O23" i="6" s="1"/>
  <c r="AC97" i="13" l="1"/>
  <c r="AC16" i="13" s="1"/>
  <c r="AB156" i="14" s="1"/>
  <c r="AB11" i="13"/>
  <c r="AA148" i="14" s="1"/>
  <c r="AB12" i="13"/>
  <c r="AA152" i="14" s="1"/>
  <c r="W263" i="14"/>
  <c r="W262" i="14"/>
  <c r="AC81" i="13"/>
  <c r="AC89" i="13"/>
  <c r="S330" i="14"/>
  <c r="V60" i="15"/>
  <c r="V64" i="15" s="1"/>
  <c r="W59" i="15"/>
  <c r="W57" i="15"/>
  <c r="W58" i="15"/>
  <c r="W56" i="15"/>
  <c r="X4" i="15"/>
  <c r="X5" i="15"/>
  <c r="Y3" i="15"/>
  <c r="T274" i="14"/>
  <c r="T197" i="14"/>
  <c r="V141" i="14"/>
  <c r="V149" i="14" s="1"/>
  <c r="V243" i="14" s="1"/>
  <c r="U240" i="14"/>
  <c r="U328" i="14" s="1"/>
  <c r="U161" i="14"/>
  <c r="U180" i="14"/>
  <c r="U307" i="14" s="1"/>
  <c r="U166" i="14"/>
  <c r="U290" i="14" s="1"/>
  <c r="U172" i="14"/>
  <c r="U293" i="14" s="1"/>
  <c r="U153" i="14"/>
  <c r="U244" i="14" s="1"/>
  <c r="U157" i="14"/>
  <c r="U145" i="14"/>
  <c r="S291" i="14"/>
  <c r="S332" i="14" s="1"/>
  <c r="S333" i="14" s="1"/>
  <c r="S182" i="14"/>
  <c r="S183" i="14" s="1"/>
  <c r="S268" i="14" s="1"/>
  <c r="T169" i="14"/>
  <c r="T175" i="14"/>
  <c r="T177" i="14" s="1"/>
  <c r="T305" i="14" s="1"/>
  <c r="T241" i="14"/>
  <c r="T242" i="14" s="1"/>
  <c r="T245" i="14" s="1"/>
  <c r="T266" i="14" s="1"/>
  <c r="T329" i="14" s="1"/>
  <c r="AC9" i="13"/>
  <c r="Q187" i="14"/>
  <c r="Q193" i="14" s="1"/>
  <c r="P297" i="14"/>
  <c r="AC23" i="13"/>
  <c r="AB165" i="14" s="1"/>
  <c r="F23" i="13"/>
  <c r="T273" i="14"/>
  <c r="T188" i="14"/>
  <c r="P38" i="6"/>
  <c r="Q35" i="6" s="1"/>
  <c r="W259" i="14"/>
  <c r="W227" i="14"/>
  <c r="W204" i="14"/>
  <c r="W300" i="14" s="1"/>
  <c r="W211" i="14"/>
  <c r="W311" i="14" s="1"/>
  <c r="W210" i="14"/>
  <c r="W310" i="14" s="1"/>
  <c r="W237" i="14"/>
  <c r="W7" i="14"/>
  <c r="W217" i="14"/>
  <c r="W216" i="14"/>
  <c r="W213" i="14"/>
  <c r="W313" i="14" s="1"/>
  <c r="W212" i="14"/>
  <c r="W312" i="14" s="1"/>
  <c r="V218" i="14"/>
  <c r="X4" i="14"/>
  <c r="M24" i="15" s="1"/>
  <c r="M30" i="15" s="1"/>
  <c r="M46" i="15" s="1"/>
  <c r="M74" i="15" s="1"/>
  <c r="Y2" i="14"/>
  <c r="Y3" i="14" s="1"/>
  <c r="X5" i="14"/>
  <c r="X6" i="14"/>
  <c r="AC28" i="13"/>
  <c r="AB179" i="14" s="1"/>
  <c r="F28" i="13"/>
  <c r="X46" i="4"/>
  <c r="AM54" i="4" s="1"/>
  <c r="Y42" i="4"/>
  <c r="T53" i="4"/>
  <c r="T55" i="4" s="1"/>
  <c r="U52" i="4" s="1"/>
  <c r="U57" i="4" s="1"/>
  <c r="U49" i="4"/>
  <c r="U48" i="4"/>
  <c r="V45" i="4" s="1"/>
  <c r="AA254" i="14"/>
  <c r="U27" i="15"/>
  <c r="AC26" i="13"/>
  <c r="AB176" i="14" s="1"/>
  <c r="AC25" i="13"/>
  <c r="AB171" i="14" s="1"/>
  <c r="AC24" i="13"/>
  <c r="AB168" i="14" s="1"/>
  <c r="AC20" i="13"/>
  <c r="AB160" i="14" s="1"/>
  <c r="AC32" i="13"/>
  <c r="AB192" i="14" s="1"/>
  <c r="AC45" i="13"/>
  <c r="AB234" i="14" s="1"/>
  <c r="AC47" i="13"/>
  <c r="G45" i="13"/>
  <c r="G38" i="13"/>
  <c r="AC38" i="13" s="1"/>
  <c r="G50" i="13"/>
  <c r="G39" i="13"/>
  <c r="F26" i="13"/>
  <c r="G36" i="13"/>
  <c r="AC36" i="13" s="1"/>
  <c r="AB205" i="14" s="1"/>
  <c r="AB252" i="14" s="1"/>
  <c r="AB270" i="14" s="1"/>
  <c r="G47" i="13"/>
  <c r="G33" i="13"/>
  <c r="AC33" i="13" s="1"/>
  <c r="AB201" i="14" s="1"/>
  <c r="G42" i="13"/>
  <c r="F20" i="13"/>
  <c r="F25" i="13"/>
  <c r="G32" i="13"/>
  <c r="F24" i="13"/>
  <c r="AC10" i="13"/>
  <c r="AB144" i="14" s="1"/>
  <c r="O24" i="6"/>
  <c r="P21" i="6" s="1"/>
  <c r="AC11" i="13" l="1"/>
  <c r="AB148" i="14" s="1"/>
  <c r="AC12" i="13"/>
  <c r="AB152" i="14" s="1"/>
  <c r="X140" i="14"/>
  <c r="K24" i="15"/>
  <c r="K30" i="15" s="1"/>
  <c r="K46" i="15" s="1"/>
  <c r="K74" i="15" s="1"/>
  <c r="L24" i="15"/>
  <c r="L30" i="15" s="1"/>
  <c r="L46" i="15" s="1"/>
  <c r="L74" i="15" s="1"/>
  <c r="X263" i="14"/>
  <c r="X262" i="14"/>
  <c r="T330" i="14"/>
  <c r="N24" i="15"/>
  <c r="N30" i="15" s="1"/>
  <c r="N46" i="15" s="1"/>
  <c r="N74" i="15" s="1"/>
  <c r="X58" i="15"/>
  <c r="X56" i="15"/>
  <c r="X57" i="15"/>
  <c r="X59" i="15"/>
  <c r="Y4" i="15"/>
  <c r="Y5" i="15"/>
  <c r="Z3" i="15"/>
  <c r="W60" i="15"/>
  <c r="W64" i="15" s="1"/>
  <c r="U197" i="14"/>
  <c r="U274" i="14"/>
  <c r="U273" i="14"/>
  <c r="U188" i="14"/>
  <c r="Q189" i="14"/>
  <c r="Q190" i="14" s="1"/>
  <c r="Q246" i="14"/>
  <c r="T291" i="14"/>
  <c r="T332" i="14" s="1"/>
  <c r="T333" i="14" s="1"/>
  <c r="T182" i="14"/>
  <c r="T183" i="14" s="1"/>
  <c r="T268" i="14" s="1"/>
  <c r="N31" i="15" s="1"/>
  <c r="U175" i="14"/>
  <c r="U177" i="14" s="1"/>
  <c r="U305" i="14" s="1"/>
  <c r="U241" i="14"/>
  <c r="U242" i="14" s="1"/>
  <c r="U245" i="14" s="1"/>
  <c r="U266" i="14" s="1"/>
  <c r="U329" i="14" s="1"/>
  <c r="U169" i="14"/>
  <c r="W141" i="14"/>
  <c r="W149" i="14" s="1"/>
  <c r="W243" i="14" s="1"/>
  <c r="V240" i="14"/>
  <c r="V328" i="14" s="1"/>
  <c r="V180" i="14"/>
  <c r="V307" i="14" s="1"/>
  <c r="V172" i="14"/>
  <c r="V293" i="14" s="1"/>
  <c r="V166" i="14"/>
  <c r="V290" i="14" s="1"/>
  <c r="V161" i="14"/>
  <c r="V153" i="14"/>
  <c r="V244" i="14" s="1"/>
  <c r="V157" i="14"/>
  <c r="V145" i="14"/>
  <c r="Q36" i="6"/>
  <c r="Q37" i="6" s="1"/>
  <c r="X210" i="14"/>
  <c r="X310" i="14" s="1"/>
  <c r="X237" i="14"/>
  <c r="X7" i="14"/>
  <c r="X227" i="14"/>
  <c r="X217" i="14"/>
  <c r="X216" i="14"/>
  <c r="X213" i="14"/>
  <c r="X313" i="14" s="1"/>
  <c r="X211" i="14"/>
  <c r="X311" i="14" s="1"/>
  <c r="X259" i="14"/>
  <c r="X204" i="14"/>
  <c r="X300" i="14" s="1"/>
  <c r="X212" i="14"/>
  <c r="X312" i="14" s="1"/>
  <c r="Y4" i="14"/>
  <c r="Y140" i="14" s="1"/>
  <c r="Y5" i="14"/>
  <c r="Y6" i="14"/>
  <c r="Z2" i="14"/>
  <c r="Z3" i="14" s="1"/>
  <c r="W218" i="14"/>
  <c r="K32" i="15"/>
  <c r="L32" i="15"/>
  <c r="M32" i="15"/>
  <c r="N32" i="15"/>
  <c r="K31" i="15"/>
  <c r="L31" i="15"/>
  <c r="M31" i="15"/>
  <c r="Z42" i="4"/>
  <c r="Y46" i="4"/>
  <c r="AN54" i="4" s="1"/>
  <c r="U53" i="4"/>
  <c r="U55" i="4" s="1"/>
  <c r="V52" i="4" s="1"/>
  <c r="V57" i="4" s="1"/>
  <c r="V49" i="4"/>
  <c r="V48" i="4"/>
  <c r="W45" i="4" s="1"/>
  <c r="N33" i="13"/>
  <c r="M201" i="14" s="1"/>
  <c r="M202" i="14" s="1"/>
  <c r="O33" i="13"/>
  <c r="N201" i="14" s="1"/>
  <c r="P33" i="13"/>
  <c r="O201" i="14" s="1"/>
  <c r="Q33" i="13"/>
  <c r="P201" i="14" s="1"/>
  <c r="R33" i="13"/>
  <c r="Q201" i="14" s="1"/>
  <c r="S33" i="13"/>
  <c r="R201" i="14" s="1"/>
  <c r="T33" i="13"/>
  <c r="S201" i="14" s="1"/>
  <c r="U33" i="13"/>
  <c r="T201" i="14" s="1"/>
  <c r="V33" i="13"/>
  <c r="U201" i="14" s="1"/>
  <c r="W33" i="13"/>
  <c r="V201" i="14" s="1"/>
  <c r="X33" i="13"/>
  <c r="W201" i="14" s="1"/>
  <c r="Y33" i="13"/>
  <c r="X201" i="14" s="1"/>
  <c r="Z33" i="13"/>
  <c r="Y201" i="14" s="1"/>
  <c r="AA33" i="13"/>
  <c r="Z201" i="14" s="1"/>
  <c r="AB33" i="13"/>
  <c r="AA201" i="14" s="1"/>
  <c r="N39" i="13"/>
  <c r="M208" i="14" s="1"/>
  <c r="M256" i="14" s="1"/>
  <c r="M269" i="14" s="1"/>
  <c r="O39" i="13"/>
  <c r="N208" i="14" s="1"/>
  <c r="N256" i="14" s="1"/>
  <c r="N269" i="14" s="1"/>
  <c r="P39" i="13"/>
  <c r="O208" i="14" s="1"/>
  <c r="O256" i="14" s="1"/>
  <c r="O269" i="14" s="1"/>
  <c r="Q39" i="13"/>
  <c r="P208" i="14" s="1"/>
  <c r="P256" i="14" s="1"/>
  <c r="P269" i="14" s="1"/>
  <c r="R39" i="13"/>
  <c r="Q208" i="14" s="1"/>
  <c r="Q256" i="14" s="1"/>
  <c r="Q269" i="14" s="1"/>
  <c r="S39" i="13"/>
  <c r="R208" i="14" s="1"/>
  <c r="R256" i="14" s="1"/>
  <c r="R269" i="14" s="1"/>
  <c r="T39" i="13"/>
  <c r="S208" i="14" s="1"/>
  <c r="S256" i="14" s="1"/>
  <c r="S269" i="14" s="1"/>
  <c r="U39" i="13"/>
  <c r="T208" i="14" s="1"/>
  <c r="T256" i="14" s="1"/>
  <c r="T269" i="14" s="1"/>
  <c r="V39" i="13"/>
  <c r="U208" i="14" s="1"/>
  <c r="U256" i="14" s="1"/>
  <c r="U269" i="14" s="1"/>
  <c r="W39" i="13"/>
  <c r="V208" i="14" s="1"/>
  <c r="V256" i="14" s="1"/>
  <c r="V269" i="14" s="1"/>
  <c r="X39" i="13"/>
  <c r="W208" i="14" s="1"/>
  <c r="W256" i="14" s="1"/>
  <c r="W269" i="14" s="1"/>
  <c r="Y39" i="13"/>
  <c r="X208" i="14" s="1"/>
  <c r="X256" i="14" s="1"/>
  <c r="X269" i="14" s="1"/>
  <c r="Z39" i="13"/>
  <c r="Y208" i="14" s="1"/>
  <c r="Y256" i="14" s="1"/>
  <c r="Y269" i="14" s="1"/>
  <c r="AA39" i="13"/>
  <c r="Z208" i="14" s="1"/>
  <c r="Z256" i="14" s="1"/>
  <c r="Z269" i="14" s="1"/>
  <c r="AB39" i="13"/>
  <c r="AA208" i="14" s="1"/>
  <c r="AA256" i="14" s="1"/>
  <c r="AA269" i="14" s="1"/>
  <c r="AB254" i="14"/>
  <c r="X27" i="15"/>
  <c r="Y27" i="15"/>
  <c r="W27" i="15"/>
  <c r="Z27" i="15"/>
  <c r="V27" i="15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39" i="13"/>
  <c r="AB208" i="14" s="1"/>
  <c r="AB256" i="14" s="1"/>
  <c r="AB269" i="14" s="1"/>
  <c r="N42" i="13"/>
  <c r="M230" i="14" s="1"/>
  <c r="M231" i="14" s="1"/>
  <c r="M250" i="14" s="1"/>
  <c r="M276" i="14" s="1"/>
  <c r="O42" i="13"/>
  <c r="N230" i="14" s="1"/>
  <c r="P42" i="13"/>
  <c r="O230" i="14" s="1"/>
  <c r="Q42" i="13"/>
  <c r="P230" i="14" s="1"/>
  <c r="R42" i="13"/>
  <c r="Q230" i="14" s="1"/>
  <c r="S42" i="13"/>
  <c r="R230" i="14" s="1"/>
  <c r="T42" i="13"/>
  <c r="S230" i="14" s="1"/>
  <c r="U42" i="13"/>
  <c r="T230" i="14" s="1"/>
  <c r="V42" i="13"/>
  <c r="U230" i="14" s="1"/>
  <c r="W42" i="13"/>
  <c r="V230" i="14" s="1"/>
  <c r="X42" i="13"/>
  <c r="W230" i="14" s="1"/>
  <c r="Y42" i="13"/>
  <c r="X230" i="14" s="1"/>
  <c r="Z42" i="13"/>
  <c r="Y230" i="14" s="1"/>
  <c r="AA42" i="13"/>
  <c r="Z230" i="14" s="1"/>
  <c r="AB42" i="13"/>
  <c r="AA230" i="14" s="1"/>
  <c r="O36" i="13"/>
  <c r="N205" i="14" s="1"/>
  <c r="N252" i="14" s="1"/>
  <c r="N270" i="14" s="1"/>
  <c r="P36" i="13"/>
  <c r="O205" i="14" s="1"/>
  <c r="O252" i="14" s="1"/>
  <c r="O270" i="14" s="1"/>
  <c r="Q36" i="13"/>
  <c r="P205" i="14" s="1"/>
  <c r="P252" i="14" s="1"/>
  <c r="P270" i="14" s="1"/>
  <c r="R36" i="13"/>
  <c r="Q205" i="14" s="1"/>
  <c r="Q252" i="14" s="1"/>
  <c r="Q270" i="14" s="1"/>
  <c r="S36" i="13"/>
  <c r="R205" i="14" s="1"/>
  <c r="R252" i="14" s="1"/>
  <c r="R270" i="14" s="1"/>
  <c r="T36" i="13"/>
  <c r="S205" i="14" s="1"/>
  <c r="S252" i="14" s="1"/>
  <c r="S270" i="14" s="1"/>
  <c r="U36" i="13"/>
  <c r="T205" i="14" s="1"/>
  <c r="T252" i="14" s="1"/>
  <c r="T270" i="14" s="1"/>
  <c r="V36" i="13"/>
  <c r="U205" i="14" s="1"/>
  <c r="U252" i="14" s="1"/>
  <c r="U270" i="14" s="1"/>
  <c r="W36" i="13"/>
  <c r="V205" i="14" s="1"/>
  <c r="V252" i="14" s="1"/>
  <c r="V270" i="14" s="1"/>
  <c r="X36" i="13"/>
  <c r="W205" i="14" s="1"/>
  <c r="W252" i="14" s="1"/>
  <c r="W270" i="14" s="1"/>
  <c r="Y36" i="13"/>
  <c r="X205" i="14" s="1"/>
  <c r="X252" i="14" s="1"/>
  <c r="X270" i="14" s="1"/>
  <c r="Z36" i="13"/>
  <c r="Y205" i="14" s="1"/>
  <c r="Y252" i="14" s="1"/>
  <c r="Y270" i="14" s="1"/>
  <c r="AA36" i="13"/>
  <c r="Z205" i="14" s="1"/>
  <c r="Z252" i="14" s="1"/>
  <c r="Z270" i="14" s="1"/>
  <c r="AB36" i="13"/>
  <c r="AA205" i="14" s="1"/>
  <c r="AA252" i="14" s="1"/>
  <c r="AA270" i="14" s="1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50" i="13"/>
  <c r="AC42" i="13"/>
  <c r="AB230" i="14" s="1"/>
  <c r="P22" i="6"/>
  <c r="P23" i="6" s="1"/>
  <c r="Y263" i="14" l="1"/>
  <c r="Y262" i="14"/>
  <c r="O32" i="15"/>
  <c r="U330" i="14"/>
  <c r="O24" i="15"/>
  <c r="O30" i="15" s="1"/>
  <c r="O46" i="15" s="1"/>
  <c r="X60" i="15"/>
  <c r="X64" i="15" s="1"/>
  <c r="Z4" i="15"/>
  <c r="Z36" i="15" s="1"/>
  <c r="AA3" i="15"/>
  <c r="Z5" i="15"/>
  <c r="V274" i="14"/>
  <c r="V197" i="14"/>
  <c r="R187" i="14"/>
  <c r="Q297" i="14"/>
  <c r="V273" i="14"/>
  <c r="P32" i="15" s="1"/>
  <c r="V188" i="14"/>
  <c r="U182" i="14"/>
  <c r="U183" i="14" s="1"/>
  <c r="U268" i="14" s="1"/>
  <c r="O31" i="15" s="1"/>
  <c r="U291" i="14"/>
  <c r="U332" i="14" s="1"/>
  <c r="U333" i="14" s="1"/>
  <c r="V241" i="14"/>
  <c r="V242" i="14" s="1"/>
  <c r="V245" i="14" s="1"/>
  <c r="V266" i="14" s="1"/>
  <c r="V329" i="14" s="1"/>
  <c r="V169" i="14"/>
  <c r="V175" i="14"/>
  <c r="V177" i="14" s="1"/>
  <c r="V305" i="14" s="1"/>
  <c r="X141" i="14"/>
  <c r="X149" i="14" s="1"/>
  <c r="X243" i="14" s="1"/>
  <c r="W240" i="14"/>
  <c r="W328" i="14" s="1"/>
  <c r="W180" i="14"/>
  <c r="W307" i="14" s="1"/>
  <c r="W166" i="14"/>
  <c r="W290" i="14" s="1"/>
  <c r="W172" i="14"/>
  <c r="W293" i="14" s="1"/>
  <c r="W161" i="14"/>
  <c r="W157" i="14"/>
  <c r="W145" i="14"/>
  <c r="W153" i="14"/>
  <c r="W244" i="14" s="1"/>
  <c r="Q38" i="6"/>
  <c r="R35" i="6" s="1"/>
  <c r="X218" i="14"/>
  <c r="AA2" i="14"/>
  <c r="AA3" i="14" s="1"/>
  <c r="Z5" i="14"/>
  <c r="Z4" i="14"/>
  <c r="Z140" i="14" s="1"/>
  <c r="Z6" i="14"/>
  <c r="Y213" i="14"/>
  <c r="Y313" i="14" s="1"/>
  <c r="Y217" i="14"/>
  <c r="Y216" i="14"/>
  <c r="Y218" i="14" s="1"/>
  <c r="Y259" i="14"/>
  <c r="Y210" i="14"/>
  <c r="Y310" i="14" s="1"/>
  <c r="Y237" i="14"/>
  <c r="Y211" i="14"/>
  <c r="Y311" i="14" s="1"/>
  <c r="Y212" i="14"/>
  <c r="Y312" i="14" s="1"/>
  <c r="Y227" i="14"/>
  <c r="Y204" i="14"/>
  <c r="Y300" i="14" s="1"/>
  <c r="Y7" i="14"/>
  <c r="AA42" i="4"/>
  <c r="Z46" i="4"/>
  <c r="AO54" i="4" s="1"/>
  <c r="V53" i="4"/>
  <c r="V55" i="4" s="1"/>
  <c r="W52" i="4" s="1"/>
  <c r="W57" i="4" s="1"/>
  <c r="W48" i="4"/>
  <c r="X45" i="4" s="1"/>
  <c r="W49" i="4"/>
  <c r="M198" i="14"/>
  <c r="M199" i="14" s="1"/>
  <c r="M247" i="14"/>
  <c r="M249" i="14" s="1"/>
  <c r="P24" i="6"/>
  <c r="Q21" i="6" s="1"/>
  <c r="Z263" i="14" l="1"/>
  <c r="Z262" i="14"/>
  <c r="O74" i="15"/>
  <c r="O56" i="15"/>
  <c r="V330" i="14"/>
  <c r="P24" i="15"/>
  <c r="P30" i="15" s="1"/>
  <c r="P46" i="15" s="1"/>
  <c r="P74" i="15" s="1"/>
  <c r="AA4" i="15"/>
  <c r="AA36" i="15" s="1"/>
  <c r="AA5" i="15"/>
  <c r="AA27" i="15"/>
  <c r="Z59" i="15"/>
  <c r="Z58" i="15"/>
  <c r="Z57" i="15"/>
  <c r="Z56" i="15"/>
  <c r="Y141" i="14"/>
  <c r="Y149" i="14" s="1"/>
  <c r="Y243" i="14" s="1"/>
  <c r="X240" i="14"/>
  <c r="X328" i="14" s="1"/>
  <c r="X180" i="14"/>
  <c r="X307" i="14" s="1"/>
  <c r="X166" i="14"/>
  <c r="X290" i="14" s="1"/>
  <c r="X172" i="14"/>
  <c r="X293" i="14" s="1"/>
  <c r="X161" i="14"/>
  <c r="X153" i="14"/>
  <c r="X244" i="14" s="1"/>
  <c r="X157" i="14"/>
  <c r="X145" i="14"/>
  <c r="W241" i="14"/>
  <c r="W242" i="14" s="1"/>
  <c r="W245" i="14" s="1"/>
  <c r="W266" i="14" s="1"/>
  <c r="W329" i="14" s="1"/>
  <c r="W175" i="14"/>
  <c r="W177" i="14" s="1"/>
  <c r="W305" i="14" s="1"/>
  <c r="W169" i="14"/>
  <c r="W291" i="14" s="1"/>
  <c r="W274" i="14"/>
  <c r="W197" i="14"/>
  <c r="W188" i="14"/>
  <c r="W273" i="14"/>
  <c r="V182" i="14"/>
  <c r="V183" i="14" s="1"/>
  <c r="V268" i="14" s="1"/>
  <c r="P31" i="15" s="1"/>
  <c r="V291" i="14"/>
  <c r="V332" i="14" s="1"/>
  <c r="V333" i="14" s="1"/>
  <c r="R193" i="14"/>
  <c r="R36" i="6"/>
  <c r="R37" i="6" s="1"/>
  <c r="Z217" i="14"/>
  <c r="Z216" i="14"/>
  <c r="Z7" i="14"/>
  <c r="Z212" i="14"/>
  <c r="Z312" i="14" s="1"/>
  <c r="Z227" i="14"/>
  <c r="Z237" i="14"/>
  <c r="Z210" i="14"/>
  <c r="Z310" i="14" s="1"/>
  <c r="Z213" i="14"/>
  <c r="Z313" i="14" s="1"/>
  <c r="Z259" i="14"/>
  <c r="Z204" i="14"/>
  <c r="Z300" i="14" s="1"/>
  <c r="Z211" i="14"/>
  <c r="Z311" i="14" s="1"/>
  <c r="AA6" i="14"/>
  <c r="AA5" i="14"/>
  <c r="AB2" i="14"/>
  <c r="AB3" i="14" s="1"/>
  <c r="AA4" i="14"/>
  <c r="AA140" i="14" s="1"/>
  <c r="AB42" i="4"/>
  <c r="AA46" i="4"/>
  <c r="AP54" i="4" s="1"/>
  <c r="X49" i="4"/>
  <c r="X48" i="4"/>
  <c r="Y45" i="4" s="1"/>
  <c r="W53" i="4"/>
  <c r="W55" i="4" s="1"/>
  <c r="X52" i="4" s="1"/>
  <c r="X57" i="4" s="1"/>
  <c r="M253" i="14"/>
  <c r="N196" i="14"/>
  <c r="N202" i="14" s="1"/>
  <c r="M299" i="14"/>
  <c r="Q22" i="6"/>
  <c r="Q23" i="6" s="1"/>
  <c r="AA262" i="14" l="1"/>
  <c r="AA263" i="14"/>
  <c r="Q32" i="15"/>
  <c r="W330" i="14"/>
  <c r="Q24" i="15"/>
  <c r="Q30" i="15" s="1"/>
  <c r="Q46" i="15" s="1"/>
  <c r="Q74" i="15" s="1"/>
  <c r="AA56" i="15"/>
  <c r="AA59" i="15"/>
  <c r="AA57" i="15"/>
  <c r="AA58" i="15"/>
  <c r="Z60" i="15"/>
  <c r="Z64" i="15" s="1"/>
  <c r="X273" i="14"/>
  <c r="X188" i="14"/>
  <c r="R189" i="14"/>
  <c r="R190" i="14" s="1"/>
  <c r="R246" i="14"/>
  <c r="X241" i="14"/>
  <c r="X242" i="14" s="1"/>
  <c r="X245" i="14" s="1"/>
  <c r="X266" i="14" s="1"/>
  <c r="X329" i="14" s="1"/>
  <c r="X169" i="14"/>
  <c r="X291" i="14" s="1"/>
  <c r="X175" i="14"/>
  <c r="X177" i="14" s="1"/>
  <c r="X305" i="14" s="1"/>
  <c r="Z141" i="14"/>
  <c r="Z149" i="14" s="1"/>
  <c r="Z243" i="14" s="1"/>
  <c r="Y240" i="14"/>
  <c r="Y328" i="14" s="1"/>
  <c r="Y172" i="14"/>
  <c r="Y293" i="14" s="1"/>
  <c r="Y161" i="14"/>
  <c r="Y180" i="14"/>
  <c r="Y307" i="14" s="1"/>
  <c r="Y166" i="14"/>
  <c r="Y290" i="14" s="1"/>
  <c r="Y157" i="14"/>
  <c r="Y145" i="14"/>
  <c r="Y153" i="14"/>
  <c r="Y244" i="14" s="1"/>
  <c r="W332" i="14"/>
  <c r="W333" i="14" s="1"/>
  <c r="X274" i="14"/>
  <c r="X197" i="14"/>
  <c r="W182" i="14"/>
  <c r="W183" i="14" s="1"/>
  <c r="W268" i="14" s="1"/>
  <c r="Q31" i="15" s="1"/>
  <c r="R38" i="6"/>
  <c r="S35" i="6" s="1"/>
  <c r="Z218" i="14"/>
  <c r="AA259" i="14"/>
  <c r="AA227" i="14"/>
  <c r="AA213" i="14"/>
  <c r="AA313" i="14" s="1"/>
  <c r="AA216" i="14"/>
  <c r="AA217" i="14"/>
  <c r="AA237" i="14"/>
  <c r="AA7" i="14"/>
  <c r="AA212" i="14"/>
  <c r="AA312" i="14" s="1"/>
  <c r="AA211" i="14"/>
  <c r="AA311" i="14" s="1"/>
  <c r="AA210" i="14"/>
  <c r="AA310" i="14" s="1"/>
  <c r="AA204" i="14"/>
  <c r="AA300" i="14" s="1"/>
  <c r="AB6" i="14"/>
  <c r="AB4" i="14"/>
  <c r="AB140" i="14" s="1"/>
  <c r="AB5" i="14"/>
  <c r="AB46" i="4"/>
  <c r="AQ54" i="4" s="1"/>
  <c r="AC42" i="4"/>
  <c r="Y49" i="4"/>
  <c r="Y48" i="4"/>
  <c r="Z45" i="4" s="1"/>
  <c r="X53" i="4"/>
  <c r="X55" i="4" s="1"/>
  <c r="Y52" i="4" s="1"/>
  <c r="Y57" i="4" s="1"/>
  <c r="M255" i="14"/>
  <c r="M267" i="14" s="1"/>
  <c r="M272" i="14" s="1"/>
  <c r="M275" i="14" s="1"/>
  <c r="N247" i="14"/>
  <c r="N198" i="14"/>
  <c r="N199" i="14" s="1"/>
  <c r="Q24" i="6"/>
  <c r="R21" i="6" s="1"/>
  <c r="AB263" i="14" l="1"/>
  <c r="G263" i="14" s="1"/>
  <c r="AB262" i="14"/>
  <c r="G262" i="14" s="1"/>
  <c r="X332" i="14"/>
  <c r="X333" i="14" s="1"/>
  <c r="X182" i="14"/>
  <c r="X183" i="14" s="1"/>
  <c r="X268" i="14" s="1"/>
  <c r="R31" i="15" s="1"/>
  <c r="X330" i="14"/>
  <c r="R24" i="15"/>
  <c r="R30" i="15" s="1"/>
  <c r="R46" i="15" s="1"/>
  <c r="R74" i="15" s="1"/>
  <c r="R32" i="15"/>
  <c r="AA60" i="15"/>
  <c r="AA64" i="15" s="1"/>
  <c r="Y188" i="14"/>
  <c r="Y273" i="14"/>
  <c r="Y169" i="14"/>
  <c r="Y291" i="14" s="1"/>
  <c r="Y241" i="14"/>
  <c r="Y242" i="14" s="1"/>
  <c r="Y245" i="14" s="1"/>
  <c r="Y266" i="14" s="1"/>
  <c r="Y329" i="14" s="1"/>
  <c r="Y175" i="14"/>
  <c r="Y177" i="14" s="1"/>
  <c r="Y305" i="14" s="1"/>
  <c r="Y197" i="14"/>
  <c r="Y274" i="14"/>
  <c r="S187" i="14"/>
  <c r="R297" i="14"/>
  <c r="AA141" i="14"/>
  <c r="AA149" i="14" s="1"/>
  <c r="AA243" i="14" s="1"/>
  <c r="Z240" i="14"/>
  <c r="Z328" i="14" s="1"/>
  <c r="Z172" i="14"/>
  <c r="Z293" i="14" s="1"/>
  <c r="Z161" i="14"/>
  <c r="Z166" i="14"/>
  <c r="Z290" i="14" s="1"/>
  <c r="Z180" i="14"/>
  <c r="Z307" i="14" s="1"/>
  <c r="Z145" i="14"/>
  <c r="Z157" i="14"/>
  <c r="Z153" i="14"/>
  <c r="Z244" i="14" s="1"/>
  <c r="M279" i="14"/>
  <c r="M221" i="14" s="1"/>
  <c r="M222" i="14" s="1"/>
  <c r="M224" i="14" s="1"/>
  <c r="M331" i="14"/>
  <c r="S36" i="6"/>
  <c r="S37" i="6" s="1"/>
  <c r="AA218" i="14"/>
  <c r="AB216" i="14"/>
  <c r="AB212" i="14"/>
  <c r="AB312" i="14" s="1"/>
  <c r="AB210" i="14"/>
  <c r="AB310" i="14" s="1"/>
  <c r="AB237" i="14"/>
  <c r="AB7" i="14"/>
  <c r="AB204" i="14"/>
  <c r="AB300" i="14" s="1"/>
  <c r="AB259" i="14"/>
  <c r="AB213" i="14"/>
  <c r="AB313" i="14" s="1"/>
  <c r="AB217" i="14"/>
  <c r="AB227" i="14"/>
  <c r="AB211" i="14"/>
  <c r="AB311" i="14" s="1"/>
  <c r="AD42" i="4"/>
  <c r="AC46" i="4"/>
  <c r="AR54" i="4" s="1"/>
  <c r="Z48" i="4"/>
  <c r="AA45" i="4" s="1"/>
  <c r="Z49" i="4"/>
  <c r="Y53" i="4"/>
  <c r="Y55" i="4" s="1"/>
  <c r="Z52" i="4" s="1"/>
  <c r="Z57" i="4" s="1"/>
  <c r="M257" i="14"/>
  <c r="M284" i="14" s="1"/>
  <c r="M286" i="14" s="1"/>
  <c r="N299" i="14"/>
  <c r="O196" i="14"/>
  <c r="O202" i="14" s="1"/>
  <c r="H25" i="15"/>
  <c r="N249" i="14"/>
  <c r="R22" i="6"/>
  <c r="R23" i="6" s="1"/>
  <c r="S38" i="6" l="1"/>
  <c r="T35" i="6" s="1"/>
  <c r="S32" i="15"/>
  <c r="Y332" i="14"/>
  <c r="Y333" i="14" s="1"/>
  <c r="Y330" i="14"/>
  <c r="S24" i="15"/>
  <c r="S30" i="15" s="1"/>
  <c r="S46" i="15" s="1"/>
  <c r="S74" i="15" s="1"/>
  <c r="AB141" i="14"/>
  <c r="AB149" i="14" s="1"/>
  <c r="AB243" i="14" s="1"/>
  <c r="AA240" i="14"/>
  <c r="AA328" i="14" s="1"/>
  <c r="AA172" i="14"/>
  <c r="AA293" i="14" s="1"/>
  <c r="AA161" i="14"/>
  <c r="AA166" i="14"/>
  <c r="AA290" i="14" s="1"/>
  <c r="AA180" i="14"/>
  <c r="AA307" i="14" s="1"/>
  <c r="AA157" i="14"/>
  <c r="AA145" i="14"/>
  <c r="AA153" i="14"/>
  <c r="AA244" i="14" s="1"/>
  <c r="S193" i="14"/>
  <c r="Z241" i="14"/>
  <c r="Z242" i="14" s="1"/>
  <c r="Z245" i="14" s="1"/>
  <c r="Z266" i="14" s="1"/>
  <c r="Z329" i="14" s="1"/>
  <c r="Z175" i="14"/>
  <c r="Z177" i="14" s="1"/>
  <c r="Z305" i="14" s="1"/>
  <c r="Z169" i="14"/>
  <c r="Z273" i="14"/>
  <c r="Z188" i="14"/>
  <c r="Z274" i="14"/>
  <c r="Z197" i="14"/>
  <c r="Y182" i="14"/>
  <c r="Y183" i="14" s="1"/>
  <c r="Y268" i="14" s="1"/>
  <c r="S31" i="15" s="1"/>
  <c r="M225" i="14"/>
  <c r="M229" i="14" s="1"/>
  <c r="N231" i="14" s="1"/>
  <c r="N250" i="14" s="1"/>
  <c r="N276" i="14" s="1"/>
  <c r="N220" i="14"/>
  <c r="T36" i="6"/>
  <c r="T37" i="6" s="1"/>
  <c r="M260" i="14"/>
  <c r="M327" i="14" s="1"/>
  <c r="AB218" i="14"/>
  <c r="AE42" i="4"/>
  <c r="AD46" i="4"/>
  <c r="AS54" i="4" s="1"/>
  <c r="AA49" i="4"/>
  <c r="AA48" i="4"/>
  <c r="AB45" i="4" s="1"/>
  <c r="E9" i="4"/>
  <c r="E22" i="45" s="1"/>
  <c r="Z53" i="4"/>
  <c r="Z55" i="4" s="1"/>
  <c r="AA52" i="4" s="1"/>
  <c r="AA57" i="4" s="1"/>
  <c r="E8" i="4"/>
  <c r="E18" i="4" s="1"/>
  <c r="H18" i="4" s="1"/>
  <c r="M233" i="14"/>
  <c r="N235" i="14" s="1"/>
  <c r="N251" i="14" s="1"/>
  <c r="N277" i="14" s="1"/>
  <c r="M289" i="14"/>
  <c r="H50" i="15"/>
  <c r="H26" i="15"/>
  <c r="H28" i="15" s="1"/>
  <c r="H33" i="15" s="1"/>
  <c r="H34" i="15" s="1"/>
  <c r="H36" i="15" s="1"/>
  <c r="O198" i="14"/>
  <c r="O199" i="14" s="1"/>
  <c r="O247" i="14"/>
  <c r="M317" i="14"/>
  <c r="N283" i="14"/>
  <c r="R24" i="6"/>
  <c r="S21" i="6" s="1"/>
  <c r="E49" i="45" l="1"/>
  <c r="Q49" i="45" s="1"/>
  <c r="E94" i="45"/>
  <c r="E96" i="45" s="1"/>
  <c r="Z330" i="14"/>
  <c r="T24" i="15"/>
  <c r="T30" i="15" s="1"/>
  <c r="T46" i="15" s="1"/>
  <c r="T32" i="15"/>
  <c r="M294" i="14"/>
  <c r="M301" i="14" s="1"/>
  <c r="AA175" i="14"/>
  <c r="AA177" i="14" s="1"/>
  <c r="AA305" i="14" s="1"/>
  <c r="AA169" i="14"/>
  <c r="AA241" i="14"/>
  <c r="AA242" i="14" s="1"/>
  <c r="AA245" i="14" s="1"/>
  <c r="AA266" i="14" s="1"/>
  <c r="AA329" i="14" s="1"/>
  <c r="AA274" i="14"/>
  <c r="AA197" i="14"/>
  <c r="AB240" i="14"/>
  <c r="AB328" i="14" s="1"/>
  <c r="AB172" i="14"/>
  <c r="AB293" i="14" s="1"/>
  <c r="AB166" i="14"/>
  <c r="AB290" i="14" s="1"/>
  <c r="AB161" i="14"/>
  <c r="AB180" i="14"/>
  <c r="AB307" i="14" s="1"/>
  <c r="AB153" i="14"/>
  <c r="AB244" i="14" s="1"/>
  <c r="AB145" i="14"/>
  <c r="AB157" i="14"/>
  <c r="Z291" i="14"/>
  <c r="Z332" i="14" s="1"/>
  <c r="Z333" i="14" s="1"/>
  <c r="Z182" i="14"/>
  <c r="Z183" i="14" s="1"/>
  <c r="Z268" i="14" s="1"/>
  <c r="T31" i="15" s="1"/>
  <c r="S189" i="14"/>
  <c r="S190" i="14" s="1"/>
  <c r="S246" i="14"/>
  <c r="AA188" i="14"/>
  <c r="AA273" i="14"/>
  <c r="M304" i="14"/>
  <c r="M308" i="14" s="1"/>
  <c r="M314" i="14" s="1"/>
  <c r="M318" i="14" s="1"/>
  <c r="T38" i="6"/>
  <c r="U35" i="6" s="1"/>
  <c r="AF42" i="4"/>
  <c r="AE46" i="4"/>
  <c r="AT54" i="4" s="1"/>
  <c r="E19" i="15"/>
  <c r="E49" i="15" s="1"/>
  <c r="E17" i="4"/>
  <c r="H17" i="4" s="1"/>
  <c r="AB49" i="4"/>
  <c r="AB48" i="4"/>
  <c r="AC45" i="4" s="1"/>
  <c r="AA53" i="4"/>
  <c r="AA55" i="4" s="1"/>
  <c r="AB52" i="4" s="1"/>
  <c r="AB57" i="4" s="1"/>
  <c r="I25" i="15"/>
  <c r="O249" i="14"/>
  <c r="N253" i="14"/>
  <c r="O299" i="14"/>
  <c r="P196" i="14"/>
  <c r="P202" i="14" s="1"/>
  <c r="M326" i="14"/>
  <c r="S22" i="6"/>
  <c r="S23" i="6" s="1"/>
  <c r="M320" i="14" l="1"/>
  <c r="M321" i="14" s="1"/>
  <c r="W49" i="45"/>
  <c r="J49" i="45"/>
  <c r="S49" i="45"/>
  <c r="T49" i="45"/>
  <c r="Z49" i="45"/>
  <c r="M49" i="45"/>
  <c r="Y49" i="45"/>
  <c r="P49" i="45"/>
  <c r="V49" i="45"/>
  <c r="I49" i="45"/>
  <c r="L49" i="45"/>
  <c r="O49" i="45"/>
  <c r="R49" i="45"/>
  <c r="U49" i="45"/>
  <c r="H49" i="45"/>
  <c r="H51" i="45" s="1"/>
  <c r="H53" i="45" s="1"/>
  <c r="X49" i="45"/>
  <c r="AA49" i="45"/>
  <c r="K49" i="45"/>
  <c r="N49" i="45"/>
  <c r="E58" i="45"/>
  <c r="T74" i="15"/>
  <c r="T56" i="15"/>
  <c r="AA330" i="14"/>
  <c r="U24" i="15"/>
  <c r="U30" i="15" s="1"/>
  <c r="U46" i="15" s="1"/>
  <c r="U74" i="15" s="1"/>
  <c r="M322" i="14"/>
  <c r="M323" i="14"/>
  <c r="M324" i="14" s="1"/>
  <c r="E69" i="15" s="1"/>
  <c r="T187" i="14"/>
  <c r="S297" i="14"/>
  <c r="AB241" i="14"/>
  <c r="AB242" i="14" s="1"/>
  <c r="AB245" i="14" s="1"/>
  <c r="AB266" i="14" s="1"/>
  <c r="AB329" i="14" s="1"/>
  <c r="AB175" i="14"/>
  <c r="AB177" i="14" s="1"/>
  <c r="AB305" i="14" s="1"/>
  <c r="AB169" i="14"/>
  <c r="AB291" i="14" s="1"/>
  <c r="AB273" i="14"/>
  <c r="AB188" i="14"/>
  <c r="AB197" i="14"/>
  <c r="AB274" i="14"/>
  <c r="AA182" i="14"/>
  <c r="AA183" i="14" s="1"/>
  <c r="AA268" i="14" s="1"/>
  <c r="U31" i="15" s="1"/>
  <c r="AA291" i="14"/>
  <c r="AA332" i="14" s="1"/>
  <c r="AA333" i="14" s="1"/>
  <c r="U32" i="15"/>
  <c r="U36" i="6"/>
  <c r="U37" i="6" s="1"/>
  <c r="AF46" i="4"/>
  <c r="AU54" i="4" s="1"/>
  <c r="AG42" i="4"/>
  <c r="AC48" i="4"/>
  <c r="AD45" i="4" s="1"/>
  <c r="AC49" i="4"/>
  <c r="AB53" i="4"/>
  <c r="AB55" i="4" s="1"/>
  <c r="AC52" i="4" s="1"/>
  <c r="AC57" i="4" s="1"/>
  <c r="H30" i="4"/>
  <c r="H19" i="4"/>
  <c r="I20" i="4"/>
  <c r="I32" i="4" s="1"/>
  <c r="H29" i="4"/>
  <c r="I49" i="15"/>
  <c r="S49" i="15"/>
  <c r="M49" i="15"/>
  <c r="U49" i="15"/>
  <c r="X49" i="15"/>
  <c r="T49" i="15"/>
  <c r="P49" i="15"/>
  <c r="R49" i="15"/>
  <c r="O49" i="15"/>
  <c r="H49" i="15"/>
  <c r="H51" i="15" s="1"/>
  <c r="Q49" i="15"/>
  <c r="W49" i="15"/>
  <c r="Z49" i="15"/>
  <c r="J49" i="15"/>
  <c r="AA49" i="15"/>
  <c r="Y49" i="15"/>
  <c r="V49" i="15"/>
  <c r="N49" i="15"/>
  <c r="L49" i="15"/>
  <c r="K49" i="15"/>
  <c r="N255" i="14"/>
  <c r="N267" i="14" s="1"/>
  <c r="N272" i="14" s="1"/>
  <c r="N275" i="14" s="1"/>
  <c r="P247" i="14"/>
  <c r="P198" i="14"/>
  <c r="P199" i="14" s="1"/>
  <c r="I50" i="15"/>
  <c r="I26" i="15"/>
  <c r="I28" i="15" s="1"/>
  <c r="I33" i="15" s="1"/>
  <c r="I34" i="15" s="1"/>
  <c r="I36" i="15" s="1"/>
  <c r="S24" i="6"/>
  <c r="T21" i="6" s="1"/>
  <c r="I51" i="45" l="1"/>
  <c r="J51" i="45" s="1"/>
  <c r="AB330" i="14"/>
  <c r="V24" i="15"/>
  <c r="V30" i="15" s="1"/>
  <c r="V46" i="15" s="1"/>
  <c r="V74" i="15" s="1"/>
  <c r="W24" i="15"/>
  <c r="W30" i="15" s="1"/>
  <c r="W46" i="15" s="1"/>
  <c r="W74" i="15" s="1"/>
  <c r="X24" i="15"/>
  <c r="X30" i="15" s="1"/>
  <c r="X46" i="15" s="1"/>
  <c r="X74" i="15" s="1"/>
  <c r="Y24" i="15"/>
  <c r="Y30" i="15" s="1"/>
  <c r="Y46" i="15" s="1"/>
  <c r="Z24" i="15"/>
  <c r="Z30" i="15" s="1"/>
  <c r="Z46" i="15" s="1"/>
  <c r="Z74" i="15" s="1"/>
  <c r="AA24" i="15"/>
  <c r="AA30" i="15" s="1"/>
  <c r="AA46" i="15" s="1"/>
  <c r="AA74" i="15" s="1"/>
  <c r="M325" i="14"/>
  <c r="M341" i="14" s="1"/>
  <c r="M339" i="14" s="1"/>
  <c r="AB332" i="14"/>
  <c r="AB333" i="14" s="1"/>
  <c r="T193" i="14"/>
  <c r="X32" i="15"/>
  <c r="AA32" i="15"/>
  <c r="Y32" i="15"/>
  <c r="Z32" i="15"/>
  <c r="V32" i="15"/>
  <c r="W32" i="15"/>
  <c r="AB182" i="14"/>
  <c r="AB183" i="14" s="1"/>
  <c r="AB268" i="14" s="1"/>
  <c r="U38" i="6"/>
  <c r="V35" i="6" s="1"/>
  <c r="N279" i="14"/>
  <c r="N221" i="14" s="1"/>
  <c r="N222" i="14" s="1"/>
  <c r="N225" i="14" s="1"/>
  <c r="N331" i="14"/>
  <c r="AH42" i="4"/>
  <c r="AG46" i="4"/>
  <c r="AV54" i="4" s="1"/>
  <c r="AD48" i="4"/>
  <c r="AE45" i="4" s="1"/>
  <c r="AD49" i="4"/>
  <c r="H33" i="4"/>
  <c r="G36" i="4"/>
  <c r="I51" i="15"/>
  <c r="H21" i="4"/>
  <c r="I16" i="4"/>
  <c r="AC53" i="4"/>
  <c r="AC55" i="4" s="1"/>
  <c r="AD52" i="4" s="1"/>
  <c r="AD57" i="4" s="1"/>
  <c r="N257" i="14"/>
  <c r="N284" i="14" s="1"/>
  <c r="N286" i="14" s="1"/>
  <c r="Q196" i="14"/>
  <c r="Q202" i="14" s="1"/>
  <c r="P299" i="14"/>
  <c r="J25" i="15"/>
  <c r="P249" i="14"/>
  <c r="T22" i="6"/>
  <c r="T23" i="6" s="1"/>
  <c r="Y74" i="15" l="1"/>
  <c r="E75" i="15" s="1"/>
  <c r="Y56" i="15"/>
  <c r="I53" i="45"/>
  <c r="K51" i="45"/>
  <c r="J53" i="45"/>
  <c r="Y31" i="15"/>
  <c r="AA31" i="15"/>
  <c r="W31" i="15"/>
  <c r="V31" i="15"/>
  <c r="X31" i="15"/>
  <c r="Z31" i="15"/>
  <c r="T189" i="14"/>
  <c r="T190" i="14" s="1"/>
  <c r="T246" i="14"/>
  <c r="N224" i="14"/>
  <c r="N233" i="14" s="1"/>
  <c r="O235" i="14" s="1"/>
  <c r="O251" i="14" s="1"/>
  <c r="O277" i="14" s="1"/>
  <c r="O220" i="14"/>
  <c r="N260" i="14"/>
  <c r="N327" i="14" s="1"/>
  <c r="V36" i="6"/>
  <c r="V37" i="6" s="1"/>
  <c r="AI42" i="4"/>
  <c r="AH46" i="4"/>
  <c r="AW54" i="4" s="1"/>
  <c r="I18" i="4"/>
  <c r="I17" i="4" s="1"/>
  <c r="AD53" i="4"/>
  <c r="AD55" i="4" s="1"/>
  <c r="AE52" i="4" s="1"/>
  <c r="AE57" i="4" s="1"/>
  <c r="AE49" i="4"/>
  <c r="AE48" i="4"/>
  <c r="AF45" i="4" s="1"/>
  <c r="N229" i="14"/>
  <c r="O231" i="14" s="1"/>
  <c r="O250" i="14" s="1"/>
  <c r="N304" i="14"/>
  <c r="N308" i="14" s="1"/>
  <c r="N314" i="14" s="1"/>
  <c r="N317" i="14"/>
  <c r="O283" i="14"/>
  <c r="J26" i="15"/>
  <c r="J28" i="15" s="1"/>
  <c r="J33" i="15" s="1"/>
  <c r="J34" i="15" s="1"/>
  <c r="J36" i="15" s="1"/>
  <c r="J50" i="15"/>
  <c r="J51" i="15" s="1"/>
  <c r="Q198" i="14"/>
  <c r="Q199" i="14" s="1"/>
  <c r="Q247" i="14"/>
  <c r="T24" i="6"/>
  <c r="U21" i="6" s="1"/>
  <c r="L51" i="45" l="1"/>
  <c r="K53" i="45"/>
  <c r="N289" i="14"/>
  <c r="N294" i="14" s="1"/>
  <c r="N301" i="14" s="1"/>
  <c r="U187" i="14"/>
  <c r="T297" i="14"/>
  <c r="V38" i="6"/>
  <c r="W35" i="6" s="1"/>
  <c r="AJ42" i="4"/>
  <c r="AI46" i="4"/>
  <c r="AX54" i="4" s="1"/>
  <c r="AF49" i="4"/>
  <c r="AF48" i="4"/>
  <c r="AG45" i="4" s="1"/>
  <c r="AE53" i="4"/>
  <c r="AE55" i="4" s="1"/>
  <c r="AF52" i="4" s="1"/>
  <c r="AF57" i="4" s="1"/>
  <c r="I30" i="4"/>
  <c r="I19" i="4"/>
  <c r="I31" i="4"/>
  <c r="Q299" i="14"/>
  <c r="R196" i="14"/>
  <c r="R202" i="14" s="1"/>
  <c r="Q249" i="14"/>
  <c r="K25" i="15"/>
  <c r="N318" i="14"/>
  <c r="N326" i="14"/>
  <c r="O276" i="14"/>
  <c r="O253" i="14"/>
  <c r="U22" i="6"/>
  <c r="U23" i="6" s="1"/>
  <c r="M51" i="45" l="1"/>
  <c r="L53" i="45"/>
  <c r="N320" i="14"/>
  <c r="N321" i="14" s="1"/>
  <c r="N323" i="14"/>
  <c r="N322" i="14"/>
  <c r="U193" i="14"/>
  <c r="W36" i="6"/>
  <c r="W37" i="6" s="1"/>
  <c r="AJ46" i="4"/>
  <c r="AY54" i="4" s="1"/>
  <c r="AK42" i="4"/>
  <c r="J20" i="4"/>
  <c r="J32" i="4" s="1"/>
  <c r="I29" i="4"/>
  <c r="I33" i="4" s="1"/>
  <c r="AF53" i="4"/>
  <c r="AF55" i="4" s="1"/>
  <c r="AG52" i="4" s="1"/>
  <c r="AG57" i="4" s="1"/>
  <c r="AG49" i="4"/>
  <c r="AG48" i="4"/>
  <c r="AH45" i="4" s="1"/>
  <c r="J16" i="4"/>
  <c r="I21" i="4"/>
  <c r="K50" i="15"/>
  <c r="K51" i="15" s="1"/>
  <c r="K26" i="15"/>
  <c r="K28" i="15" s="1"/>
  <c r="K33" i="15" s="1"/>
  <c r="K34" i="15" s="1"/>
  <c r="K36" i="15" s="1"/>
  <c r="R198" i="14"/>
  <c r="R199" i="14" s="1"/>
  <c r="R247" i="14"/>
  <c r="O255" i="14"/>
  <c r="O267" i="14" s="1"/>
  <c r="O272" i="14" s="1"/>
  <c r="O275" i="14" s="1"/>
  <c r="U24" i="6"/>
  <c r="V21" i="6" s="1"/>
  <c r="N51" i="45" l="1"/>
  <c r="M53" i="45"/>
  <c r="H41" i="15"/>
  <c r="N324" i="14"/>
  <c r="N325" i="14"/>
  <c r="N341" i="14" s="1"/>
  <c r="U189" i="14"/>
  <c r="U190" i="14" s="1"/>
  <c r="U246" i="14"/>
  <c r="W38" i="6"/>
  <c r="X35" i="6" s="1"/>
  <c r="X36" i="6" s="1"/>
  <c r="X37" i="6" s="1"/>
  <c r="X38" i="6" s="1"/>
  <c r="Y35" i="6" s="1"/>
  <c r="Y36" i="6" s="1"/>
  <c r="Y37" i="6" s="1"/>
  <c r="O279" i="14"/>
  <c r="O221" i="14" s="1"/>
  <c r="O222" i="14" s="1"/>
  <c r="O224" i="14" s="1"/>
  <c r="O331" i="14"/>
  <c r="AL42" i="4"/>
  <c r="AK46" i="4"/>
  <c r="AZ54" i="4" s="1"/>
  <c r="J18" i="4"/>
  <c r="J17" i="4" s="1"/>
  <c r="AH49" i="4"/>
  <c r="AH48" i="4"/>
  <c r="AI45" i="4" s="1"/>
  <c r="AG53" i="4"/>
  <c r="AG55" i="4" s="1"/>
  <c r="AH52" i="4" s="1"/>
  <c r="AH57" i="4" s="1"/>
  <c r="R299" i="14"/>
  <c r="S196" i="14"/>
  <c r="S202" i="14" s="1"/>
  <c r="O257" i="14"/>
  <c r="L25" i="15"/>
  <c r="R249" i="14"/>
  <c r="V22" i="6"/>
  <c r="V23" i="6" s="1"/>
  <c r="N339" i="14" l="1"/>
  <c r="H86" i="15"/>
  <c r="O51" i="45"/>
  <c r="N53" i="45"/>
  <c r="O225" i="14"/>
  <c r="O229" i="14" s="1"/>
  <c r="P231" i="14" s="1"/>
  <c r="P250" i="14" s="1"/>
  <c r="H43" i="15"/>
  <c r="H85" i="15"/>
  <c r="E19" i="16"/>
  <c r="E20" i="16" s="1"/>
  <c r="E23" i="16" s="1"/>
  <c r="V187" i="14"/>
  <c r="U297" i="14"/>
  <c r="P220" i="14"/>
  <c r="Y38" i="6"/>
  <c r="Z35" i="6" s="1"/>
  <c r="AM42" i="4"/>
  <c r="AL46" i="4"/>
  <c r="BA54" i="4" s="1"/>
  <c r="AI49" i="4"/>
  <c r="AI48" i="4"/>
  <c r="AJ45" i="4" s="1"/>
  <c r="AH53" i="4"/>
  <c r="AH55" i="4" s="1"/>
  <c r="AI52" i="4" s="1"/>
  <c r="AI57" i="4" s="1"/>
  <c r="J30" i="4"/>
  <c r="J19" i="4"/>
  <c r="J31" i="4"/>
  <c r="O233" i="14"/>
  <c r="P235" i="14" s="1"/>
  <c r="P251" i="14" s="1"/>
  <c r="P277" i="14" s="1"/>
  <c r="O289" i="14"/>
  <c r="O260" i="14"/>
  <c r="O327" i="14" s="1"/>
  <c r="O284" i="14"/>
  <c r="O286" i="14" s="1"/>
  <c r="S198" i="14"/>
  <c r="S199" i="14" s="1"/>
  <c r="S247" i="14"/>
  <c r="L50" i="15"/>
  <c r="L51" i="15" s="1"/>
  <c r="L58" i="15" s="1"/>
  <c r="L60" i="15" s="1"/>
  <c r="L64" i="15" s="1"/>
  <c r="L26" i="15"/>
  <c r="L28" i="15" s="1"/>
  <c r="L33" i="15" s="1"/>
  <c r="L34" i="15" s="1"/>
  <c r="L36" i="15" s="1"/>
  <c r="Z36" i="6"/>
  <c r="Z37" i="6" s="1"/>
  <c r="V24" i="6"/>
  <c r="W21" i="6" s="1"/>
  <c r="H44" i="15" l="1"/>
  <c r="H87" i="15"/>
  <c r="H88" i="15" s="1"/>
  <c r="P51" i="45"/>
  <c r="O53" i="45"/>
  <c r="O304" i="14"/>
  <c r="O308" i="14" s="1"/>
  <c r="O314" i="14" s="1"/>
  <c r="O294" i="14"/>
  <c r="O301" i="14" s="1"/>
  <c r="H47" i="15"/>
  <c r="H45" i="15"/>
  <c r="H54" i="15" s="1"/>
  <c r="E79" i="15"/>
  <c r="E93" i="15" s="1"/>
  <c r="V193" i="14"/>
  <c r="Z38" i="6"/>
  <c r="AA35" i="6" s="1"/>
  <c r="AN42" i="4"/>
  <c r="AM46" i="4"/>
  <c r="BB54" i="4" s="1"/>
  <c r="AJ49" i="4"/>
  <c r="AJ48" i="4"/>
  <c r="AK45" i="4" s="1"/>
  <c r="AI53" i="4"/>
  <c r="AI55" i="4" s="1"/>
  <c r="AJ52" i="4" s="1"/>
  <c r="AJ57" i="4" s="1"/>
  <c r="J29" i="4"/>
  <c r="J33" i="4" s="1"/>
  <c r="K20" i="4"/>
  <c r="K32" i="4" s="1"/>
  <c r="J21" i="4"/>
  <c r="K16" i="4"/>
  <c r="P276" i="14"/>
  <c r="P253" i="14"/>
  <c r="O317" i="14"/>
  <c r="P283" i="14"/>
  <c r="S249" i="14"/>
  <c r="M25" i="15"/>
  <c r="T196" i="14"/>
  <c r="T202" i="14" s="1"/>
  <c r="S299" i="14"/>
  <c r="AA36" i="6"/>
  <c r="AA37" i="6" s="1"/>
  <c r="W22" i="6"/>
  <c r="W23" i="6" s="1"/>
  <c r="Q51" i="45" l="1"/>
  <c r="P53" i="45"/>
  <c r="V189" i="14"/>
  <c r="V190" i="14" s="1"/>
  <c r="V246" i="14"/>
  <c r="AN46" i="4"/>
  <c r="BC54" i="4" s="1"/>
  <c r="AO42" i="4"/>
  <c r="AK48" i="4"/>
  <c r="AL45" i="4" s="1"/>
  <c r="AK49" i="4"/>
  <c r="K18" i="4"/>
  <c r="K17" i="4" s="1"/>
  <c r="K30" i="4" s="1"/>
  <c r="AJ53" i="4"/>
  <c r="AJ55" i="4" s="1"/>
  <c r="AK52" i="4" s="1"/>
  <c r="AK57" i="4" s="1"/>
  <c r="T247" i="14"/>
  <c r="T198" i="14"/>
  <c r="T199" i="14" s="1"/>
  <c r="O318" i="14"/>
  <c r="O320" i="14" s="1"/>
  <c r="O321" i="14" s="1"/>
  <c r="O326" i="14"/>
  <c r="M26" i="15"/>
  <c r="M28" i="15" s="1"/>
  <c r="M33" i="15" s="1"/>
  <c r="M34" i="15" s="1"/>
  <c r="M36" i="15" s="1"/>
  <c r="M50" i="15"/>
  <c r="M51" i="15" s="1"/>
  <c r="M58" i="15" s="1"/>
  <c r="P255" i="14"/>
  <c r="P267" i="14" s="1"/>
  <c r="P272" i="14" s="1"/>
  <c r="P275" i="14" s="1"/>
  <c r="AA38" i="6"/>
  <c r="AB35" i="6" s="1"/>
  <c r="W24" i="6"/>
  <c r="X21" i="6" s="1"/>
  <c r="R51" i="45" l="1"/>
  <c r="Q53" i="45"/>
  <c r="O323" i="14"/>
  <c r="I41" i="15" s="1"/>
  <c r="I85" i="15" s="1"/>
  <c r="O322" i="14"/>
  <c r="O325" i="14" s="1"/>
  <c r="O341" i="14" s="1"/>
  <c r="W187" i="14"/>
  <c r="W193" i="14" s="1"/>
  <c r="V297" i="14"/>
  <c r="P279" i="14"/>
  <c r="P221" i="14" s="1"/>
  <c r="P222" i="14" s="1"/>
  <c r="P224" i="14" s="1"/>
  <c r="P331" i="14"/>
  <c r="K19" i="4"/>
  <c r="AP42" i="4"/>
  <c r="AO46" i="4"/>
  <c r="AK53" i="4"/>
  <c r="AK55" i="4" s="1"/>
  <c r="AL52" i="4" s="1"/>
  <c r="AL57" i="4" s="1"/>
  <c r="AL48" i="4"/>
  <c r="AM45" i="4" s="1"/>
  <c r="AL49" i="4"/>
  <c r="K31" i="4"/>
  <c r="P257" i="14"/>
  <c r="P284" i="14" s="1"/>
  <c r="P286" i="14" s="1"/>
  <c r="U196" i="14"/>
  <c r="U202" i="14" s="1"/>
  <c r="T299" i="14"/>
  <c r="N25" i="15"/>
  <c r="T249" i="14"/>
  <c r="AB36" i="6"/>
  <c r="AB37" i="6" s="1"/>
  <c r="X22" i="6"/>
  <c r="X23" i="6" s="1"/>
  <c r="O339" i="14" l="1"/>
  <c r="I86" i="15"/>
  <c r="S51" i="45"/>
  <c r="R53" i="45"/>
  <c r="I43" i="15"/>
  <c r="O324" i="14"/>
  <c r="W189" i="14"/>
  <c r="W190" i="14" s="1"/>
  <c r="W246" i="14"/>
  <c r="Q220" i="14"/>
  <c r="P225" i="14"/>
  <c r="P304" i="14" s="1"/>
  <c r="P308" i="14" s="1"/>
  <c r="P314" i="14" s="1"/>
  <c r="K21" i="4"/>
  <c r="L16" i="4"/>
  <c r="AQ42" i="4"/>
  <c r="AP46" i="4"/>
  <c r="AL53" i="4"/>
  <c r="AL55" i="4" s="1"/>
  <c r="AM52" i="4" s="1"/>
  <c r="AM57" i="4" s="1"/>
  <c r="AM49" i="4"/>
  <c r="AM48" i="4"/>
  <c r="AN45" i="4" s="1"/>
  <c r="L20" i="4"/>
  <c r="L32" i="4" s="1"/>
  <c r="K29" i="4"/>
  <c r="K33" i="4" s="1"/>
  <c r="P260" i="14"/>
  <c r="P327" i="14" s="1"/>
  <c r="U198" i="14"/>
  <c r="U199" i="14" s="1"/>
  <c r="U247" i="14"/>
  <c r="P233" i="14"/>
  <c r="Q235" i="14" s="1"/>
  <c r="Q251" i="14" s="1"/>
  <c r="Q277" i="14" s="1"/>
  <c r="P289" i="14"/>
  <c r="N50" i="15"/>
  <c r="N51" i="15" s="1"/>
  <c r="N58" i="15" s="1"/>
  <c r="N26" i="15"/>
  <c r="N28" i="15" s="1"/>
  <c r="N33" i="15" s="1"/>
  <c r="N34" i="15" s="1"/>
  <c r="N36" i="15" s="1"/>
  <c r="P317" i="14"/>
  <c r="Q283" i="14"/>
  <c r="AB38" i="6"/>
  <c r="AC35" i="6" s="1"/>
  <c r="X24" i="6"/>
  <c r="Y21" i="6" s="1"/>
  <c r="I44" i="15" l="1"/>
  <c r="I45" i="15" s="1"/>
  <c r="I54" i="15" s="1"/>
  <c r="I87" i="15"/>
  <c r="I88" i="15" s="1"/>
  <c r="T51" i="45"/>
  <c r="S53" i="45"/>
  <c r="P294" i="14"/>
  <c r="P301" i="14" s="1"/>
  <c r="X187" i="14"/>
  <c r="W297" i="14"/>
  <c r="P229" i="14"/>
  <c r="Q231" i="14" s="1"/>
  <c r="Q250" i="14" s="1"/>
  <c r="Q253" i="14" s="1"/>
  <c r="L18" i="4"/>
  <c r="L17" i="4" s="1"/>
  <c r="L30" i="4" s="1"/>
  <c r="AR42" i="4"/>
  <c r="AQ46" i="4"/>
  <c r="AM53" i="4"/>
  <c r="AM55" i="4" s="1"/>
  <c r="AN52" i="4" s="1"/>
  <c r="AN57" i="4" s="1"/>
  <c r="AN48" i="4"/>
  <c r="AO45" i="4" s="1"/>
  <c r="AN49" i="4"/>
  <c r="V196" i="14"/>
  <c r="V202" i="14" s="1"/>
  <c r="U299" i="14"/>
  <c r="P318" i="14"/>
  <c r="P326" i="14"/>
  <c r="U249" i="14"/>
  <c r="O25" i="15"/>
  <c r="AC36" i="6"/>
  <c r="AC37" i="6" s="1"/>
  <c r="Y22" i="6"/>
  <c r="Y23" i="6" s="1"/>
  <c r="I47" i="15" l="1"/>
  <c r="U51" i="45"/>
  <c r="T53" i="45"/>
  <c r="P320" i="14"/>
  <c r="P321" i="14" s="1"/>
  <c r="P323" i="14"/>
  <c r="P322" i="14"/>
  <c r="X193" i="14"/>
  <c r="Q276" i="14"/>
  <c r="L19" i="4"/>
  <c r="AR46" i="4"/>
  <c r="AS42" i="4"/>
  <c r="L31" i="4"/>
  <c r="AN53" i="4"/>
  <c r="AN55" i="4" s="1"/>
  <c r="AO52" i="4" s="1"/>
  <c r="AO57" i="4" s="1"/>
  <c r="AO49" i="4"/>
  <c r="AO48" i="4"/>
  <c r="AP45" i="4" s="1"/>
  <c r="O50" i="15"/>
  <c r="O51" i="15" s="1"/>
  <c r="O58" i="15" s="1"/>
  <c r="O26" i="15"/>
  <c r="O28" i="15" s="1"/>
  <c r="O33" i="15" s="1"/>
  <c r="O34" i="15" s="1"/>
  <c r="O36" i="15" s="1"/>
  <c r="Q255" i="14"/>
  <c r="Q267" i="14" s="1"/>
  <c r="Q272" i="14" s="1"/>
  <c r="Q275" i="14" s="1"/>
  <c r="V247" i="14"/>
  <c r="V198" i="14"/>
  <c r="V199" i="14" s="1"/>
  <c r="AC38" i="6"/>
  <c r="AD35" i="6" s="1"/>
  <c r="Y24" i="6"/>
  <c r="Z21" i="6" s="1"/>
  <c r="V51" i="45" l="1"/>
  <c r="U53" i="45"/>
  <c r="J41" i="15"/>
  <c r="P324" i="14"/>
  <c r="P325" i="14"/>
  <c r="P341" i="14" s="1"/>
  <c r="X189" i="14"/>
  <c r="X190" i="14" s="1"/>
  <c r="X246" i="14"/>
  <c r="Q279" i="14"/>
  <c r="Q221" i="14" s="1"/>
  <c r="Q222" i="14" s="1"/>
  <c r="R220" i="14" s="1"/>
  <c r="Q331" i="14"/>
  <c r="M16" i="4"/>
  <c r="L21" i="4"/>
  <c r="M20" i="4"/>
  <c r="M32" i="4" s="1"/>
  <c r="L29" i="4"/>
  <c r="L33" i="4" s="1"/>
  <c r="AT42" i="4"/>
  <c r="AS46" i="4"/>
  <c r="AO53" i="4"/>
  <c r="AO55" i="4" s="1"/>
  <c r="AP52" i="4" s="1"/>
  <c r="AP57" i="4" s="1"/>
  <c r="AP48" i="4"/>
  <c r="AQ45" i="4" s="1"/>
  <c r="AP49" i="4"/>
  <c r="W196" i="14"/>
  <c r="W202" i="14" s="1"/>
  <c r="V299" i="14"/>
  <c r="V249" i="14"/>
  <c r="P25" i="15"/>
  <c r="Q257" i="14"/>
  <c r="AD36" i="6"/>
  <c r="AD37" i="6" s="1"/>
  <c r="Z22" i="6"/>
  <c r="Z23" i="6" s="1"/>
  <c r="P339" i="14" l="1"/>
  <c r="J86" i="15"/>
  <c r="W51" i="45"/>
  <c r="V53" i="45"/>
  <c r="J85" i="15"/>
  <c r="J43" i="15"/>
  <c r="Y187" i="14"/>
  <c r="X297" i="14"/>
  <c r="Q224" i="14"/>
  <c r="Q233" i="14" s="1"/>
  <c r="R235" i="14" s="1"/>
  <c r="R251" i="14" s="1"/>
  <c r="R277" i="14" s="1"/>
  <c r="Q225" i="14"/>
  <c r="Q229" i="14" s="1"/>
  <c r="R231" i="14" s="1"/>
  <c r="R250" i="14" s="1"/>
  <c r="M18" i="4"/>
  <c r="M17" i="4" s="1"/>
  <c r="M30" i="4" s="1"/>
  <c r="AU42" i="4"/>
  <c r="AT46" i="4"/>
  <c r="AP53" i="4"/>
  <c r="AP55" i="4" s="1"/>
  <c r="AQ52" i="4" s="1"/>
  <c r="AQ57" i="4" s="1"/>
  <c r="AQ49" i="4"/>
  <c r="AQ48" i="4"/>
  <c r="AR45" i="4" s="1"/>
  <c r="W198" i="14"/>
  <c r="W199" i="14" s="1"/>
  <c r="W247" i="14"/>
  <c r="Q284" i="14"/>
  <c r="Q286" i="14" s="1"/>
  <c r="Q260" i="14"/>
  <c r="Q327" i="14" s="1"/>
  <c r="P26" i="15"/>
  <c r="P28" i="15" s="1"/>
  <c r="P33" i="15" s="1"/>
  <c r="P34" i="15" s="1"/>
  <c r="P36" i="15" s="1"/>
  <c r="P50" i="15"/>
  <c r="P51" i="15" s="1"/>
  <c r="AD38" i="6"/>
  <c r="AE35" i="6" s="1"/>
  <c r="Z24" i="6"/>
  <c r="AA21" i="6" s="1"/>
  <c r="J44" i="15" l="1"/>
  <c r="J47" i="15" s="1"/>
  <c r="J87" i="15"/>
  <c r="J88" i="15" s="1"/>
  <c r="X51" i="45"/>
  <c r="W53" i="45"/>
  <c r="Y193" i="14"/>
  <c r="Q289" i="14"/>
  <c r="Q304" i="14"/>
  <c r="Q308" i="14" s="1"/>
  <c r="Q314" i="14" s="1"/>
  <c r="M19" i="4"/>
  <c r="M21" i="4" s="1"/>
  <c r="M31" i="4"/>
  <c r="AV42" i="4"/>
  <c r="AU46" i="4"/>
  <c r="AR48" i="4"/>
  <c r="AS45" i="4" s="1"/>
  <c r="AR49" i="4"/>
  <c r="AQ53" i="4"/>
  <c r="AQ55" i="4" s="1"/>
  <c r="AR52" i="4" s="1"/>
  <c r="AR57" i="4" s="1"/>
  <c r="R276" i="14"/>
  <c r="R253" i="14"/>
  <c r="W299" i="14"/>
  <c r="X196" i="14"/>
  <c r="X202" i="14" s="1"/>
  <c r="R283" i="14"/>
  <c r="Q317" i="14"/>
  <c r="Q25" i="15"/>
  <c r="W249" i="14"/>
  <c r="AE36" i="6"/>
  <c r="AE37" i="6" s="1"/>
  <c r="AA22" i="6"/>
  <c r="AA23" i="6" s="1"/>
  <c r="J45" i="15" l="1"/>
  <c r="J54" i="15" s="1"/>
  <c r="Y51" i="45"/>
  <c r="X53" i="45"/>
  <c r="Q294" i="14"/>
  <c r="Q301" i="14" s="1"/>
  <c r="Y189" i="14"/>
  <c r="Y190" i="14" s="1"/>
  <c r="Y246" i="14"/>
  <c r="N16" i="4"/>
  <c r="N20" i="4"/>
  <c r="N32" i="4" s="1"/>
  <c r="M29" i="4"/>
  <c r="M33" i="4" s="1"/>
  <c r="AV46" i="4"/>
  <c r="AW42" i="4"/>
  <c r="AR53" i="4"/>
  <c r="AR55" i="4" s="1"/>
  <c r="AS52" i="4" s="1"/>
  <c r="AS57" i="4" s="1"/>
  <c r="AS48" i="4"/>
  <c r="AT45" i="4" s="1"/>
  <c r="AS49" i="4"/>
  <c r="X247" i="14"/>
  <c r="X198" i="14"/>
  <c r="X199" i="14" s="1"/>
  <c r="Q50" i="15"/>
  <c r="Q51" i="15" s="1"/>
  <c r="Q26" i="15"/>
  <c r="Q28" i="15" s="1"/>
  <c r="Q33" i="15" s="1"/>
  <c r="Q34" i="15" s="1"/>
  <c r="Q36" i="15" s="1"/>
  <c r="Q318" i="14"/>
  <c r="Q326" i="14"/>
  <c r="R255" i="14"/>
  <c r="R267" i="14" s="1"/>
  <c r="R272" i="14" s="1"/>
  <c r="R275" i="14" s="1"/>
  <c r="AE38" i="6"/>
  <c r="AF35" i="6" s="1"/>
  <c r="AA24" i="6"/>
  <c r="AB21" i="6" s="1"/>
  <c r="Z51" i="45" l="1"/>
  <c r="Y53" i="45"/>
  <c r="Q320" i="14"/>
  <c r="Q321" i="14" s="1"/>
  <c r="Q323" i="14"/>
  <c r="Q322" i="14"/>
  <c r="Z187" i="14"/>
  <c r="Z193" i="14" s="1"/>
  <c r="Y297" i="14"/>
  <c r="R279" i="14"/>
  <c r="R221" i="14" s="1"/>
  <c r="R222" i="14" s="1"/>
  <c r="S220" i="14" s="1"/>
  <c r="R331" i="14"/>
  <c r="N18" i="4"/>
  <c r="N17" i="4" s="1"/>
  <c r="N19" i="4" s="1"/>
  <c r="N31" i="4"/>
  <c r="AX42" i="4"/>
  <c r="AW46" i="4"/>
  <c r="AT49" i="4"/>
  <c r="AT48" i="4"/>
  <c r="AU45" i="4" s="1"/>
  <c r="AS53" i="4"/>
  <c r="AS55" i="4" s="1"/>
  <c r="AT52" i="4" s="1"/>
  <c r="AT57" i="4" s="1"/>
  <c r="R257" i="14"/>
  <c r="R260" i="14" s="1"/>
  <c r="R327" i="14" s="1"/>
  <c r="X299" i="14"/>
  <c r="Y196" i="14"/>
  <c r="Y202" i="14" s="1"/>
  <c r="X249" i="14"/>
  <c r="R25" i="15"/>
  <c r="AF36" i="6"/>
  <c r="AF37" i="6" s="1"/>
  <c r="AB22" i="6"/>
  <c r="AB23" i="6" s="1"/>
  <c r="AA51" i="45" l="1"/>
  <c r="AA53" i="45" s="1"/>
  <c r="Z53" i="45"/>
  <c r="K41" i="15"/>
  <c r="Q324" i="14"/>
  <c r="Q325" i="14"/>
  <c r="Q341" i="14" s="1"/>
  <c r="Z189" i="14"/>
  <c r="Z190" i="14" s="1"/>
  <c r="Z246" i="14"/>
  <c r="R225" i="14"/>
  <c r="R229" i="14" s="1"/>
  <c r="S231" i="14" s="1"/>
  <c r="S250" i="14" s="1"/>
  <c r="R224" i="14"/>
  <c r="R233" i="14" s="1"/>
  <c r="S235" i="14" s="1"/>
  <c r="S251" i="14" s="1"/>
  <c r="S277" i="14" s="1"/>
  <c r="N29" i="4"/>
  <c r="N30" i="4"/>
  <c r="N21" i="4"/>
  <c r="O16" i="4"/>
  <c r="AY42" i="4"/>
  <c r="AX46" i="4"/>
  <c r="AU49" i="4"/>
  <c r="AU48" i="4"/>
  <c r="AV45" i="4" s="1"/>
  <c r="AT53" i="4"/>
  <c r="AT55" i="4" s="1"/>
  <c r="AU52" i="4" s="1"/>
  <c r="AU57" i="4" s="1"/>
  <c r="R284" i="14"/>
  <c r="R286" i="14" s="1"/>
  <c r="S283" i="14" s="1"/>
  <c r="Y198" i="14"/>
  <c r="Y199" i="14" s="1"/>
  <c r="Y247" i="14"/>
  <c r="R50" i="15"/>
  <c r="R51" i="15" s="1"/>
  <c r="R26" i="15"/>
  <c r="R28" i="15" s="1"/>
  <c r="R33" i="15" s="1"/>
  <c r="R34" i="15" s="1"/>
  <c r="R36" i="15" s="1"/>
  <c r="AF38" i="6"/>
  <c r="AG35" i="6" s="1"/>
  <c r="AB24" i="6"/>
  <c r="AC21" i="6" s="1"/>
  <c r="Q339" i="14" l="1"/>
  <c r="K86" i="15"/>
  <c r="K85" i="15"/>
  <c r="K43" i="15"/>
  <c r="AA187" i="14"/>
  <c r="Z297" i="14"/>
  <c r="R289" i="14"/>
  <c r="R304" i="14"/>
  <c r="R308" i="14" s="1"/>
  <c r="R314" i="14" s="1"/>
  <c r="R317" i="14"/>
  <c r="R326" i="14" s="1"/>
  <c r="N33" i="4"/>
  <c r="O20" i="4"/>
  <c r="O32" i="4" s="1"/>
  <c r="O18" i="4"/>
  <c r="O17" i="4" s="1"/>
  <c r="AZ42" i="4"/>
  <c r="AY46" i="4"/>
  <c r="AV49" i="4"/>
  <c r="AV48" i="4"/>
  <c r="AW45" i="4" s="1"/>
  <c r="AU53" i="4"/>
  <c r="AU55" i="4" s="1"/>
  <c r="AV52" i="4" s="1"/>
  <c r="AV57" i="4" s="1"/>
  <c r="Y249" i="14"/>
  <c r="S25" i="15"/>
  <c r="S276" i="14"/>
  <c r="S253" i="14"/>
  <c r="Y299" i="14"/>
  <c r="Z196" i="14"/>
  <c r="Z202" i="14" s="1"/>
  <c r="AG36" i="6"/>
  <c r="AG37" i="6" s="1"/>
  <c r="AC22" i="6"/>
  <c r="AC23" i="6" s="1"/>
  <c r="K44" i="15" l="1"/>
  <c r="K45" i="15" s="1"/>
  <c r="K54" i="15" s="1"/>
  <c r="K87" i="15"/>
  <c r="K88" i="15" s="1"/>
  <c r="R294" i="14"/>
  <c r="R301" i="14" s="1"/>
  <c r="AA193" i="14"/>
  <c r="R318" i="14"/>
  <c r="O31" i="4"/>
  <c r="O30" i="4"/>
  <c r="O19" i="4"/>
  <c r="BA42" i="4"/>
  <c r="AZ46" i="4"/>
  <c r="AW49" i="4"/>
  <c r="AW48" i="4"/>
  <c r="AX45" i="4" s="1"/>
  <c r="AV53" i="4"/>
  <c r="AV55" i="4" s="1"/>
  <c r="AW52" i="4" s="1"/>
  <c r="AW57" i="4" s="1"/>
  <c r="Z198" i="14"/>
  <c r="Z199" i="14" s="1"/>
  <c r="Z247" i="14"/>
  <c r="S255" i="14"/>
  <c r="S267" i="14" s="1"/>
  <c r="S272" i="14" s="1"/>
  <c r="S275" i="14" s="1"/>
  <c r="S50" i="15"/>
  <c r="S51" i="15" s="1"/>
  <c r="S26" i="15"/>
  <c r="S28" i="15" s="1"/>
  <c r="S33" i="15" s="1"/>
  <c r="S34" i="15" s="1"/>
  <c r="S36" i="15" s="1"/>
  <c r="AG38" i="6"/>
  <c r="AH35" i="6" s="1"/>
  <c r="AC24" i="6"/>
  <c r="AD21" i="6" s="1"/>
  <c r="K47" i="15" l="1"/>
  <c r="R323" i="14"/>
  <c r="R324" i="14" s="1"/>
  <c r="R322" i="14"/>
  <c r="R325" i="14" s="1"/>
  <c r="R341" i="14" s="1"/>
  <c r="R320" i="14"/>
  <c r="R321" i="14" s="1"/>
  <c r="AA189" i="14"/>
  <c r="AA190" i="14" s="1"/>
  <c r="AA246" i="14"/>
  <c r="S279" i="14"/>
  <c r="S221" i="14" s="1"/>
  <c r="S222" i="14" s="1"/>
  <c r="T220" i="14" s="1"/>
  <c r="S331" i="14"/>
  <c r="P16" i="4"/>
  <c r="O21" i="4"/>
  <c r="O29" i="4"/>
  <c r="O33" i="4" s="1"/>
  <c r="P20" i="4"/>
  <c r="P32" i="4" s="1"/>
  <c r="BB42" i="4"/>
  <c r="BA46" i="4"/>
  <c r="AX49" i="4"/>
  <c r="AX48" i="4"/>
  <c r="AY45" i="4" s="1"/>
  <c r="AW53" i="4"/>
  <c r="AW55" i="4" s="1"/>
  <c r="AX52" i="4" s="1"/>
  <c r="AX57" i="4" s="1"/>
  <c r="Z299" i="14"/>
  <c r="AA196" i="14"/>
  <c r="AA202" i="14" s="1"/>
  <c r="S257" i="14"/>
  <c r="Z249" i="14"/>
  <c r="T25" i="15"/>
  <c r="AH36" i="6"/>
  <c r="AH37" i="6" s="1"/>
  <c r="AD22" i="6"/>
  <c r="AD23" i="6" s="1"/>
  <c r="R339" i="14" l="1"/>
  <c r="L86" i="15"/>
  <c r="L41" i="15"/>
  <c r="L85" i="15" s="1"/>
  <c r="AB187" i="14"/>
  <c r="AA297" i="14"/>
  <c r="S225" i="14"/>
  <c r="S229" i="14" s="1"/>
  <c r="T231" i="14" s="1"/>
  <c r="T250" i="14" s="1"/>
  <c r="S224" i="14"/>
  <c r="S289" i="14" s="1"/>
  <c r="P18" i="4"/>
  <c r="P17" i="4" s="1"/>
  <c r="P30" i="4" s="1"/>
  <c r="BC42" i="4"/>
  <c r="BC46" i="4" s="1"/>
  <c r="BB46" i="4"/>
  <c r="AY48" i="4"/>
  <c r="AZ45" i="4" s="1"/>
  <c r="AY49" i="4"/>
  <c r="AX53" i="4"/>
  <c r="AX55" i="4" s="1"/>
  <c r="AY52" i="4" s="1"/>
  <c r="AY57" i="4" s="1"/>
  <c r="T26" i="15"/>
  <c r="T28" i="15" s="1"/>
  <c r="T33" i="15" s="1"/>
  <c r="T34" i="15" s="1"/>
  <c r="T36" i="15" s="1"/>
  <c r="T50" i="15"/>
  <c r="T51" i="15" s="1"/>
  <c r="T58" i="15" s="1"/>
  <c r="S284" i="14"/>
  <c r="S286" i="14" s="1"/>
  <c r="S260" i="14"/>
  <c r="S327" i="14" s="1"/>
  <c r="AA247" i="14"/>
  <c r="AA198" i="14"/>
  <c r="AA199" i="14" s="1"/>
  <c r="AH38" i="6"/>
  <c r="AI35" i="6" s="1"/>
  <c r="AD24" i="6"/>
  <c r="AE21" i="6" s="1"/>
  <c r="L43" i="15" l="1"/>
  <c r="S294" i="14"/>
  <c r="S301" i="14" s="1"/>
  <c r="AB193" i="14"/>
  <c r="S233" i="14"/>
  <c r="T235" i="14" s="1"/>
  <c r="T251" i="14" s="1"/>
  <c r="T277" i="14" s="1"/>
  <c r="S304" i="14"/>
  <c r="S308" i="14" s="1"/>
  <c r="S314" i="14" s="1"/>
  <c r="P19" i="4"/>
  <c r="P31" i="4"/>
  <c r="AY53" i="4"/>
  <c r="AY55" i="4" s="1"/>
  <c r="AZ52" i="4" s="1"/>
  <c r="AZ57" i="4" s="1"/>
  <c r="AZ48" i="4"/>
  <c r="BA45" i="4" s="1"/>
  <c r="AZ49" i="4"/>
  <c r="AB196" i="14"/>
  <c r="AB202" i="14" s="1"/>
  <c r="AA299" i="14"/>
  <c r="U25" i="15"/>
  <c r="AA249" i="14"/>
  <c r="T283" i="14"/>
  <c r="S317" i="14"/>
  <c r="T276" i="14"/>
  <c r="AI36" i="6"/>
  <c r="AI37" i="6" s="1"/>
  <c r="AE22" i="6"/>
  <c r="AE23" i="6" s="1"/>
  <c r="L44" i="15" l="1"/>
  <c r="L45" i="15" s="1"/>
  <c r="L54" i="15" s="1"/>
  <c r="L87" i="15"/>
  <c r="L88" i="15" s="1"/>
  <c r="AB189" i="14"/>
  <c r="AB190" i="14" s="1"/>
  <c r="AB297" i="14" s="1"/>
  <c r="AB246" i="14"/>
  <c r="T253" i="14"/>
  <c r="T255" i="14" s="1"/>
  <c r="T267" i="14" s="1"/>
  <c r="T272" i="14" s="1"/>
  <c r="T275" i="14" s="1"/>
  <c r="P29" i="4"/>
  <c r="P33" i="4" s="1"/>
  <c r="Q20" i="4"/>
  <c r="Q32" i="4" s="1"/>
  <c r="Q16" i="4"/>
  <c r="P21" i="4"/>
  <c r="BA49" i="4"/>
  <c r="BA48" i="4"/>
  <c r="BB45" i="4" s="1"/>
  <c r="AZ53" i="4"/>
  <c r="AZ55" i="4" s="1"/>
  <c r="BA52" i="4" s="1"/>
  <c r="BA57" i="4" s="1"/>
  <c r="U26" i="15"/>
  <c r="U28" i="15" s="1"/>
  <c r="U33" i="15" s="1"/>
  <c r="U34" i="15" s="1"/>
  <c r="U36" i="15" s="1"/>
  <c r="U50" i="15"/>
  <c r="U51" i="15" s="1"/>
  <c r="S318" i="14"/>
  <c r="S320" i="14" s="1"/>
  <c r="S321" i="14" s="1"/>
  <c r="S326" i="14"/>
  <c r="AB247" i="14"/>
  <c r="AB198" i="14"/>
  <c r="AB199" i="14" s="1"/>
  <c r="AB299" i="14" s="1"/>
  <c r="AI38" i="6"/>
  <c r="AJ35" i="6" s="1"/>
  <c r="AE24" i="6"/>
  <c r="AF21" i="6" s="1"/>
  <c r="L47" i="15" l="1"/>
  <c r="S322" i="14"/>
  <c r="S323" i="14"/>
  <c r="T279" i="14"/>
  <c r="T221" i="14" s="1"/>
  <c r="T222" i="14" s="1"/>
  <c r="U220" i="14" s="1"/>
  <c r="T331" i="14"/>
  <c r="Q18" i="4"/>
  <c r="Q17" i="4" s="1"/>
  <c r="Q30" i="4" s="1"/>
  <c r="BB49" i="4"/>
  <c r="BB48" i="4"/>
  <c r="BC45" i="4" s="1"/>
  <c r="BA53" i="4"/>
  <c r="BA55" i="4" s="1"/>
  <c r="BB52" i="4" s="1"/>
  <c r="BB57" i="4" s="1"/>
  <c r="Z25" i="15"/>
  <c r="AA25" i="15"/>
  <c r="W25" i="15"/>
  <c r="Y25" i="15"/>
  <c r="V25" i="15"/>
  <c r="AB249" i="14"/>
  <c r="X25" i="15"/>
  <c r="T257" i="14"/>
  <c r="AJ36" i="6"/>
  <c r="AJ37" i="6" s="1"/>
  <c r="AF22" i="6"/>
  <c r="AF23" i="6" s="1"/>
  <c r="T224" i="14" l="1"/>
  <c r="T289" i="14" s="1"/>
  <c r="S325" i="14"/>
  <c r="S341" i="14" s="1"/>
  <c r="M41" i="15"/>
  <c r="S324" i="14"/>
  <c r="T225" i="14"/>
  <c r="T229" i="14" s="1"/>
  <c r="U231" i="14" s="1"/>
  <c r="U250" i="14" s="1"/>
  <c r="Q19" i="4"/>
  <c r="Q31" i="4"/>
  <c r="BC49" i="4"/>
  <c r="BC48" i="4"/>
  <c r="BB53" i="4"/>
  <c r="BB55" i="4" s="1"/>
  <c r="BC52" i="4" s="1"/>
  <c r="BC57" i="4" s="1"/>
  <c r="Z26" i="15"/>
  <c r="Z28" i="15" s="1"/>
  <c r="Z33" i="15" s="1"/>
  <c r="Z34" i="15" s="1"/>
  <c r="Z50" i="15"/>
  <c r="Z51" i="15" s="1"/>
  <c r="Y26" i="15"/>
  <c r="Y28" i="15" s="1"/>
  <c r="Y33" i="15" s="1"/>
  <c r="Y34" i="15" s="1"/>
  <c r="Y36" i="15" s="1"/>
  <c r="Y50" i="15"/>
  <c r="Y51" i="15" s="1"/>
  <c r="Y58" i="15" s="1"/>
  <c r="X50" i="15"/>
  <c r="X51" i="15" s="1"/>
  <c r="X26" i="15"/>
  <c r="X28" i="15" s="1"/>
  <c r="X33" i="15" s="1"/>
  <c r="X34" i="15" s="1"/>
  <c r="X36" i="15" s="1"/>
  <c r="T260" i="14"/>
  <c r="T327" i="14" s="1"/>
  <c r="T284" i="14"/>
  <c r="T286" i="14" s="1"/>
  <c r="W26" i="15"/>
  <c r="W28" i="15" s="1"/>
  <c r="W33" i="15" s="1"/>
  <c r="W34" i="15" s="1"/>
  <c r="W36" i="15" s="1"/>
  <c r="W50" i="15"/>
  <c r="W51" i="15" s="1"/>
  <c r="AA50" i="15"/>
  <c r="AA51" i="15" s="1"/>
  <c r="AA26" i="15"/>
  <c r="AA28" i="15" s="1"/>
  <c r="AA33" i="15" s="1"/>
  <c r="AA34" i="15" s="1"/>
  <c r="V26" i="15"/>
  <c r="V28" i="15" s="1"/>
  <c r="V33" i="15" s="1"/>
  <c r="V34" i="15" s="1"/>
  <c r="V36" i="15" s="1"/>
  <c r="V50" i="15"/>
  <c r="V51" i="15" s="1"/>
  <c r="AJ38" i="6"/>
  <c r="AK35" i="6" s="1"/>
  <c r="AF24" i="6"/>
  <c r="AG21" i="6" s="1"/>
  <c r="E37" i="15" l="1"/>
  <c r="E38" i="15" s="1"/>
  <c r="E66" i="15" s="1"/>
  <c r="E76" i="15" s="1"/>
  <c r="E77" i="15" s="1"/>
  <c r="E80" i="15" s="1"/>
  <c r="S339" i="14"/>
  <c r="M86" i="15"/>
  <c r="T233" i="14"/>
  <c r="U235" i="14" s="1"/>
  <c r="U251" i="14" s="1"/>
  <c r="U277" i="14" s="1"/>
  <c r="T294" i="14"/>
  <c r="T301" i="14" s="1"/>
  <c r="M43" i="15"/>
  <c r="M85" i="15"/>
  <c r="T304" i="14"/>
  <c r="T308" i="14" s="1"/>
  <c r="T314" i="14" s="1"/>
  <c r="R20" i="4"/>
  <c r="R32" i="4" s="1"/>
  <c r="Q29" i="4"/>
  <c r="Q33" i="4" s="1"/>
  <c r="Q21" i="4"/>
  <c r="R16" i="4"/>
  <c r="BC53" i="4"/>
  <c r="BC55" i="4" s="1"/>
  <c r="U283" i="14"/>
  <c r="T317" i="14"/>
  <c r="U276" i="14"/>
  <c r="AK36" i="6"/>
  <c r="AK37" i="6" s="1"/>
  <c r="AG22" i="6"/>
  <c r="AG23" i="6" s="1"/>
  <c r="E90" i="15" l="1"/>
  <c r="E82" i="15"/>
  <c r="E94" i="15"/>
  <c r="M44" i="15"/>
  <c r="M47" i="15" s="1"/>
  <c r="M59" i="15" s="1"/>
  <c r="M87" i="15"/>
  <c r="M88" i="15" s="1"/>
  <c r="U253" i="14"/>
  <c r="U255" i="14" s="1"/>
  <c r="U267" i="14" s="1"/>
  <c r="U272" i="14" s="1"/>
  <c r="U275" i="14" s="1"/>
  <c r="R18" i="4"/>
  <c r="R17" i="4" s="1"/>
  <c r="R30" i="4" s="1"/>
  <c r="T318" i="14"/>
  <c r="T320" i="14" s="1"/>
  <c r="T321" i="14" s="1"/>
  <c r="T326" i="14"/>
  <c r="AK38" i="6"/>
  <c r="AL35" i="6" s="1"/>
  <c r="AG24" i="6"/>
  <c r="AH21" i="6" s="1"/>
  <c r="M45" i="15" l="1"/>
  <c r="M54" i="15" s="1"/>
  <c r="M57" i="15" s="1"/>
  <c r="M60" i="15" s="1"/>
  <c r="M64" i="15" s="1"/>
  <c r="H2" i="19"/>
  <c r="I7" i="15"/>
  <c r="U10" i="19" s="1"/>
  <c r="E96" i="15"/>
  <c r="I116" i="15"/>
  <c r="T323" i="14"/>
  <c r="N41" i="15" s="1"/>
  <c r="N43" i="15" s="1"/>
  <c r="T322" i="14"/>
  <c r="T325" i="14" s="1"/>
  <c r="T341" i="14" s="1"/>
  <c r="U279" i="14"/>
  <c r="U221" i="14" s="1"/>
  <c r="U222" i="14" s="1"/>
  <c r="U225" i="14" s="1"/>
  <c r="U331" i="14"/>
  <c r="R31" i="4"/>
  <c r="R19" i="4"/>
  <c r="U257" i="14"/>
  <c r="AL36" i="6"/>
  <c r="AL37" i="6" s="1"/>
  <c r="AH22" i="6"/>
  <c r="AH23" i="6" s="1"/>
  <c r="N44" i="15" l="1"/>
  <c r="N45" i="15" s="1"/>
  <c r="N54" i="15" s="1"/>
  <c r="N57" i="15" s="1"/>
  <c r="N87" i="15"/>
  <c r="N88" i="15" s="1"/>
  <c r="T339" i="14"/>
  <c r="N86" i="15"/>
  <c r="N85" i="15"/>
  <c r="T324" i="14"/>
  <c r="V220" i="14"/>
  <c r="U224" i="14"/>
  <c r="U289" i="14" s="1"/>
  <c r="S20" i="4"/>
  <c r="S32" i="4" s="1"/>
  <c r="R29" i="4"/>
  <c r="R33" i="4" s="1"/>
  <c r="S16" i="4"/>
  <c r="R21" i="4"/>
  <c r="U284" i="14"/>
  <c r="U286" i="14" s="1"/>
  <c r="U260" i="14"/>
  <c r="U327" i="14" s="1"/>
  <c r="U304" i="14"/>
  <c r="U308" i="14" s="1"/>
  <c r="U314" i="14" s="1"/>
  <c r="U229" i="14"/>
  <c r="V231" i="14" s="1"/>
  <c r="V250" i="14" s="1"/>
  <c r="AL38" i="6"/>
  <c r="AM35" i="6" s="1"/>
  <c r="AH24" i="6"/>
  <c r="AI21" i="6" s="1"/>
  <c r="N47" i="15" l="1"/>
  <c r="N59" i="15" s="1"/>
  <c r="N60" i="15"/>
  <c r="N64" i="15" s="1"/>
  <c r="U294" i="14"/>
  <c r="U301" i="14" s="1"/>
  <c r="U233" i="14"/>
  <c r="V235" i="14" s="1"/>
  <c r="V251" i="14" s="1"/>
  <c r="V277" i="14" s="1"/>
  <c r="S18" i="4"/>
  <c r="S17" i="4" s="1"/>
  <c r="S30" i="4" s="1"/>
  <c r="V276" i="14"/>
  <c r="U317" i="14"/>
  <c r="V283" i="14"/>
  <c r="AM36" i="6"/>
  <c r="AM37" i="6" s="1"/>
  <c r="AI22" i="6"/>
  <c r="AI23" i="6" s="1"/>
  <c r="V253" i="14" l="1"/>
  <c r="V255" i="14" s="1"/>
  <c r="V267" i="14" s="1"/>
  <c r="V272" i="14" s="1"/>
  <c r="V275" i="14" s="1"/>
  <c r="S19" i="4"/>
  <c r="S31" i="4"/>
  <c r="U318" i="14"/>
  <c r="U320" i="14" s="1"/>
  <c r="U321" i="14" s="1"/>
  <c r="U326" i="14"/>
  <c r="AM38" i="6"/>
  <c r="AN35" i="6" s="1"/>
  <c r="AI24" i="6"/>
  <c r="AJ21" i="6" s="1"/>
  <c r="U323" i="14" l="1"/>
  <c r="O41" i="15" s="1"/>
  <c r="O85" i="15" s="1"/>
  <c r="U322" i="14"/>
  <c r="U325" i="14" s="1"/>
  <c r="U341" i="14" s="1"/>
  <c r="V279" i="14"/>
  <c r="V221" i="14" s="1"/>
  <c r="V222" i="14" s="1"/>
  <c r="V224" i="14" s="1"/>
  <c r="V331" i="14"/>
  <c r="S29" i="4"/>
  <c r="S33" i="4" s="1"/>
  <c r="T20" i="4"/>
  <c r="T32" i="4" s="1"/>
  <c r="T16" i="4"/>
  <c r="S21" i="4"/>
  <c r="V257" i="14"/>
  <c r="V284" i="14" s="1"/>
  <c r="V286" i="14" s="1"/>
  <c r="AN36" i="6"/>
  <c r="AN37" i="6" s="1"/>
  <c r="AJ22" i="6"/>
  <c r="AJ23" i="6" s="1"/>
  <c r="U339" i="14" l="1"/>
  <c r="O86" i="15"/>
  <c r="O43" i="15"/>
  <c r="U324" i="14"/>
  <c r="V225" i="14"/>
  <c r="V304" i="14" s="1"/>
  <c r="V308" i="14" s="1"/>
  <c r="V314" i="14" s="1"/>
  <c r="W220" i="14"/>
  <c r="T18" i="4"/>
  <c r="T17" i="4" s="1"/>
  <c r="T30" i="4" s="1"/>
  <c r="V260" i="14"/>
  <c r="V327" i="14" s="1"/>
  <c r="V289" i="14"/>
  <c r="V233" i="14"/>
  <c r="W235" i="14" s="1"/>
  <c r="W251" i="14" s="1"/>
  <c r="W277" i="14" s="1"/>
  <c r="W283" i="14"/>
  <c r="V317" i="14"/>
  <c r="AN38" i="6"/>
  <c r="AO35" i="6" s="1"/>
  <c r="AJ24" i="6"/>
  <c r="AK21" i="6" s="1"/>
  <c r="O44" i="15" l="1"/>
  <c r="O45" i="15" s="1"/>
  <c r="O54" i="15" s="1"/>
  <c r="O57" i="15" s="1"/>
  <c r="O87" i="15"/>
  <c r="O88" i="15" s="1"/>
  <c r="V294" i="14"/>
  <c r="V301" i="14" s="1"/>
  <c r="V229" i="14"/>
  <c r="W231" i="14" s="1"/>
  <c r="W250" i="14" s="1"/>
  <c r="W253" i="14" s="1"/>
  <c r="T31" i="4"/>
  <c r="T19" i="4"/>
  <c r="V318" i="14"/>
  <c r="V326" i="14"/>
  <c r="AO36" i="6"/>
  <c r="AO37" i="6" s="1"/>
  <c r="AK22" i="6"/>
  <c r="AK23" i="6" s="1"/>
  <c r="O47" i="15" l="1"/>
  <c r="O59" i="15" s="1"/>
  <c r="O60" i="15" s="1"/>
  <c r="O64" i="15" s="1"/>
  <c r="V320" i="14"/>
  <c r="V321" i="14" s="1"/>
  <c r="V323" i="14"/>
  <c r="P41" i="15" s="1"/>
  <c r="P43" i="15" s="1"/>
  <c r="V322" i="14"/>
  <c r="V325" i="14" s="1"/>
  <c r="V341" i="14" s="1"/>
  <c r="W276" i="14"/>
  <c r="U20" i="4"/>
  <c r="U32" i="4" s="1"/>
  <c r="T29" i="4"/>
  <c r="T33" i="4" s="1"/>
  <c r="T21" i="4"/>
  <c r="U16" i="4"/>
  <c r="W255" i="14"/>
  <c r="W267" i="14" s="1"/>
  <c r="W272" i="14" s="1"/>
  <c r="W275" i="14" s="1"/>
  <c r="AO38" i="6"/>
  <c r="AP35" i="6" s="1"/>
  <c r="AK24" i="6"/>
  <c r="AL21" i="6" s="1"/>
  <c r="P44" i="15" l="1"/>
  <c r="P45" i="15" s="1"/>
  <c r="P54" i="15" s="1"/>
  <c r="P87" i="15"/>
  <c r="P88" i="15" s="1"/>
  <c r="V339" i="14"/>
  <c r="P86" i="15"/>
  <c r="P85" i="15"/>
  <c r="V324" i="14"/>
  <c r="W279" i="14"/>
  <c r="W221" i="14" s="1"/>
  <c r="W222" i="14" s="1"/>
  <c r="W224" i="14" s="1"/>
  <c r="W331" i="14"/>
  <c r="U18" i="4"/>
  <c r="U17" i="4" s="1"/>
  <c r="U30" i="4" s="1"/>
  <c r="W257" i="14"/>
  <c r="W284" i="14" s="1"/>
  <c r="W286" i="14" s="1"/>
  <c r="AP36" i="6"/>
  <c r="AP37" i="6" s="1"/>
  <c r="AL22" i="6"/>
  <c r="AL23" i="6" s="1"/>
  <c r="P47" i="15" l="1"/>
  <c r="W225" i="14"/>
  <c r="W304" i="14" s="1"/>
  <c r="W308" i="14" s="1"/>
  <c r="W314" i="14" s="1"/>
  <c r="X220" i="14"/>
  <c r="U31" i="4"/>
  <c r="U19" i="4"/>
  <c r="W260" i="14"/>
  <c r="W327" i="14" s="1"/>
  <c r="W233" i="14"/>
  <c r="X235" i="14" s="1"/>
  <c r="X251" i="14" s="1"/>
  <c r="X277" i="14" s="1"/>
  <c r="W289" i="14"/>
  <c r="X283" i="14"/>
  <c r="W317" i="14"/>
  <c r="AP38" i="6"/>
  <c r="AQ35" i="6" s="1"/>
  <c r="AL24" i="6"/>
  <c r="AM21" i="6" s="1"/>
  <c r="W294" i="14" l="1"/>
  <c r="W301" i="14" s="1"/>
  <c r="W229" i="14"/>
  <c r="X231" i="14" s="1"/>
  <c r="X250" i="14" s="1"/>
  <c r="X276" i="14" s="1"/>
  <c r="V20" i="4"/>
  <c r="V32" i="4" s="1"/>
  <c r="U29" i="4"/>
  <c r="U33" i="4" s="1"/>
  <c r="V16" i="4"/>
  <c r="U21" i="4"/>
  <c r="W318" i="14"/>
  <c r="W326" i="14"/>
  <c r="AQ36" i="6"/>
  <c r="AQ37" i="6" s="1"/>
  <c r="AM22" i="6"/>
  <c r="AM23" i="6" s="1"/>
  <c r="W320" i="14" l="1"/>
  <c r="W321" i="14" s="1"/>
  <c r="W323" i="14"/>
  <c r="W322" i="14"/>
  <c r="X253" i="14"/>
  <c r="X255" i="14" s="1"/>
  <c r="X267" i="14" s="1"/>
  <c r="X272" i="14" s="1"/>
  <c r="X275" i="14" s="1"/>
  <c r="V18" i="4"/>
  <c r="V17" i="4" s="1"/>
  <c r="V30" i="4" s="1"/>
  <c r="AQ38" i="6"/>
  <c r="AR35" i="6" s="1"/>
  <c r="AM24" i="6"/>
  <c r="AN21" i="6" s="1"/>
  <c r="Q41" i="15" l="1"/>
  <c r="W324" i="14"/>
  <c r="W325" i="14"/>
  <c r="W341" i="14" s="1"/>
  <c r="X279" i="14"/>
  <c r="X221" i="14" s="1"/>
  <c r="X222" i="14" s="1"/>
  <c r="X225" i="14" s="1"/>
  <c r="X331" i="14"/>
  <c r="V31" i="4"/>
  <c r="V19" i="4"/>
  <c r="X257" i="14"/>
  <c r="X284" i="14" s="1"/>
  <c r="X286" i="14" s="1"/>
  <c r="AR36" i="6"/>
  <c r="AR37" i="6" s="1"/>
  <c r="AN22" i="6"/>
  <c r="AN23" i="6" s="1"/>
  <c r="W339" i="14" l="1"/>
  <c r="Q86" i="15"/>
  <c r="Q85" i="15"/>
  <c r="Q43" i="15"/>
  <c r="X224" i="14"/>
  <c r="X233" i="14" s="1"/>
  <c r="Y235" i="14" s="1"/>
  <c r="Y251" i="14" s="1"/>
  <c r="Y277" i="14" s="1"/>
  <c r="Y220" i="14"/>
  <c r="V29" i="4"/>
  <c r="V33" i="4" s="1"/>
  <c r="W20" i="4"/>
  <c r="W32" i="4" s="1"/>
  <c r="V21" i="4"/>
  <c r="W16" i="4"/>
  <c r="X260" i="14"/>
  <c r="X327" i="14" s="1"/>
  <c r="X229" i="14"/>
  <c r="Y231" i="14" s="1"/>
  <c r="Y250" i="14" s="1"/>
  <c r="X304" i="14"/>
  <c r="X308" i="14" s="1"/>
  <c r="X314" i="14" s="1"/>
  <c r="Y283" i="14"/>
  <c r="X317" i="14"/>
  <c r="AR38" i="6"/>
  <c r="AS35" i="6" s="1"/>
  <c r="AN24" i="6"/>
  <c r="AO21" i="6" s="1"/>
  <c r="Q44" i="15" l="1"/>
  <c r="Q45" i="15" s="1"/>
  <c r="Q54" i="15" s="1"/>
  <c r="Q87" i="15"/>
  <c r="Q88" i="15" s="1"/>
  <c r="X289" i="14"/>
  <c r="W18" i="4"/>
  <c r="W17" i="4" s="1"/>
  <c r="W30" i="4" s="1"/>
  <c r="Y276" i="14"/>
  <c r="Y253" i="14"/>
  <c r="X318" i="14"/>
  <c r="X326" i="14"/>
  <c r="AS36" i="6"/>
  <c r="AS37" i="6" s="1"/>
  <c r="AO22" i="6"/>
  <c r="AO23" i="6" s="1"/>
  <c r="Q47" i="15" l="1"/>
  <c r="X294" i="14"/>
  <c r="X301" i="14" s="1"/>
  <c r="X320" i="14" s="1"/>
  <c r="X321" i="14" s="1"/>
  <c r="W19" i="4"/>
  <c r="W31" i="4"/>
  <c r="Y255" i="14"/>
  <c r="Y267" i="14" s="1"/>
  <c r="Y272" i="14" s="1"/>
  <c r="Y275" i="14" s="1"/>
  <c r="AS38" i="6"/>
  <c r="AT35" i="6" s="1"/>
  <c r="AO24" i="6"/>
  <c r="AP21" i="6" s="1"/>
  <c r="X323" i="14" l="1"/>
  <c r="X322" i="14"/>
  <c r="Y279" i="14"/>
  <c r="Y221" i="14" s="1"/>
  <c r="Y222" i="14" s="1"/>
  <c r="Y225" i="14" s="1"/>
  <c r="Y331" i="14"/>
  <c r="W21" i="4"/>
  <c r="X16" i="4"/>
  <c r="W29" i="4"/>
  <c r="W33" i="4" s="1"/>
  <c r="X20" i="4"/>
  <c r="X32" i="4" s="1"/>
  <c r="Y257" i="14"/>
  <c r="Y260" i="14" s="1"/>
  <c r="Y327" i="14" s="1"/>
  <c r="AT36" i="6"/>
  <c r="AT37" i="6" s="1"/>
  <c r="AP22" i="6"/>
  <c r="AP23" i="6" s="1"/>
  <c r="R41" i="15" l="1"/>
  <c r="X324" i="14"/>
  <c r="X325" i="14"/>
  <c r="X341" i="14" s="1"/>
  <c r="Y224" i="14"/>
  <c r="Y289" i="14" s="1"/>
  <c r="Z220" i="14"/>
  <c r="X18" i="4"/>
  <c r="X17" i="4" s="1"/>
  <c r="X30" i="4" s="1"/>
  <c r="Y284" i="14"/>
  <c r="Y286" i="14" s="1"/>
  <c r="Y317" i="14" s="1"/>
  <c r="Y304" i="14"/>
  <c r="Y308" i="14" s="1"/>
  <c r="Y314" i="14" s="1"/>
  <c r="Y229" i="14"/>
  <c r="Z231" i="14" s="1"/>
  <c r="Z250" i="14" s="1"/>
  <c r="AT38" i="6"/>
  <c r="AU35" i="6" s="1"/>
  <c r="AP24" i="6"/>
  <c r="AQ21" i="6" s="1"/>
  <c r="X339" i="14" l="1"/>
  <c r="R86" i="15"/>
  <c r="R85" i="15"/>
  <c r="R43" i="15"/>
  <c r="Y294" i="14"/>
  <c r="Y301" i="14" s="1"/>
  <c r="Y233" i="14"/>
  <c r="Z235" i="14" s="1"/>
  <c r="Z251" i="14" s="1"/>
  <c r="Z277" i="14" s="1"/>
  <c r="Z283" i="14"/>
  <c r="X19" i="4"/>
  <c r="X31" i="4"/>
  <c r="Y318" i="14"/>
  <c r="Y326" i="14"/>
  <c r="Z276" i="14"/>
  <c r="AU36" i="6"/>
  <c r="AU37" i="6" s="1"/>
  <c r="AQ22" i="6"/>
  <c r="AQ23" i="6" s="1"/>
  <c r="R44" i="15" l="1"/>
  <c r="R45" i="15" s="1"/>
  <c r="R54" i="15" s="1"/>
  <c r="R87" i="15"/>
  <c r="R88" i="15" s="1"/>
  <c r="Y320" i="14"/>
  <c r="Y321" i="14" s="1"/>
  <c r="Y322" i="14"/>
  <c r="Y325" i="14" s="1"/>
  <c r="Y341" i="14" s="1"/>
  <c r="R47" i="15"/>
  <c r="Y323" i="14"/>
  <c r="Z253" i="14"/>
  <c r="Z255" i="14" s="1"/>
  <c r="Z267" i="14" s="1"/>
  <c r="Z272" i="14" s="1"/>
  <c r="Z275" i="14" s="1"/>
  <c r="Y16" i="4"/>
  <c r="X21" i="4"/>
  <c r="Y20" i="4"/>
  <c r="Y32" i="4" s="1"/>
  <c r="X29" i="4"/>
  <c r="X33" i="4" s="1"/>
  <c r="AU38" i="6"/>
  <c r="AV35" i="6" s="1"/>
  <c r="AQ24" i="6"/>
  <c r="AR21" i="6" s="1"/>
  <c r="Y339" i="14" l="1"/>
  <c r="S86" i="15"/>
  <c r="S41" i="15"/>
  <c r="Y324" i="14"/>
  <c r="Z279" i="14"/>
  <c r="Z221" i="14" s="1"/>
  <c r="Z222" i="14" s="1"/>
  <c r="Z224" i="14" s="1"/>
  <c r="Z331" i="14"/>
  <c r="Y18" i="4"/>
  <c r="Y17" i="4" s="1"/>
  <c r="Y30" i="4" s="1"/>
  <c r="Z257" i="14"/>
  <c r="Z260" i="14" s="1"/>
  <c r="Z327" i="14" s="1"/>
  <c r="AV36" i="6"/>
  <c r="AV37" i="6" s="1"/>
  <c r="AR22" i="6"/>
  <c r="AR23" i="6" s="1"/>
  <c r="S85" i="15" l="1"/>
  <c r="S43" i="15"/>
  <c r="AR24" i="6"/>
  <c r="AS21" i="6" s="1"/>
  <c r="AS22" i="6" s="1"/>
  <c r="AS23" i="6" s="1"/>
  <c r="AA220" i="14"/>
  <c r="Z225" i="14"/>
  <c r="Z304" i="14" s="1"/>
  <c r="Z308" i="14" s="1"/>
  <c r="Z314" i="14" s="1"/>
  <c r="Y19" i="4"/>
  <c r="Y21" i="4" s="1"/>
  <c r="Y31" i="4"/>
  <c r="Z284" i="14"/>
  <c r="Z286" i="14" s="1"/>
  <c r="AA283" i="14" s="1"/>
  <c r="Z233" i="14"/>
  <c r="AA235" i="14" s="1"/>
  <c r="AA251" i="14" s="1"/>
  <c r="AA277" i="14" s="1"/>
  <c r="Z289" i="14"/>
  <c r="AV38" i="6"/>
  <c r="AW35" i="6" s="1"/>
  <c r="S44" i="15" l="1"/>
  <c r="S47" i="15" s="1"/>
  <c r="S87" i="15"/>
  <c r="S88" i="15" s="1"/>
  <c r="Z294" i="14"/>
  <c r="Z301" i="14" s="1"/>
  <c r="Z229" i="14"/>
  <c r="AA231" i="14" s="1"/>
  <c r="AA250" i="14" s="1"/>
  <c r="AA253" i="14" s="1"/>
  <c r="Z16" i="4"/>
  <c r="Z18" i="4" s="1"/>
  <c r="Z17" i="4" s="1"/>
  <c r="Z30" i="4" s="1"/>
  <c r="Z20" i="4"/>
  <c r="Z32" i="4" s="1"/>
  <c r="Y29" i="4"/>
  <c r="Y33" i="4" s="1"/>
  <c r="Z317" i="14"/>
  <c r="Z318" i="14" s="1"/>
  <c r="AW36" i="6"/>
  <c r="AW37" i="6" s="1"/>
  <c r="AS24" i="6"/>
  <c r="AT21" i="6" s="1"/>
  <c r="S45" i="15" l="1"/>
  <c r="S54" i="15" s="1"/>
  <c r="Z320" i="14"/>
  <c r="Z321" i="14" s="1"/>
  <c r="Z322" i="14"/>
  <c r="Z325" i="14" s="1"/>
  <c r="Z341" i="14" s="1"/>
  <c r="Z323" i="14"/>
  <c r="T41" i="15" s="1"/>
  <c r="AA276" i="14"/>
  <c r="Z31" i="4"/>
  <c r="Z19" i="4"/>
  <c r="Z326" i="14"/>
  <c r="AA255" i="14"/>
  <c r="AA267" i="14" s="1"/>
  <c r="AA272" i="14" s="1"/>
  <c r="AA275" i="14" s="1"/>
  <c r="AW38" i="6"/>
  <c r="AX35" i="6" s="1"/>
  <c r="AT22" i="6"/>
  <c r="AT23" i="6" s="1"/>
  <c r="Z339" i="14" l="1"/>
  <c r="T86" i="15"/>
  <c r="T43" i="15"/>
  <c r="T85" i="15"/>
  <c r="Z324" i="14"/>
  <c r="AT24" i="6"/>
  <c r="AU21" i="6" s="1"/>
  <c r="AU22" i="6" s="1"/>
  <c r="AU23" i="6" s="1"/>
  <c r="AA279" i="14"/>
  <c r="AA221" i="14" s="1"/>
  <c r="AA222" i="14" s="1"/>
  <c r="AA224" i="14" s="1"/>
  <c r="AA331" i="14"/>
  <c r="Z29" i="4"/>
  <c r="Z33" i="4" s="1"/>
  <c r="AA16" i="4"/>
  <c r="Z21" i="4"/>
  <c r="AA257" i="14"/>
  <c r="AA284" i="14" s="1"/>
  <c r="AA286" i="14" s="1"/>
  <c r="AX36" i="6"/>
  <c r="AX37" i="6" s="1"/>
  <c r="T44" i="15" l="1"/>
  <c r="T45" i="15" s="1"/>
  <c r="T54" i="15" s="1"/>
  <c r="T57" i="15" s="1"/>
  <c r="T87" i="15"/>
  <c r="T88" i="15" s="1"/>
  <c r="AU24" i="6"/>
  <c r="AV21" i="6" s="1"/>
  <c r="AV22" i="6" s="1"/>
  <c r="AV23" i="6" s="1"/>
  <c r="AA225" i="14"/>
  <c r="AA304" i="14" s="1"/>
  <c r="AA308" i="14" s="1"/>
  <c r="AA314" i="14" s="1"/>
  <c r="AB220" i="14"/>
  <c r="AA20" i="4"/>
  <c r="AA32" i="4" s="1"/>
  <c r="AA18" i="4"/>
  <c r="AA17" i="4" s="1"/>
  <c r="AA30" i="4" s="1"/>
  <c r="AA260" i="14"/>
  <c r="AA327" i="14" s="1"/>
  <c r="AA233" i="14"/>
  <c r="AB235" i="14" s="1"/>
  <c r="AB251" i="14" s="1"/>
  <c r="AB277" i="14" s="1"/>
  <c r="AA289" i="14"/>
  <c r="AB283" i="14"/>
  <c r="AA317" i="14"/>
  <c r="AX38" i="6"/>
  <c r="AY35" i="6" s="1"/>
  <c r="T47" i="15" l="1"/>
  <c r="T59" i="15" s="1"/>
  <c r="T60" i="15" s="1"/>
  <c r="T64" i="15" s="1"/>
  <c r="AA294" i="14"/>
  <c r="AA301" i="14" s="1"/>
  <c r="AA229" i="14"/>
  <c r="AB231" i="14" s="1"/>
  <c r="AB250" i="14" s="1"/>
  <c r="AB276" i="14" s="1"/>
  <c r="AA31" i="4"/>
  <c r="AA19" i="4"/>
  <c r="AA318" i="14"/>
  <c r="AA326" i="14"/>
  <c r="AY36" i="6"/>
  <c r="AY37" i="6" s="1"/>
  <c r="AV24" i="6"/>
  <c r="AW21" i="6" s="1"/>
  <c r="AA320" i="14" l="1"/>
  <c r="AA321" i="14" s="1"/>
  <c r="AA323" i="14"/>
  <c r="AA322" i="14"/>
  <c r="AB253" i="14"/>
  <c r="AB255" i="14" s="1"/>
  <c r="AB267" i="14" s="1"/>
  <c r="AB272" i="14" s="1"/>
  <c r="AB275" i="14" s="1"/>
  <c r="AB20" i="4"/>
  <c r="AB32" i="4" s="1"/>
  <c r="AA29" i="4"/>
  <c r="AA33" i="4" s="1"/>
  <c r="AB16" i="4"/>
  <c r="AA21" i="4"/>
  <c r="AY38" i="6"/>
  <c r="AZ35" i="6" s="1"/>
  <c r="AW22" i="6"/>
  <c r="AW23" i="6" s="1"/>
  <c r="U41" i="15" l="1"/>
  <c r="AA324" i="14"/>
  <c r="AA325" i="14"/>
  <c r="AA341" i="14" s="1"/>
  <c r="AB279" i="14"/>
  <c r="AB221" i="14" s="1"/>
  <c r="AB222" i="14" s="1"/>
  <c r="AB225" i="14" s="1"/>
  <c r="AB331" i="14"/>
  <c r="AB18" i="4"/>
  <c r="AB17" i="4" s="1"/>
  <c r="AB30" i="4" s="1"/>
  <c r="AB257" i="14"/>
  <c r="AB260" i="14" s="1"/>
  <c r="AB327" i="14" s="1"/>
  <c r="AZ36" i="6"/>
  <c r="AZ37" i="6" s="1"/>
  <c r="AW24" i="6"/>
  <c r="AX21" i="6" s="1"/>
  <c r="AA339" i="14" l="1"/>
  <c r="U86" i="15"/>
  <c r="U85" i="15"/>
  <c r="U43" i="15"/>
  <c r="AB224" i="14"/>
  <c r="AB233" i="14" s="1"/>
  <c r="AB31" i="4"/>
  <c r="AB19" i="4"/>
  <c r="AB284" i="14"/>
  <c r="AB286" i="14" s="1"/>
  <c r="AB317" i="14" s="1"/>
  <c r="AB304" i="14"/>
  <c r="AB308" i="14" s="1"/>
  <c r="AB314" i="14" s="1"/>
  <c r="AB229" i="14"/>
  <c r="AZ38" i="6"/>
  <c r="BA35" i="6" s="1"/>
  <c r="AX22" i="6"/>
  <c r="AX23" i="6" s="1"/>
  <c r="U44" i="15" l="1"/>
  <c r="U47" i="15" s="1"/>
  <c r="U87" i="15"/>
  <c r="U88" i="15" s="1"/>
  <c r="AX24" i="6"/>
  <c r="AY21" i="6" s="1"/>
  <c r="AY22" i="6" s="1"/>
  <c r="AY23" i="6" s="1"/>
  <c r="AB289" i="14"/>
  <c r="AB29" i="4"/>
  <c r="AB33" i="4" s="1"/>
  <c r="AC20" i="4"/>
  <c r="AC32" i="4" s="1"/>
  <c r="AC16" i="4"/>
  <c r="AB21" i="4"/>
  <c r="AB318" i="14"/>
  <c r="AB326" i="14"/>
  <c r="BA36" i="6"/>
  <c r="BA37" i="6" s="1"/>
  <c r="U45" i="15" l="1"/>
  <c r="U54" i="15" s="1"/>
  <c r="AB294" i="14"/>
  <c r="AB301" i="14" s="1"/>
  <c r="AB320" i="14" s="1"/>
  <c r="AB321" i="14" s="1"/>
  <c r="G321" i="14" s="1"/>
  <c r="AC18" i="4"/>
  <c r="AC17" i="4" s="1"/>
  <c r="AC30" i="4" s="1"/>
  <c r="BA38" i="6"/>
  <c r="BB35" i="6" s="1"/>
  <c r="AY24" i="6"/>
  <c r="AZ21" i="6" s="1"/>
  <c r="AB322" i="14" l="1"/>
  <c r="AB325" i="14" s="1"/>
  <c r="AB341" i="14" s="1"/>
  <c r="AB323" i="14"/>
  <c r="AC31" i="4"/>
  <c r="AC19" i="4"/>
  <c r="BB36" i="6"/>
  <c r="BB37" i="6" s="1"/>
  <c r="AZ22" i="6"/>
  <c r="AZ23" i="6" s="1"/>
  <c r="AB339" i="14" l="1"/>
  <c r="V86" i="15"/>
  <c r="Z86" i="15"/>
  <c r="W86" i="15"/>
  <c r="AA86" i="15"/>
  <c r="Y86" i="15"/>
  <c r="X86" i="15"/>
  <c r="W41" i="15"/>
  <c r="V41" i="15"/>
  <c r="X41" i="15"/>
  <c r="AA41" i="15"/>
  <c r="Z41" i="15"/>
  <c r="Y41" i="15"/>
  <c r="AB324" i="14"/>
  <c r="AC29" i="4"/>
  <c r="AC33" i="4" s="1"/>
  <c r="AD20" i="4"/>
  <c r="AD32" i="4" s="1"/>
  <c r="AD16" i="4"/>
  <c r="AC21" i="4"/>
  <c r="BB38" i="6"/>
  <c r="BC35" i="6" s="1"/>
  <c r="AZ24" i="6"/>
  <c r="BA21" i="6" s="1"/>
  <c r="Z85" i="15" l="1"/>
  <c r="Z43" i="15"/>
  <c r="W85" i="15"/>
  <c r="W43" i="15"/>
  <c r="V85" i="15"/>
  <c r="V43" i="15"/>
  <c r="X43" i="15"/>
  <c r="X85" i="15"/>
  <c r="Y85" i="15"/>
  <c r="Y43" i="15"/>
  <c r="AA85" i="15"/>
  <c r="AA43" i="15"/>
  <c r="AD18" i="4"/>
  <c r="AD17" i="4" s="1"/>
  <c r="AD30" i="4" s="1"/>
  <c r="BC36" i="6"/>
  <c r="BC37" i="6" s="1"/>
  <c r="BA22" i="6"/>
  <c r="BA23" i="6" s="1"/>
  <c r="AA44" i="15" l="1"/>
  <c r="AA47" i="15" s="1"/>
  <c r="AA87" i="15"/>
  <c r="AA88" i="15" s="1"/>
  <c r="W44" i="15"/>
  <c r="W47" i="15" s="1"/>
  <c r="W87" i="15"/>
  <c r="W88" i="15" s="1"/>
  <c r="X44" i="15"/>
  <c r="X47" i="15" s="1"/>
  <c r="X87" i="15"/>
  <c r="X88" i="15" s="1"/>
  <c r="Y44" i="15"/>
  <c r="Y47" i="15" s="1"/>
  <c r="Y59" i="15" s="1"/>
  <c r="Y87" i="15"/>
  <c r="Y88" i="15" s="1"/>
  <c r="V44" i="15"/>
  <c r="V45" i="15" s="1"/>
  <c r="V54" i="15" s="1"/>
  <c r="V87" i="15"/>
  <c r="V88" i="15" s="1"/>
  <c r="Z44" i="15"/>
  <c r="Z45" i="15" s="1"/>
  <c r="Z54" i="15" s="1"/>
  <c r="Z87" i="15"/>
  <c r="Z88" i="15" s="1"/>
  <c r="X45" i="15"/>
  <c r="X54" i="15" s="1"/>
  <c r="BA24" i="6"/>
  <c r="BB21" i="6" s="1"/>
  <c r="BB22" i="6" s="1"/>
  <c r="BB23" i="6" s="1"/>
  <c r="AD19" i="4"/>
  <c r="AD31" i="4"/>
  <c r="BC38" i="6"/>
  <c r="BD35" i="6" s="1"/>
  <c r="Y45" i="15" l="1"/>
  <c r="Y54" i="15" s="1"/>
  <c r="Y57" i="15" s="1"/>
  <c r="Y60" i="15" s="1"/>
  <c r="Y64" i="15" s="1"/>
  <c r="E65" i="15" s="1"/>
  <c r="E67" i="15" s="1"/>
  <c r="E70" i="15" s="1"/>
  <c r="E72" i="15" s="1"/>
  <c r="V47" i="15"/>
  <c r="AA45" i="15"/>
  <c r="AA54" i="15" s="1"/>
  <c r="W45" i="15"/>
  <c r="W54" i="15" s="1"/>
  <c r="Z47" i="15"/>
  <c r="E89" i="15"/>
  <c r="E91" i="15" s="1"/>
  <c r="AD29" i="4"/>
  <c r="AD33" i="4" s="1"/>
  <c r="AE20" i="4"/>
  <c r="AE32" i="4" s="1"/>
  <c r="AD21" i="4"/>
  <c r="AE16" i="4"/>
  <c r="BD36" i="6"/>
  <c r="BD37" i="6" s="1"/>
  <c r="BB24" i="6"/>
  <c r="BC21" i="6" s="1"/>
  <c r="H116" i="15" l="1"/>
  <c r="E1" i="13"/>
  <c r="G99" i="15"/>
  <c r="E2" i="15"/>
  <c r="I6" i="15" s="1"/>
  <c r="AE18" i="4"/>
  <c r="AE17" i="4" s="1"/>
  <c r="AE30" i="4" s="1"/>
  <c r="BD38" i="6"/>
  <c r="BE35" i="6" s="1"/>
  <c r="BC22" i="6"/>
  <c r="BC23" i="6" s="1"/>
  <c r="T10" i="19" l="1"/>
  <c r="H39" i="19"/>
  <c r="H35" i="19"/>
  <c r="H38" i="19"/>
  <c r="H36" i="19"/>
  <c r="H37" i="19"/>
  <c r="AE19" i="4"/>
  <c r="AE31" i="4"/>
  <c r="BE36" i="6"/>
  <c r="BE37" i="6" s="1"/>
  <c r="BC24" i="6"/>
  <c r="BD21" i="6" s="1"/>
  <c r="AF16" i="4" l="1"/>
  <c r="AE21" i="4"/>
  <c r="AE29" i="4"/>
  <c r="AE33" i="4" s="1"/>
  <c r="AF20" i="4"/>
  <c r="AF32" i="4" s="1"/>
  <c r="BE38" i="6"/>
  <c r="BF35" i="6" s="1"/>
  <c r="BD22" i="6"/>
  <c r="BD23" i="6" s="1"/>
  <c r="AF18" i="4" l="1"/>
  <c r="AF17" i="4" s="1"/>
  <c r="AF30" i="4" s="1"/>
  <c r="BF36" i="6"/>
  <c r="BF37" i="6" s="1"/>
  <c r="BD24" i="6"/>
  <c r="BE21" i="6" s="1"/>
  <c r="AF19" i="4" l="1"/>
  <c r="AG16" i="4" s="1"/>
  <c r="AF31" i="4"/>
  <c r="BF38" i="6"/>
  <c r="BG35" i="6" s="1"/>
  <c r="BE22" i="6"/>
  <c r="BE23" i="6" s="1"/>
  <c r="BE24" i="6" l="1"/>
  <c r="BF21" i="6" s="1"/>
  <c r="BF22" i="6" s="1"/>
  <c r="BF23" i="6" s="1"/>
  <c r="AF21" i="4"/>
  <c r="AG20" i="4"/>
  <c r="AG32" i="4" s="1"/>
  <c r="AF29" i="4"/>
  <c r="AF33" i="4" s="1"/>
  <c r="AG18" i="4"/>
  <c r="AG17" i="4" s="1"/>
  <c r="AG30" i="4" s="1"/>
  <c r="BG36" i="6"/>
  <c r="BG37" i="6" s="1"/>
  <c r="AG19" i="4" l="1"/>
  <c r="AH16" i="4" s="1"/>
  <c r="AG31" i="4"/>
  <c r="BG38" i="6"/>
  <c r="BH35" i="6" s="1"/>
  <c r="BF24" i="6"/>
  <c r="BG21" i="6" s="1"/>
  <c r="AG21" i="4" l="1"/>
  <c r="AG29" i="4"/>
  <c r="AG33" i="4" s="1"/>
  <c r="AH20" i="4"/>
  <c r="AH32" i="4" s="1"/>
  <c r="AH18" i="4"/>
  <c r="AH17" i="4" s="1"/>
  <c r="AH30" i="4" s="1"/>
  <c r="BH36" i="6"/>
  <c r="BH37" i="6" s="1"/>
  <c r="BG22" i="6"/>
  <c r="BG23" i="6" s="1"/>
  <c r="BG24" i="6" s="1"/>
  <c r="BH21" i="6" s="1"/>
  <c r="AH19" i="4" l="1"/>
  <c r="AH21" i="4" s="1"/>
  <c r="AH31" i="4"/>
  <c r="BH38" i="6"/>
  <c r="BI35" i="6" s="1"/>
  <c r="BH22" i="6"/>
  <c r="BH23" i="6" s="1"/>
  <c r="BH24" i="6" l="1"/>
  <c r="BI21" i="6" s="1"/>
  <c r="AI16" i="4"/>
  <c r="AH29" i="4"/>
  <c r="AH33" i="4" s="1"/>
  <c r="AI20" i="4"/>
  <c r="AI32" i="4" s="1"/>
  <c r="BI36" i="6"/>
  <c r="BI37" i="6" s="1"/>
  <c r="BI22" i="6" l="1"/>
  <c r="BI23" i="6" s="1"/>
  <c r="AI18" i="4"/>
  <c r="AI17" i="4" s="1"/>
  <c r="AI30" i="4" s="1"/>
  <c r="AI31" i="4"/>
  <c r="BI38" i="6"/>
  <c r="BJ35" i="6" s="1"/>
  <c r="BI24" i="6" l="1"/>
  <c r="BJ21" i="6" s="1"/>
  <c r="BJ22" i="6" s="1"/>
  <c r="BJ23" i="6" s="1"/>
  <c r="AI19" i="4"/>
  <c r="AI21" i="4" s="1"/>
  <c r="AI29" i="4"/>
  <c r="AI33" i="4" s="1"/>
  <c r="BJ36" i="6"/>
  <c r="BJ37" i="6" s="1"/>
  <c r="BJ24" i="6" l="1"/>
  <c r="BK21" i="6" s="1"/>
  <c r="AJ16" i="4"/>
  <c r="AJ18" i="4" s="1"/>
  <c r="AJ17" i="4" s="1"/>
  <c r="AJ30" i="4" s="1"/>
  <c r="AJ20" i="4"/>
  <c r="AJ32" i="4" s="1"/>
  <c r="BJ38" i="6"/>
  <c r="BK35" i="6" s="1"/>
  <c r="BK22" i="6" l="1"/>
  <c r="BK23" i="6" s="1"/>
  <c r="AJ19" i="4"/>
  <c r="BK36" i="6"/>
  <c r="BK37" i="6" s="1"/>
  <c r="BK24" i="6" l="1"/>
  <c r="BL21" i="6" s="1"/>
  <c r="BL22" i="6" s="1"/>
  <c r="BL23" i="6" s="1"/>
  <c r="AJ31" i="4"/>
  <c r="AJ21" i="4"/>
  <c r="AK16" i="4"/>
  <c r="AK20" i="4"/>
  <c r="AK32" i="4" s="1"/>
  <c r="AJ29" i="4"/>
  <c r="BK38" i="6"/>
  <c r="BL35" i="6" s="1"/>
  <c r="BL24" i="6" l="1"/>
  <c r="BM21" i="6" s="1"/>
  <c r="BM22" i="6" s="1"/>
  <c r="BM23" i="6" s="1"/>
  <c r="AJ33" i="4"/>
  <c r="AK18" i="4"/>
  <c r="AK17" i="4" s="1"/>
  <c r="AK30" i="4" s="1"/>
  <c r="BL36" i="6"/>
  <c r="BL37" i="6" s="1"/>
  <c r="AK19" i="4" l="1"/>
  <c r="AL16" i="4" s="1"/>
  <c r="AK31" i="4"/>
  <c r="BL38" i="6"/>
  <c r="BM35" i="6" s="1"/>
  <c r="BM24" i="6"/>
  <c r="BN21" i="6" s="1"/>
  <c r="AK21" i="4" l="1"/>
  <c r="AK29" i="4"/>
  <c r="AK33" i="4" s="1"/>
  <c r="AL20" i="4"/>
  <c r="AL32" i="4" s="1"/>
  <c r="AL18" i="4"/>
  <c r="AL17" i="4" s="1"/>
  <c r="AL30" i="4" s="1"/>
  <c r="BM36" i="6"/>
  <c r="BM37" i="6" s="1"/>
  <c r="BN22" i="6"/>
  <c r="BN23" i="6" s="1"/>
  <c r="AL31" i="4" l="1"/>
  <c r="AL19" i="4"/>
  <c r="BM38" i="6"/>
  <c r="BN35" i="6" s="1"/>
  <c r="BN24" i="6"/>
  <c r="BO21" i="6" s="1"/>
  <c r="AL21" i="4" l="1"/>
  <c r="AM16" i="4"/>
  <c r="AM20" i="4"/>
  <c r="AM32" i="4" s="1"/>
  <c r="AL29" i="4"/>
  <c r="AL33" i="4" s="1"/>
  <c r="BN36" i="6"/>
  <c r="BN37" i="6" s="1"/>
  <c r="BO22" i="6"/>
  <c r="BO23" i="6" s="1"/>
  <c r="AM18" i="4" l="1"/>
  <c r="AM17" i="4" s="1"/>
  <c r="AM30" i="4" s="1"/>
  <c r="BN38" i="6"/>
  <c r="BO35" i="6" s="1"/>
  <c r="BO24" i="6"/>
  <c r="BP21" i="6" s="1"/>
  <c r="AM19" i="4" l="1"/>
  <c r="AN16" i="4" s="1"/>
  <c r="AM31" i="4"/>
  <c r="BO36" i="6"/>
  <c r="BO37" i="6" s="1"/>
  <c r="BP22" i="6"/>
  <c r="BP23" i="6" s="1"/>
  <c r="BP24" i="6" l="1"/>
  <c r="BQ21" i="6" s="1"/>
  <c r="BQ22" i="6" s="1"/>
  <c r="BQ23" i="6" s="1"/>
  <c r="AM21" i="4"/>
  <c r="AN20" i="4"/>
  <c r="AN32" i="4" s="1"/>
  <c r="AM29" i="4"/>
  <c r="AM33" i="4" s="1"/>
  <c r="AN18" i="4"/>
  <c r="AN17" i="4" s="1"/>
  <c r="AN30" i="4" s="1"/>
  <c r="BO38" i="6"/>
  <c r="BP35" i="6" s="1"/>
  <c r="AN31" i="4" l="1"/>
  <c r="AN19" i="4"/>
  <c r="BP36" i="6"/>
  <c r="BP37" i="6" s="1"/>
  <c r="BQ24" i="6"/>
  <c r="BR21" i="6" s="1"/>
  <c r="AO16" i="4" l="1"/>
  <c r="AN21" i="4"/>
  <c r="AN29" i="4"/>
  <c r="AN33" i="4" s="1"/>
  <c r="AO20" i="4"/>
  <c r="AO32" i="4" s="1"/>
  <c r="BP38" i="6"/>
  <c r="BQ35" i="6" s="1"/>
  <c r="BR22" i="6"/>
  <c r="BR23" i="6" s="1"/>
  <c r="AO18" i="4" l="1"/>
  <c r="AO17" i="4" s="1"/>
  <c r="AO30" i="4" s="1"/>
  <c r="BQ36" i="6"/>
  <c r="BQ37" i="6" s="1"/>
  <c r="BR24" i="6"/>
  <c r="BS21" i="6" s="1"/>
  <c r="AO19" i="4" l="1"/>
  <c r="AO21" i="4" s="1"/>
  <c r="AO31" i="4"/>
  <c r="BQ38" i="6"/>
  <c r="BR35" i="6" s="1"/>
  <c r="BS22" i="6"/>
  <c r="BS23" i="6" s="1"/>
  <c r="AP16" i="4" l="1"/>
  <c r="AP18" i="4" s="1"/>
  <c r="AP17" i="4" s="1"/>
  <c r="AP30" i="4" s="1"/>
  <c r="AP20" i="4"/>
  <c r="AP32" i="4" s="1"/>
  <c r="AO29" i="4"/>
  <c r="AO33" i="4" s="1"/>
  <c r="BR36" i="6"/>
  <c r="BR37" i="6" s="1"/>
  <c r="BS24" i="6"/>
  <c r="BT21" i="6" s="1"/>
  <c r="AP31" i="4" l="1"/>
  <c r="AP19" i="4"/>
  <c r="BR38" i="6"/>
  <c r="BS35" i="6" s="1"/>
  <c r="BT22" i="6"/>
  <c r="BT23" i="6" s="1"/>
  <c r="BT24" i="6" l="1"/>
  <c r="BU21" i="6" s="1"/>
  <c r="BU22" i="6" s="1"/>
  <c r="BU23" i="6" s="1"/>
  <c r="AP29" i="4"/>
  <c r="AP33" i="4" s="1"/>
  <c r="AQ16" i="4"/>
  <c r="AP21" i="4"/>
  <c r="BS36" i="6"/>
  <c r="BS37" i="6" s="1"/>
  <c r="BU24" i="6" l="1"/>
  <c r="BV21" i="6" s="1"/>
  <c r="AQ20" i="4"/>
  <c r="AQ32" i="4" s="1"/>
  <c r="AQ18" i="4"/>
  <c r="AQ17" i="4" s="1"/>
  <c r="AQ30" i="4" s="1"/>
  <c r="BS38" i="6"/>
  <c r="BT35" i="6" s="1"/>
  <c r="BV22" i="6" l="1"/>
  <c r="BV23" i="6" s="1"/>
  <c r="AQ19" i="4"/>
  <c r="AR16" i="4" s="1"/>
  <c r="AQ31" i="4"/>
  <c r="BT36" i="6"/>
  <c r="BT37" i="6" s="1"/>
  <c r="BV24" i="6" l="1"/>
  <c r="BW21" i="6" s="1"/>
  <c r="BW22" i="6" s="1"/>
  <c r="BW23" i="6" s="1"/>
  <c r="BW24" i="6" s="1"/>
  <c r="BX21" i="6" s="1"/>
  <c r="BX22" i="6" s="1"/>
  <c r="BX23" i="6" s="1"/>
  <c r="AQ21" i="4"/>
  <c r="AQ29" i="4"/>
  <c r="AQ33" i="4" s="1"/>
  <c r="AR20" i="4"/>
  <c r="AR32" i="4" s="1"/>
  <c r="AR18" i="4"/>
  <c r="AR17" i="4" s="1"/>
  <c r="AR30" i="4" s="1"/>
  <c r="BT38" i="6"/>
  <c r="BU35" i="6" s="1"/>
  <c r="AR31" i="4" l="1"/>
  <c r="AR19" i="4"/>
  <c r="BU36" i="6"/>
  <c r="BU37" i="6" s="1"/>
  <c r="BX24" i="6"/>
  <c r="BY21" i="6" s="1"/>
  <c r="AS16" i="4" l="1"/>
  <c r="AR21" i="4"/>
  <c r="AR29" i="4"/>
  <c r="AR33" i="4" s="1"/>
  <c r="AS20" i="4"/>
  <c r="AS32" i="4" s="1"/>
  <c r="BU38" i="6"/>
  <c r="BV35" i="6" s="1"/>
  <c r="BY22" i="6"/>
  <c r="BY23" i="6" s="1"/>
  <c r="AS18" i="4" l="1"/>
  <c r="AS17" i="4" s="1"/>
  <c r="AS30" i="4" s="1"/>
  <c r="BV36" i="6"/>
  <c r="BV37" i="6" s="1"/>
  <c r="BY24" i="6"/>
  <c r="BZ21" i="6" s="1"/>
  <c r="AS19" i="4" l="1"/>
  <c r="AS21" i="4" s="1"/>
  <c r="AS31" i="4"/>
  <c r="BV38" i="6"/>
  <c r="BW35" i="6" s="1"/>
  <c r="BZ22" i="6"/>
  <c r="BZ23" i="6" s="1"/>
  <c r="AT16" i="4" l="1"/>
  <c r="AT18" i="4" s="1"/>
  <c r="AT17" i="4" s="1"/>
  <c r="AT30" i="4" s="1"/>
  <c r="AT20" i="4"/>
  <c r="AT32" i="4" s="1"/>
  <c r="AS29" i="4"/>
  <c r="AS33" i="4" s="1"/>
  <c r="BW36" i="6"/>
  <c r="BW37" i="6" s="1"/>
  <c r="BZ24" i="6"/>
  <c r="CA21" i="6" s="1"/>
  <c r="AT19" i="4" l="1"/>
  <c r="BW38" i="6"/>
  <c r="BX35" i="6" s="1"/>
  <c r="CA22" i="6"/>
  <c r="CA23" i="6" s="1"/>
  <c r="CA24" i="6" l="1"/>
  <c r="CB21" i="6" s="1"/>
  <c r="CB22" i="6" s="1"/>
  <c r="CB23" i="6" s="1"/>
  <c r="AT31" i="4"/>
  <c r="AT21" i="4"/>
  <c r="AU16" i="4"/>
  <c r="AU20" i="4"/>
  <c r="AU32" i="4" s="1"/>
  <c r="AT29" i="4"/>
  <c r="BX36" i="6"/>
  <c r="BX37" i="6" s="1"/>
  <c r="AT33" i="4" l="1"/>
  <c r="AU18" i="4"/>
  <c r="AU17" i="4" s="1"/>
  <c r="AU30" i="4" s="1"/>
  <c r="BX38" i="6"/>
  <c r="BY35" i="6" s="1"/>
  <c r="CB24" i="6"/>
  <c r="CC21" i="6" s="1"/>
  <c r="AU19" i="4" l="1"/>
  <c r="AV16" i="4" s="1"/>
  <c r="AU31" i="4"/>
  <c r="BY36" i="6"/>
  <c r="BY37" i="6" s="1"/>
  <c r="CC22" i="6"/>
  <c r="CC23" i="6" s="1"/>
  <c r="AU21" i="4" l="1"/>
  <c r="AV18" i="4"/>
  <c r="AV17" i="4" s="1"/>
  <c r="AV30" i="4" s="1"/>
  <c r="AV20" i="4"/>
  <c r="AV32" i="4" s="1"/>
  <c r="AU29" i="4"/>
  <c r="AU33" i="4" s="1"/>
  <c r="BY38" i="6"/>
  <c r="BZ35" i="6" s="1"/>
  <c r="CC24" i="6"/>
  <c r="CD21" i="6" s="1"/>
  <c r="AV19" i="4" l="1"/>
  <c r="AW16" i="4" s="1"/>
  <c r="AV31" i="4"/>
  <c r="BZ36" i="6"/>
  <c r="BZ37" i="6" s="1"/>
  <c r="CD22" i="6"/>
  <c r="CD23" i="6" s="1"/>
  <c r="CD24" i="6" l="1"/>
  <c r="CE21" i="6" s="1"/>
  <c r="CE22" i="6" s="1"/>
  <c r="CE23" i="6" s="1"/>
  <c r="AV21" i="4"/>
  <c r="AW20" i="4"/>
  <c r="AW32" i="4" s="1"/>
  <c r="AV29" i="4"/>
  <c r="AV33" i="4" s="1"/>
  <c r="AW18" i="4"/>
  <c r="AW17" i="4" s="1"/>
  <c r="AW30" i="4" s="1"/>
  <c r="BZ38" i="6"/>
  <c r="CA35" i="6" s="1"/>
  <c r="AW31" i="4" l="1"/>
  <c r="AW19" i="4"/>
  <c r="CA36" i="6"/>
  <c r="CA37" i="6" s="1"/>
  <c r="CE24" i="6"/>
  <c r="CF21" i="6" s="1"/>
  <c r="AX16" i="4" l="1"/>
  <c r="AW21" i="4"/>
  <c r="AX20" i="4"/>
  <c r="AX32" i="4" s="1"/>
  <c r="AW29" i="4"/>
  <c r="AW33" i="4" s="1"/>
  <c r="CA38" i="6"/>
  <c r="CB35" i="6" s="1"/>
  <c r="CF22" i="6"/>
  <c r="CF23" i="6" s="1"/>
  <c r="CF24" i="6" l="1"/>
  <c r="CG21" i="6" s="1"/>
  <c r="CG22" i="6" s="1"/>
  <c r="CG23" i="6" s="1"/>
  <c r="AX18" i="4"/>
  <c r="AX17" i="4" s="1"/>
  <c r="AX30" i="4" s="1"/>
  <c r="CB36" i="6"/>
  <c r="CB37" i="6" s="1"/>
  <c r="CG24" i="6" l="1"/>
  <c r="CH21" i="6" s="1"/>
  <c r="AX19" i="4"/>
  <c r="AX31" i="4"/>
  <c r="CB38" i="6"/>
  <c r="CC35" i="6" s="1"/>
  <c r="CH22" i="6" l="1"/>
  <c r="CH23" i="6" s="1"/>
  <c r="AY20" i="4"/>
  <c r="AY32" i="4" s="1"/>
  <c r="AX29" i="4"/>
  <c r="AX33" i="4" s="1"/>
  <c r="AY16" i="4"/>
  <c r="AX21" i="4"/>
  <c r="CC36" i="6"/>
  <c r="CC37" i="6" s="1"/>
  <c r="CH24" i="6" l="1"/>
  <c r="CI21" i="6" s="1"/>
  <c r="CI22" i="6" s="1"/>
  <c r="CI23" i="6" s="1"/>
  <c r="AY18" i="4"/>
  <c r="AY17" i="4" s="1"/>
  <c r="AY30" i="4" s="1"/>
  <c r="CC38" i="6"/>
  <c r="CD35" i="6" s="1"/>
  <c r="CI24" i="6" l="1"/>
  <c r="CJ21" i="6" s="1"/>
  <c r="CJ22" i="6" s="1"/>
  <c r="CJ23" i="6" s="1"/>
  <c r="AY19" i="4"/>
  <c r="AZ16" i="4" s="1"/>
  <c r="AY31" i="4"/>
  <c r="CD36" i="6"/>
  <c r="CD37" i="6" s="1"/>
  <c r="CJ24" i="6" l="1"/>
  <c r="CK21" i="6" s="1"/>
  <c r="AY21" i="4"/>
  <c r="AY29" i="4"/>
  <c r="AY33" i="4" s="1"/>
  <c r="AZ20" i="4"/>
  <c r="AZ32" i="4" s="1"/>
  <c r="AZ18" i="4"/>
  <c r="AZ17" i="4" s="1"/>
  <c r="AZ30" i="4" s="1"/>
  <c r="CD38" i="6"/>
  <c r="CE35" i="6" s="1"/>
  <c r="CK22" i="6" l="1"/>
  <c r="CK23" i="6" s="1"/>
  <c r="AZ31" i="4"/>
  <c r="AZ19" i="4"/>
  <c r="CE36" i="6"/>
  <c r="CE37" i="6" s="1"/>
  <c r="CK24" i="6" l="1"/>
  <c r="CL21" i="6" s="1"/>
  <c r="CL22" i="6" s="1"/>
  <c r="CL23" i="6" s="1"/>
  <c r="AZ21" i="4"/>
  <c r="BA16" i="4"/>
  <c r="AZ29" i="4"/>
  <c r="AZ33" i="4" s="1"/>
  <c r="BA20" i="4"/>
  <c r="BA32" i="4" s="1"/>
  <c r="CE38" i="6"/>
  <c r="CF35" i="6" s="1"/>
  <c r="CL24" i="6" l="1"/>
  <c r="CM21" i="6" s="1"/>
  <c r="CM22" i="6" s="1"/>
  <c r="CM23" i="6" s="1"/>
  <c r="CM24" i="6" s="1"/>
  <c r="CN21" i="6" s="1"/>
  <c r="CN22" i="6" s="1"/>
  <c r="CN23" i="6" s="1"/>
  <c r="BA18" i="4"/>
  <c r="BA17" i="4" s="1"/>
  <c r="BA30" i="4" s="1"/>
  <c r="CF36" i="6"/>
  <c r="CF37" i="6" s="1"/>
  <c r="BA19" i="4" l="1"/>
  <c r="BB16" i="4" s="1"/>
  <c r="BA31" i="4"/>
  <c r="CF38" i="6"/>
  <c r="CG35" i="6" s="1"/>
  <c r="CN24" i="6"/>
  <c r="CO21" i="6" s="1"/>
  <c r="BA21" i="4" l="1"/>
  <c r="BB18" i="4"/>
  <c r="BB17" i="4" s="1"/>
  <c r="BB20" i="4"/>
  <c r="BB32" i="4" s="1"/>
  <c r="BA29" i="4"/>
  <c r="BA33" i="4" s="1"/>
  <c r="CG36" i="6"/>
  <c r="CG37" i="6" s="1"/>
  <c r="CO22" i="6"/>
  <c r="CO23" i="6" s="1"/>
  <c r="CO24" i="6" l="1"/>
  <c r="CP21" i="6" s="1"/>
  <c r="BB31" i="4"/>
  <c r="BB30" i="4"/>
  <c r="BB19" i="4"/>
  <c r="CG38" i="6"/>
  <c r="CH35" i="6" s="1"/>
  <c r="CP22" i="6" l="1"/>
  <c r="CP23" i="6" s="1"/>
  <c r="BC16" i="4"/>
  <c r="BB21" i="4"/>
  <c r="BB29" i="4"/>
  <c r="BB33" i="4" s="1"/>
  <c r="BC20" i="4"/>
  <c r="BC32" i="4" s="1"/>
  <c r="CH36" i="6"/>
  <c r="CH37" i="6" s="1"/>
  <c r="CP24" i="6" l="1"/>
  <c r="CQ21" i="6" s="1"/>
  <c r="CQ22" i="6" s="1"/>
  <c r="CQ23" i="6" s="1"/>
  <c r="BC18" i="4"/>
  <c r="BC17" i="4" s="1"/>
  <c r="CH38" i="6"/>
  <c r="CI35" i="6" s="1"/>
  <c r="CQ24" i="6" l="1"/>
  <c r="CR21" i="6" s="1"/>
  <c r="CR22" i="6" s="1"/>
  <c r="CR23" i="6" s="1"/>
  <c r="BC31" i="4"/>
  <c r="BC30" i="4"/>
  <c r="BC19" i="4"/>
  <c r="CI36" i="6"/>
  <c r="CI37" i="6" s="1"/>
  <c r="BC21" i="4" l="1"/>
  <c r="BD16" i="4"/>
  <c r="BD20" i="4"/>
  <c r="BD32" i="4" s="1"/>
  <c r="BC29" i="4"/>
  <c r="BC33" i="4" s="1"/>
  <c r="CI38" i="6"/>
  <c r="CJ35" i="6" s="1"/>
  <c r="CR24" i="6"/>
  <c r="CS21" i="6" s="1"/>
  <c r="BD18" i="4" l="1"/>
  <c r="BD17" i="4" s="1"/>
  <c r="BD30" i="4" s="1"/>
  <c r="CJ36" i="6"/>
  <c r="CJ37" i="6" s="1"/>
  <c r="CS22" i="6"/>
  <c r="CS23" i="6" s="1"/>
  <c r="BD19" i="4" l="1"/>
  <c r="BE16" i="4" s="1"/>
  <c r="BD31" i="4"/>
  <c r="CJ38" i="6"/>
  <c r="CK35" i="6" s="1"/>
  <c r="CS24" i="6"/>
  <c r="CT21" i="6" s="1"/>
  <c r="BD21" i="4" l="1"/>
  <c r="BE18" i="4"/>
  <c r="BE17" i="4" s="1"/>
  <c r="BD29" i="4"/>
  <c r="BD33" i="4" s="1"/>
  <c r="BE20" i="4"/>
  <c r="BE32" i="4" s="1"/>
  <c r="CK36" i="6"/>
  <c r="CK37" i="6" s="1"/>
  <c r="CT22" i="6"/>
  <c r="CT23" i="6" s="1"/>
  <c r="BE31" i="4" l="1"/>
  <c r="BE30" i="4"/>
  <c r="BE19" i="4"/>
  <c r="CK38" i="6"/>
  <c r="CL35" i="6" s="1"/>
  <c r="CT24" i="6"/>
  <c r="CU21" i="6" s="1"/>
  <c r="BF16" i="4" l="1"/>
  <c r="BE21" i="4"/>
  <c r="BE29" i="4"/>
  <c r="BE33" i="4" s="1"/>
  <c r="BF20" i="4"/>
  <c r="BF32" i="4" s="1"/>
  <c r="CL36" i="6"/>
  <c r="CL37" i="6" s="1"/>
  <c r="CU22" i="6"/>
  <c r="CU23" i="6" s="1"/>
  <c r="BF18" i="4" l="1"/>
  <c r="BF17" i="4" s="1"/>
  <c r="CL38" i="6"/>
  <c r="CM35" i="6" s="1"/>
  <c r="CU24" i="6"/>
  <c r="CV21" i="6" s="1"/>
  <c r="BF30" i="4" l="1"/>
  <c r="BF19" i="4"/>
  <c r="BF31" i="4"/>
  <c r="CM36" i="6"/>
  <c r="CM37" i="6" s="1"/>
  <c r="CV22" i="6"/>
  <c r="CV23" i="6" s="1"/>
  <c r="BF21" i="4" l="1"/>
  <c r="BG16" i="4"/>
  <c r="BF29" i="4"/>
  <c r="BF33" i="4" s="1"/>
  <c r="BG20" i="4"/>
  <c r="BG32" i="4" s="1"/>
  <c r="CM38" i="6"/>
  <c r="CN35" i="6" s="1"/>
  <c r="CV24" i="6"/>
  <c r="CW21" i="6" s="1"/>
  <c r="BG18" i="4" l="1"/>
  <c r="BG17" i="4" s="1"/>
  <c r="BG30" i="4" s="1"/>
  <c r="CN36" i="6"/>
  <c r="CN37" i="6" s="1"/>
  <c r="CW22" i="6"/>
  <c r="CW23" i="6" s="1"/>
  <c r="CW24" i="6" s="1"/>
  <c r="CX21" i="6" s="1"/>
  <c r="BG31" i="4" l="1"/>
  <c r="BG19" i="4"/>
  <c r="CN38" i="6"/>
  <c r="CO35" i="6" s="1"/>
  <c r="CX22" i="6"/>
  <c r="CX23" i="6" s="1"/>
  <c r="BG21" i="4" l="1"/>
  <c r="BH16" i="4"/>
  <c r="BH20" i="4"/>
  <c r="BH32" i="4" s="1"/>
  <c r="BG29" i="4"/>
  <c r="BG33" i="4" s="1"/>
  <c r="CO36" i="6"/>
  <c r="CO37" i="6" s="1"/>
  <c r="CX24" i="6"/>
  <c r="CY21" i="6" s="1"/>
  <c r="BH18" i="4" l="1"/>
  <c r="BH17" i="4" s="1"/>
  <c r="BH30" i="4" s="1"/>
  <c r="CO38" i="6"/>
  <c r="CP35" i="6" s="1"/>
  <c r="CY22" i="6"/>
  <c r="CY23" i="6" s="1"/>
  <c r="CY24" i="6" l="1"/>
  <c r="CZ21" i="6" s="1"/>
  <c r="CZ22" i="6" s="1"/>
  <c r="CZ23" i="6" s="1"/>
  <c r="BH31" i="4"/>
  <c r="BH19" i="4"/>
  <c r="CP36" i="6"/>
  <c r="CP37" i="6" s="1"/>
  <c r="BH21" i="4" l="1"/>
  <c r="BI16" i="4"/>
  <c r="BI20" i="4"/>
  <c r="BI32" i="4" s="1"/>
  <c r="BH29" i="4"/>
  <c r="BH33" i="4" s="1"/>
  <c r="CP38" i="6"/>
  <c r="CQ35" i="6" s="1"/>
  <c r="CZ24" i="6"/>
  <c r="DA21" i="6" s="1"/>
  <c r="BI18" i="4" l="1"/>
  <c r="BI17" i="4" s="1"/>
  <c r="BI30" i="4" s="1"/>
  <c r="CQ36" i="6"/>
  <c r="CQ37" i="6" s="1"/>
  <c r="DA22" i="6"/>
  <c r="DA23" i="6" s="1"/>
  <c r="BI19" i="4" l="1"/>
  <c r="BI31" i="4"/>
  <c r="CQ38" i="6"/>
  <c r="CR35" i="6" s="1"/>
  <c r="DA24" i="6"/>
  <c r="DB21" i="6" s="1"/>
  <c r="BI29" i="4" l="1"/>
  <c r="BI33" i="4" s="1"/>
  <c r="BJ20" i="4"/>
  <c r="BJ32" i="4" s="1"/>
  <c r="BJ16" i="4"/>
  <c r="BI21" i="4"/>
  <c r="CR36" i="6"/>
  <c r="CR37" i="6" s="1"/>
  <c r="DB22" i="6"/>
  <c r="DB23" i="6" s="1"/>
  <c r="DB24" i="6" l="1"/>
  <c r="DC21" i="6" s="1"/>
  <c r="DC22" i="6" s="1"/>
  <c r="DC23" i="6" s="1"/>
  <c r="BJ18" i="4"/>
  <c r="BJ17" i="4" s="1"/>
  <c r="BJ30" i="4" s="1"/>
  <c r="CR38" i="6"/>
  <c r="CS35" i="6" s="1"/>
  <c r="BJ19" i="4" l="1"/>
  <c r="BJ21" i="4" s="1"/>
  <c r="BJ31" i="4"/>
  <c r="CS36" i="6"/>
  <c r="CS37" i="6" s="1"/>
  <c r="DC24" i="6"/>
  <c r="DD21" i="6" s="1"/>
  <c r="BK16" i="4" l="1"/>
  <c r="BK18" i="4" s="1"/>
  <c r="BK17" i="4" s="1"/>
  <c r="BK30" i="4" s="1"/>
  <c r="BJ29" i="4"/>
  <c r="BJ33" i="4" s="1"/>
  <c r="BK20" i="4"/>
  <c r="BK32" i="4" s="1"/>
  <c r="CS38" i="6"/>
  <c r="CT35" i="6" s="1"/>
  <c r="DD22" i="6"/>
  <c r="DD23" i="6" s="1"/>
  <c r="BK19" i="4" l="1"/>
  <c r="CT36" i="6"/>
  <c r="CT37" i="6" s="1"/>
  <c r="DD24" i="6"/>
  <c r="DE21" i="6" s="1"/>
  <c r="BK31" i="4" l="1"/>
  <c r="BK21" i="4"/>
  <c r="BL16" i="4"/>
  <c r="BL20" i="4"/>
  <c r="BL32" i="4" s="1"/>
  <c r="BK29" i="4"/>
  <c r="CT38" i="6"/>
  <c r="CU35" i="6" s="1"/>
  <c r="DE22" i="6"/>
  <c r="DE23" i="6" s="1"/>
  <c r="DE24" i="6" l="1"/>
  <c r="DF21" i="6" s="1"/>
  <c r="DF22" i="6" s="1"/>
  <c r="DF23" i="6" s="1"/>
  <c r="BK33" i="4"/>
  <c r="BL18" i="4"/>
  <c r="BL17" i="4" s="1"/>
  <c r="BL30" i="4" s="1"/>
  <c r="CU36" i="6"/>
  <c r="CU37" i="6" s="1"/>
  <c r="BL19" i="4" l="1"/>
  <c r="BL31" i="4"/>
  <c r="CU38" i="6"/>
  <c r="CV35" i="6" s="1"/>
  <c r="DF24" i="6"/>
  <c r="DG21" i="6" s="1"/>
  <c r="BL29" i="4" l="1"/>
  <c r="BL33" i="4" s="1"/>
  <c r="BM20" i="4"/>
  <c r="BM32" i="4" s="1"/>
  <c r="BL21" i="4"/>
  <c r="BM16" i="4"/>
  <c r="CV36" i="6"/>
  <c r="CV37" i="6" s="1"/>
  <c r="DG22" i="6"/>
  <c r="DG23" i="6" s="1"/>
  <c r="BM18" i="4" l="1"/>
  <c r="BM17" i="4" s="1"/>
  <c r="BM30" i="4" s="1"/>
  <c r="CV38" i="6"/>
  <c r="CW35" i="6" s="1"/>
  <c r="DG24" i="6"/>
  <c r="DH21" i="6" s="1"/>
  <c r="BM19" i="4" l="1"/>
  <c r="BN16" i="4" s="1"/>
  <c r="BM31" i="4"/>
  <c r="CW36" i="6"/>
  <c r="CW37" i="6" s="1"/>
  <c r="DH22" i="6"/>
  <c r="DH23" i="6" s="1"/>
  <c r="DH24" i="6" l="1"/>
  <c r="DI21" i="6" s="1"/>
  <c r="DI22" i="6" s="1"/>
  <c r="DI23" i="6" s="1"/>
  <c r="BM21" i="4"/>
  <c r="BN20" i="4"/>
  <c r="BN32" i="4" s="1"/>
  <c r="BM29" i="4"/>
  <c r="BM33" i="4" s="1"/>
  <c r="BN18" i="4"/>
  <c r="BN17" i="4" s="1"/>
  <c r="BN30" i="4" s="1"/>
  <c r="CW38" i="6"/>
  <c r="CX35" i="6" s="1"/>
  <c r="BN31" i="4" l="1"/>
  <c r="BN19" i="4"/>
  <c r="CX36" i="6"/>
  <c r="CX37" i="6" s="1"/>
  <c r="DI24" i="6"/>
  <c r="DJ21" i="6" s="1"/>
  <c r="BO16" i="4" l="1"/>
  <c r="BN21" i="4"/>
  <c r="BO20" i="4"/>
  <c r="BO32" i="4" s="1"/>
  <c r="BN29" i="4"/>
  <c r="BN33" i="4" s="1"/>
  <c r="CX38" i="6"/>
  <c r="CY35" i="6" s="1"/>
  <c r="DJ22" i="6"/>
  <c r="DJ23" i="6" s="1"/>
  <c r="BO18" i="4" l="1"/>
  <c r="BO17" i="4" s="1"/>
  <c r="BO30" i="4" s="1"/>
  <c r="CY36" i="6"/>
  <c r="CY37" i="6" s="1"/>
  <c r="DJ24" i="6"/>
  <c r="DK21" i="6" s="1"/>
  <c r="BO19" i="4" l="1"/>
  <c r="BP16" i="4" s="1"/>
  <c r="BO31" i="4"/>
  <c r="CY38" i="6"/>
  <c r="CZ35" i="6" s="1"/>
  <c r="DK22" i="6"/>
  <c r="DK23" i="6" s="1"/>
  <c r="DK24" i="6" l="1"/>
  <c r="DL21" i="6" s="1"/>
  <c r="BO21" i="4"/>
  <c r="BO29" i="4"/>
  <c r="BO33" i="4" s="1"/>
  <c r="BP20" i="4"/>
  <c r="BP32" i="4" s="1"/>
  <c r="BP18" i="4"/>
  <c r="BP17" i="4" s="1"/>
  <c r="BP30" i="4" s="1"/>
  <c r="CZ36" i="6"/>
  <c r="CZ37" i="6" s="1"/>
  <c r="DL22" i="6" l="1"/>
  <c r="DL23" i="6" s="1"/>
  <c r="BP31" i="4"/>
  <c r="BP19" i="4"/>
  <c r="CZ38" i="6"/>
  <c r="DA35" i="6" s="1"/>
  <c r="DL24" i="6" l="1"/>
  <c r="DM21" i="6" s="1"/>
  <c r="BQ20" i="4"/>
  <c r="BQ32" i="4" s="1"/>
  <c r="BP29" i="4"/>
  <c r="BP33" i="4" s="1"/>
  <c r="BP21" i="4"/>
  <c r="BQ16" i="4"/>
  <c r="DA36" i="6"/>
  <c r="DA37" i="6" s="1"/>
  <c r="DM22" i="6" l="1"/>
  <c r="DM23" i="6" s="1"/>
  <c r="BQ18" i="4"/>
  <c r="BQ17" i="4" s="1"/>
  <c r="BQ30" i="4" s="1"/>
  <c r="DA38" i="6"/>
  <c r="DB35" i="6" s="1"/>
  <c r="DM24" i="6" l="1"/>
  <c r="DN21" i="6" s="1"/>
  <c r="BQ19" i="4"/>
  <c r="BR16" i="4" s="1"/>
  <c r="BQ31" i="4"/>
  <c r="DB36" i="6"/>
  <c r="DB37" i="6" s="1"/>
  <c r="DN22" i="6" l="1"/>
  <c r="DN23" i="6" s="1"/>
  <c r="BQ21" i="4"/>
  <c r="BQ29" i="4"/>
  <c r="BQ33" i="4" s="1"/>
  <c r="BR20" i="4"/>
  <c r="BR32" i="4" s="1"/>
  <c r="BR18" i="4"/>
  <c r="BR17" i="4" s="1"/>
  <c r="BR30" i="4" s="1"/>
  <c r="DB38" i="6"/>
  <c r="DC35" i="6" s="1"/>
  <c r="DN24" i="6" l="1"/>
  <c r="DO21" i="6" s="1"/>
  <c r="BR31" i="4"/>
  <c r="BR19" i="4"/>
  <c r="DC36" i="6"/>
  <c r="DC37" i="6" s="1"/>
  <c r="DO22" i="6" l="1"/>
  <c r="DO23" i="6" s="1"/>
  <c r="BR21" i="4"/>
  <c r="BS16" i="4"/>
  <c r="BR29" i="4"/>
  <c r="BR33" i="4" s="1"/>
  <c r="BS20" i="4"/>
  <c r="BS32" i="4" s="1"/>
  <c r="DC38" i="6"/>
  <c r="DD35" i="6" s="1"/>
  <c r="DO24" i="6" l="1"/>
  <c r="DP21" i="6" s="1"/>
  <c r="BS18" i="4"/>
  <c r="BS17" i="4" s="1"/>
  <c r="BS30" i="4" s="1"/>
  <c r="DD36" i="6"/>
  <c r="DD37" i="6" s="1"/>
  <c r="DP22" i="6" l="1"/>
  <c r="DP23" i="6" s="1"/>
  <c r="BS19" i="4"/>
  <c r="BT16" i="4" s="1"/>
  <c r="BS31" i="4"/>
  <c r="DD38" i="6"/>
  <c r="DE35" i="6" s="1"/>
  <c r="DP24" i="6" l="1"/>
  <c r="DQ21" i="6" s="1"/>
  <c r="BS21" i="4"/>
  <c r="BS29" i="4"/>
  <c r="BS33" i="4" s="1"/>
  <c r="BT20" i="4"/>
  <c r="BT32" i="4" s="1"/>
  <c r="BT18" i="4"/>
  <c r="BT17" i="4" s="1"/>
  <c r="BT30" i="4" s="1"/>
  <c r="DE36" i="6"/>
  <c r="DE37" i="6" s="1"/>
  <c r="DQ22" i="6" l="1"/>
  <c r="DQ23" i="6" s="1"/>
  <c r="BT31" i="4"/>
  <c r="BT19" i="4"/>
  <c r="DE38" i="6"/>
  <c r="DF35" i="6" s="1"/>
  <c r="DQ24" i="6" l="1"/>
  <c r="DR21" i="6" s="1"/>
  <c r="BT21" i="4"/>
  <c r="BU16" i="4"/>
  <c r="BT29" i="4"/>
  <c r="BT33" i="4" s="1"/>
  <c r="BU20" i="4"/>
  <c r="BU32" i="4" s="1"/>
  <c r="DF36" i="6"/>
  <c r="DF37" i="6" s="1"/>
  <c r="DR22" i="6" l="1"/>
  <c r="DR23" i="6" s="1"/>
  <c r="BU18" i="4"/>
  <c r="BU17" i="4" s="1"/>
  <c r="BU30" i="4" s="1"/>
  <c r="DF38" i="6"/>
  <c r="DG35" i="6" s="1"/>
  <c r="DR24" i="6" l="1"/>
  <c r="DS21" i="6" s="1"/>
  <c r="BU19" i="4"/>
  <c r="BU21" i="4" s="1"/>
  <c r="BU31" i="4"/>
  <c r="DG36" i="6"/>
  <c r="DG37" i="6" s="1"/>
  <c r="DS22" i="6" l="1"/>
  <c r="DS23" i="6" s="1"/>
  <c r="BV16" i="4"/>
  <c r="BV20" i="4"/>
  <c r="BV32" i="4" s="1"/>
  <c r="BU29" i="4"/>
  <c r="BU33" i="4" s="1"/>
  <c r="DG38" i="6"/>
  <c r="DH35" i="6" s="1"/>
  <c r="DS24" i="6" l="1"/>
  <c r="DT21" i="6" s="1"/>
  <c r="BV18" i="4"/>
  <c r="BV17" i="4" s="1"/>
  <c r="BV30" i="4" s="1"/>
  <c r="BV31" i="4"/>
  <c r="DH36" i="6"/>
  <c r="DH37" i="6" s="1"/>
  <c r="DT22" i="6" l="1"/>
  <c r="DT23" i="6" s="1"/>
  <c r="BW20" i="4"/>
  <c r="BW32" i="4" s="1"/>
  <c r="BV19" i="4"/>
  <c r="BV21" i="4" s="1"/>
  <c r="DH38" i="6"/>
  <c r="DI35" i="6" s="1"/>
  <c r="DT24" i="6" l="1"/>
  <c r="DU21" i="6" s="1"/>
  <c r="BV29" i="4"/>
  <c r="BV33" i="4" s="1"/>
  <c r="BW16" i="4"/>
  <c r="BW18" i="4" s="1"/>
  <c r="BW17" i="4" s="1"/>
  <c r="BW30" i="4" s="1"/>
  <c r="DI36" i="6"/>
  <c r="DI37" i="6" s="1"/>
  <c r="DU22" i="6" l="1"/>
  <c r="DU23" i="6" s="1"/>
  <c r="BW19" i="4"/>
  <c r="BX16" i="4" s="1"/>
  <c r="BW29" i="4"/>
  <c r="DI38" i="6"/>
  <c r="DJ35" i="6" s="1"/>
  <c r="DU24" i="6" l="1"/>
  <c r="DV21" i="6" s="1"/>
  <c r="BX18" i="4"/>
  <c r="BX17" i="4" s="1"/>
  <c r="BX30" i="4" s="1"/>
  <c r="BX20" i="4"/>
  <c r="BX32" i="4" s="1"/>
  <c r="BW21" i="4"/>
  <c r="BW31" i="4"/>
  <c r="BW33" i="4" s="1"/>
  <c r="BX31" i="4"/>
  <c r="DJ36" i="6"/>
  <c r="DJ37" i="6" s="1"/>
  <c r="DV22" i="6" l="1"/>
  <c r="DV23" i="6" s="1"/>
  <c r="BX19" i="4"/>
  <c r="BX21" i="4" s="1"/>
  <c r="BY20" i="4"/>
  <c r="BY32" i="4" s="1"/>
  <c r="DJ38" i="6"/>
  <c r="DK35" i="6" s="1"/>
  <c r="DV24" i="6" l="1"/>
  <c r="DW21" i="6" s="1"/>
  <c r="BX29" i="4"/>
  <c r="BX33" i="4" s="1"/>
  <c r="BY16" i="4"/>
  <c r="BY18" i="4" s="1"/>
  <c r="BY17" i="4" s="1"/>
  <c r="BY30" i="4" s="1"/>
  <c r="DK36" i="6"/>
  <c r="DK37" i="6" s="1"/>
  <c r="DW22" i="6" l="1"/>
  <c r="DW23" i="6" s="1"/>
  <c r="BY29" i="4"/>
  <c r="BY19" i="4"/>
  <c r="BY21" i="4" s="1"/>
  <c r="DK38" i="6"/>
  <c r="DL35" i="6" s="1"/>
  <c r="DW24" i="6" l="1"/>
  <c r="DX21" i="6" s="1"/>
  <c r="BZ20" i="4"/>
  <c r="BZ32" i="4" s="1"/>
  <c r="BY31" i="4"/>
  <c r="BY33" i="4" s="1"/>
  <c r="BZ16" i="4"/>
  <c r="BZ18" i="4" s="1"/>
  <c r="BZ17" i="4" s="1"/>
  <c r="BZ30" i="4" s="1"/>
  <c r="DL36" i="6"/>
  <c r="DL37" i="6" s="1"/>
  <c r="DX22" i="6" l="1"/>
  <c r="DX23" i="6" s="1"/>
  <c r="BZ19" i="4"/>
  <c r="BZ21" i="4" s="1"/>
  <c r="BZ31" i="4"/>
  <c r="DL38" i="6"/>
  <c r="DM35" i="6" s="1"/>
  <c r="DX24" i="6" l="1"/>
  <c r="DY21" i="6" s="1"/>
  <c r="CA16" i="4"/>
  <c r="CA18" i="4" s="1"/>
  <c r="CA17" i="4" s="1"/>
  <c r="CA30" i="4" s="1"/>
  <c r="DM36" i="6"/>
  <c r="DM37" i="6" s="1"/>
  <c r="DY22" i="6" l="1"/>
  <c r="DY23" i="6" s="1"/>
  <c r="BZ29" i="4"/>
  <c r="BZ33" i="4" s="1"/>
  <c r="CA20" i="4"/>
  <c r="CA32" i="4" s="1"/>
  <c r="CA19" i="4"/>
  <c r="CB20" i="4"/>
  <c r="DM38" i="6"/>
  <c r="DN35" i="6" s="1"/>
  <c r="DY24" i="6" l="1"/>
  <c r="DZ21" i="6" s="1"/>
  <c r="CB32" i="4"/>
  <c r="CA21" i="4"/>
  <c r="CA29" i="4"/>
  <c r="CA31" i="4"/>
  <c r="CB16" i="4"/>
  <c r="CB18" i="4" s="1"/>
  <c r="CB17" i="4" s="1"/>
  <c r="CB30" i="4" s="1"/>
  <c r="DN36" i="6"/>
  <c r="DN37" i="6" s="1"/>
  <c r="DZ22" i="6" l="1"/>
  <c r="DZ23" i="6" s="1"/>
  <c r="CA33" i="4"/>
  <c r="CB19" i="4"/>
  <c r="CB21" i="4" s="1"/>
  <c r="CB29" i="4"/>
  <c r="DN38" i="6"/>
  <c r="DO35" i="6" s="1"/>
  <c r="DZ24" i="6" l="1"/>
  <c r="EA21" i="6" s="1"/>
  <c r="CC16" i="4"/>
  <c r="CB31" i="4"/>
  <c r="CB33" i="4" s="1"/>
  <c r="CC20" i="4"/>
  <c r="CC32" i="4" s="1"/>
  <c r="DO36" i="6"/>
  <c r="DO37" i="6" s="1"/>
  <c r="EA22" i="6" l="1"/>
  <c r="EA23" i="6" s="1"/>
  <c r="CC18" i="4"/>
  <c r="CC17" i="4" s="1"/>
  <c r="CC30" i="4" s="1"/>
  <c r="CC31" i="4"/>
  <c r="DO38" i="6"/>
  <c r="DP35" i="6" s="1"/>
  <c r="EA24" i="6" l="1"/>
  <c r="EB21" i="6" s="1"/>
  <c r="CC19" i="4"/>
  <c r="CC21" i="4" s="1"/>
  <c r="CC29" i="4"/>
  <c r="CC33" i="4" s="1"/>
  <c r="DP36" i="6"/>
  <c r="DP37" i="6" s="1"/>
  <c r="EB22" i="6" l="1"/>
  <c r="EB23" i="6" s="1"/>
  <c r="CD16" i="4"/>
  <c r="CD31" i="4" s="1"/>
  <c r="CD20" i="4"/>
  <c r="CD32" i="4" s="1"/>
  <c r="DP38" i="6"/>
  <c r="DQ35" i="6" s="1"/>
  <c r="EB24" i="6" l="1"/>
  <c r="EC21" i="6" s="1"/>
  <c r="CD18" i="4"/>
  <c r="CD17" i="4" s="1"/>
  <c r="CD30" i="4" s="1"/>
  <c r="DQ36" i="6"/>
  <c r="DQ37" i="6" s="1"/>
  <c r="EC22" i="6" l="1"/>
  <c r="EC23" i="6" s="1"/>
  <c r="CD19" i="4"/>
  <c r="CE16" i="4" s="1"/>
  <c r="CD29" i="4"/>
  <c r="CD33" i="4" s="1"/>
  <c r="DQ38" i="6"/>
  <c r="DR35" i="6" s="1"/>
  <c r="EC24" i="6" l="1"/>
  <c r="ED21" i="6" s="1"/>
  <c r="CE18" i="4"/>
  <c r="CE17" i="4" s="1"/>
  <c r="CE30" i="4" s="1"/>
  <c r="CD21" i="4"/>
  <c r="CE20" i="4"/>
  <c r="CE32" i="4" s="1"/>
  <c r="CE31" i="4"/>
  <c r="DR36" i="6"/>
  <c r="DR37" i="6" s="1"/>
  <c r="ED22" i="6" l="1"/>
  <c r="ED23" i="6" s="1"/>
  <c r="CE29" i="4"/>
  <c r="CE33" i="4" s="1"/>
  <c r="CE19" i="4"/>
  <c r="CE21" i="4" s="1"/>
  <c r="DR38" i="6"/>
  <c r="DS35" i="6" s="1"/>
  <c r="ED24" i="6" l="1"/>
  <c r="EE21" i="6" s="1"/>
  <c r="CF20" i="4"/>
  <c r="CF32" i="4" s="1"/>
  <c r="CF16" i="4"/>
  <c r="CF31" i="4" s="1"/>
  <c r="DS36" i="6"/>
  <c r="DS37" i="6" s="1"/>
  <c r="EE22" i="6" l="1"/>
  <c r="EE23" i="6" s="1"/>
  <c r="CF18" i="4"/>
  <c r="CF17" i="4" s="1"/>
  <c r="CF30" i="4" s="1"/>
  <c r="DS38" i="6"/>
  <c r="DT35" i="6" s="1"/>
  <c r="EE24" i="6" l="1"/>
  <c r="EF21" i="6" s="1"/>
  <c r="CF19" i="4"/>
  <c r="CG16" i="4" s="1"/>
  <c r="CG20" i="4"/>
  <c r="CG32" i="4" s="1"/>
  <c r="DT36" i="6"/>
  <c r="DT37" i="6" s="1"/>
  <c r="EF22" i="6" l="1"/>
  <c r="EF23" i="6" s="1"/>
  <c r="CG18" i="4"/>
  <c r="CG17" i="4" s="1"/>
  <c r="CG30" i="4" s="1"/>
  <c r="CF29" i="4"/>
  <c r="CF33" i="4" s="1"/>
  <c r="CF21" i="4"/>
  <c r="CG31" i="4"/>
  <c r="DT38" i="6"/>
  <c r="DU35" i="6" s="1"/>
  <c r="EF24" i="6" l="1"/>
  <c r="EG21" i="6" s="1"/>
  <c r="CG29" i="4"/>
  <c r="CG33" i="4" s="1"/>
  <c r="CG19" i="4"/>
  <c r="CG21" i="4" s="1"/>
  <c r="DU36" i="6"/>
  <c r="DU37" i="6" s="1"/>
  <c r="EG22" i="6" l="1"/>
  <c r="EG23" i="6" s="1"/>
  <c r="CH20" i="4"/>
  <c r="CH32" i="4" s="1"/>
  <c r="CH16" i="4"/>
  <c r="CH18" i="4" s="1"/>
  <c r="CH17" i="4" s="1"/>
  <c r="CH30" i="4" s="1"/>
  <c r="DU38" i="6"/>
  <c r="DV35" i="6" s="1"/>
  <c r="EG24" i="6" l="1"/>
  <c r="EH21" i="6" s="1"/>
  <c r="CH19" i="4"/>
  <c r="CI16" i="4" s="1"/>
  <c r="DV36" i="6"/>
  <c r="DV37" i="6" s="1"/>
  <c r="EH22" i="6" l="1"/>
  <c r="EH23" i="6" s="1"/>
  <c r="CH31" i="4"/>
  <c r="CH21" i="4"/>
  <c r="CI20" i="4"/>
  <c r="CI32" i="4" s="1"/>
  <c r="CH29" i="4"/>
  <c r="CI18" i="4"/>
  <c r="CI17" i="4" s="1"/>
  <c r="CI30" i="4" s="1"/>
  <c r="DV38" i="6"/>
  <c r="DW35" i="6" s="1"/>
  <c r="EH24" i="6" l="1"/>
  <c r="EI21" i="6" s="1"/>
  <c r="CH33" i="4"/>
  <c r="CI31" i="4"/>
  <c r="CI19" i="4"/>
  <c r="DW36" i="6"/>
  <c r="DW37" i="6" s="1"/>
  <c r="EI22" i="6" l="1"/>
  <c r="EI23" i="6" s="1"/>
  <c r="CI21" i="4"/>
  <c r="CJ16" i="4"/>
  <c r="CI29" i="4"/>
  <c r="CI33" i="4" s="1"/>
  <c r="CJ20" i="4"/>
  <c r="CJ32" i="4" s="1"/>
  <c r="DW38" i="6"/>
  <c r="DX35" i="6" s="1"/>
  <c r="EI24" i="6" l="1"/>
  <c r="EJ21" i="6" s="1"/>
  <c r="CJ18" i="4"/>
  <c r="CJ17" i="4" s="1"/>
  <c r="CJ30" i="4" s="1"/>
  <c r="DX36" i="6"/>
  <c r="DX37" i="6" s="1"/>
  <c r="EJ22" i="6" l="1"/>
  <c r="EJ23" i="6" s="1"/>
  <c r="CJ19" i="4"/>
  <c r="CK16" i="4" s="1"/>
  <c r="CJ31" i="4"/>
  <c r="DX38" i="6"/>
  <c r="DY35" i="6" s="1"/>
  <c r="EJ24" i="6" l="1"/>
  <c r="EK21" i="6" s="1"/>
  <c r="CJ21" i="4"/>
  <c r="CK18" i="4"/>
  <c r="CK17" i="4" s="1"/>
  <c r="CK30" i="4" s="1"/>
  <c r="CK20" i="4"/>
  <c r="CK32" i="4" s="1"/>
  <c r="CJ29" i="4"/>
  <c r="CJ33" i="4" s="1"/>
  <c r="DY36" i="6"/>
  <c r="DY37" i="6" s="1"/>
  <c r="EK22" i="6" l="1"/>
  <c r="EK23" i="6" s="1"/>
  <c r="CK19" i="4"/>
  <c r="CK31" i="4"/>
  <c r="DY38" i="6"/>
  <c r="DZ35" i="6" s="1"/>
  <c r="EK24" i="6" l="1"/>
  <c r="EL21" i="6" s="1"/>
  <c r="CL20" i="4"/>
  <c r="CL32" i="4" s="1"/>
  <c r="CK29" i="4"/>
  <c r="CK33" i="4" s="1"/>
  <c r="CK21" i="4"/>
  <c r="CL16" i="4"/>
  <c r="DZ36" i="6"/>
  <c r="DZ37" i="6" s="1"/>
  <c r="EL22" i="6" l="1"/>
  <c r="EL23" i="6" s="1"/>
  <c r="CL18" i="4"/>
  <c r="CL17" i="4" s="1"/>
  <c r="CL30" i="4" s="1"/>
  <c r="DZ38" i="6"/>
  <c r="EA35" i="6" s="1"/>
  <c r="EL24" i="6" l="1"/>
  <c r="EM21" i="6" s="1"/>
  <c r="CL19" i="4"/>
  <c r="CM16" i="4" s="1"/>
  <c r="CL31" i="4"/>
  <c r="EA36" i="6"/>
  <c r="EA37" i="6" s="1"/>
  <c r="EM22" i="6" l="1"/>
  <c r="EM23" i="6" s="1"/>
  <c r="CL21" i="4"/>
  <c r="CL29" i="4"/>
  <c r="CL33" i="4" s="1"/>
  <c r="CM20" i="4"/>
  <c r="CM32" i="4" s="1"/>
  <c r="CM18" i="4"/>
  <c r="CM17" i="4" s="1"/>
  <c r="CM30" i="4" s="1"/>
  <c r="EA38" i="6"/>
  <c r="EB35" i="6" s="1"/>
  <c r="EM24" i="6" l="1"/>
  <c r="EN21" i="6" s="1"/>
  <c r="CM31" i="4"/>
  <c r="CM19" i="4"/>
  <c r="EB36" i="6"/>
  <c r="EB37" i="6" s="1"/>
  <c r="EN22" i="6" l="1"/>
  <c r="EN23" i="6" s="1"/>
  <c r="CN16" i="4"/>
  <c r="CM21" i="4"/>
  <c r="CN20" i="4"/>
  <c r="CN32" i="4" s="1"/>
  <c r="CM29" i="4"/>
  <c r="CM33" i="4" s="1"/>
  <c r="EB38" i="6"/>
  <c r="EC35" i="6" s="1"/>
  <c r="EN24" i="6" l="1"/>
  <c r="EO21" i="6" s="1"/>
  <c r="CN18" i="4"/>
  <c r="CN17" i="4" s="1"/>
  <c r="CN30" i="4" s="1"/>
  <c r="EC36" i="6"/>
  <c r="EC37" i="6" s="1"/>
  <c r="EO22" i="6" l="1"/>
  <c r="EO23" i="6" s="1"/>
  <c r="CN19" i="4"/>
  <c r="CO16" i="4" s="1"/>
  <c r="CN31" i="4"/>
  <c r="EC38" i="6"/>
  <c r="ED35" i="6" s="1"/>
  <c r="EO24" i="6" l="1"/>
  <c r="EP21" i="6" s="1"/>
  <c r="CN21" i="4"/>
  <c r="CO20" i="4"/>
  <c r="CO32" i="4" s="1"/>
  <c r="CN29" i="4"/>
  <c r="CN33" i="4" s="1"/>
  <c r="CO18" i="4"/>
  <c r="CO17" i="4" s="1"/>
  <c r="CO30" i="4" s="1"/>
  <c r="ED36" i="6"/>
  <c r="ED37" i="6" s="1"/>
  <c r="EP22" i="6" l="1"/>
  <c r="EP23" i="6" s="1"/>
  <c r="CO31" i="4"/>
  <c r="CO19" i="4"/>
  <c r="ED38" i="6"/>
  <c r="EE35" i="6" s="1"/>
  <c r="EP24" i="6" l="1"/>
  <c r="EQ21" i="6" s="1"/>
  <c r="CP16" i="4"/>
  <c r="CO21" i="4"/>
  <c r="CO29" i="4"/>
  <c r="CO33" i="4" s="1"/>
  <c r="CP20" i="4"/>
  <c r="CP32" i="4" s="1"/>
  <c r="EE36" i="6"/>
  <c r="EE37" i="6" s="1"/>
  <c r="EQ22" i="6" l="1"/>
  <c r="EQ23" i="6" s="1"/>
  <c r="CP18" i="4"/>
  <c r="CP17" i="4" s="1"/>
  <c r="CP30" i="4" s="1"/>
  <c r="EE38" i="6"/>
  <c r="EF35" i="6" s="1"/>
  <c r="EQ24" i="6" l="1"/>
  <c r="ER21" i="6" s="1"/>
  <c r="CP19" i="4"/>
  <c r="CQ16" i="4" s="1"/>
  <c r="CP31" i="4"/>
  <c r="EF36" i="6"/>
  <c r="EF37" i="6" s="1"/>
  <c r="ER22" i="6" l="1"/>
  <c r="ER23" i="6" s="1"/>
  <c r="CP21" i="4"/>
  <c r="CQ20" i="4"/>
  <c r="CQ32" i="4" s="1"/>
  <c r="CP29" i="4"/>
  <c r="CP33" i="4" s="1"/>
  <c r="CQ18" i="4"/>
  <c r="CQ17" i="4" s="1"/>
  <c r="CQ30" i="4" s="1"/>
  <c r="EF38" i="6"/>
  <c r="EG35" i="6" s="1"/>
  <c r="ER24" i="6" l="1"/>
  <c r="ES21" i="6" s="1"/>
  <c r="CQ31" i="4"/>
  <c r="CQ19" i="4"/>
  <c r="EG36" i="6"/>
  <c r="EG37" i="6" s="1"/>
  <c r="ES22" i="6" l="1"/>
  <c r="ES23" i="6" s="1"/>
  <c r="CR16" i="4"/>
  <c r="CQ21" i="4"/>
  <c r="CQ29" i="4"/>
  <c r="CQ33" i="4" s="1"/>
  <c r="CR20" i="4"/>
  <c r="CR32" i="4" s="1"/>
  <c r="EG38" i="6"/>
  <c r="EH35" i="6" s="1"/>
  <c r="ES24" i="6" l="1"/>
  <c r="ET21" i="6" s="1"/>
  <c r="CR18" i="4"/>
  <c r="CR17" i="4" s="1"/>
  <c r="CR30" i="4" s="1"/>
  <c r="EH36" i="6"/>
  <c r="EH37" i="6" s="1"/>
  <c r="ET22" i="6" l="1"/>
  <c r="ET23" i="6" s="1"/>
  <c r="CR19" i="4"/>
  <c r="CR21" i="4" s="1"/>
  <c r="CR31" i="4"/>
  <c r="EH38" i="6"/>
  <c r="EI35" i="6" s="1"/>
  <c r="ET24" i="6" l="1"/>
  <c r="EU21" i="6" s="1"/>
  <c r="CS16" i="4"/>
  <c r="CR29" i="4"/>
  <c r="CR33" i="4" s="1"/>
  <c r="CS20" i="4"/>
  <c r="CS32" i="4" s="1"/>
  <c r="EI36" i="6"/>
  <c r="EI37" i="6" s="1"/>
  <c r="EU22" i="6" l="1"/>
  <c r="EU23" i="6" s="1"/>
  <c r="CS18" i="4"/>
  <c r="CS17" i="4" s="1"/>
  <c r="CS30" i="4" s="1"/>
  <c r="CS31" i="4"/>
  <c r="EI38" i="6"/>
  <c r="EJ35" i="6" s="1"/>
  <c r="EU24" i="6" l="1"/>
  <c r="EV21" i="6" s="1"/>
  <c r="CS19" i="4"/>
  <c r="CT16" i="4" s="1"/>
  <c r="CS29" i="4"/>
  <c r="CS33" i="4" s="1"/>
  <c r="EJ36" i="6"/>
  <c r="EJ37" i="6" s="1"/>
  <c r="EV22" i="6" l="1"/>
  <c r="EV23" i="6" s="1"/>
  <c r="CT20" i="4"/>
  <c r="CT32" i="4" s="1"/>
  <c r="CS21" i="4"/>
  <c r="CT18" i="4"/>
  <c r="CT17" i="4" s="1"/>
  <c r="CT30" i="4" s="1"/>
  <c r="EJ38" i="6"/>
  <c r="EK35" i="6" s="1"/>
  <c r="EV24" i="6" l="1"/>
  <c r="EW21" i="6" s="1"/>
  <c r="CT31" i="4"/>
  <c r="CT19" i="4"/>
  <c r="EK36" i="6"/>
  <c r="EK37" i="6" s="1"/>
  <c r="EW22" i="6" l="1"/>
  <c r="EW23" i="6" s="1"/>
  <c r="CT21" i="4"/>
  <c r="CU16" i="4"/>
  <c r="CT29" i="4"/>
  <c r="CT33" i="4" s="1"/>
  <c r="CU20" i="4"/>
  <c r="CU32" i="4" s="1"/>
  <c r="EK38" i="6"/>
  <c r="EL35" i="6" s="1"/>
  <c r="EW24" i="6" l="1"/>
  <c r="EX21" i="6" s="1"/>
  <c r="CU18" i="4"/>
  <c r="CU17" i="4" s="1"/>
  <c r="CU30" i="4" s="1"/>
  <c r="EL36" i="6"/>
  <c r="EL37" i="6" s="1"/>
  <c r="EX22" i="6" l="1"/>
  <c r="EX23" i="6" s="1"/>
  <c r="CU31" i="4"/>
  <c r="CU19" i="4"/>
  <c r="EL38" i="6"/>
  <c r="EM35" i="6" s="1"/>
  <c r="EX24" i="6" l="1"/>
  <c r="EY21" i="6" s="1"/>
  <c r="CV20" i="4"/>
  <c r="CV32" i="4" s="1"/>
  <c r="CU29" i="4"/>
  <c r="CU33" i="4" s="1"/>
  <c r="CV16" i="4"/>
  <c r="CU21" i="4"/>
  <c r="EM36" i="6"/>
  <c r="EM37" i="6" s="1"/>
  <c r="EY22" i="6" l="1"/>
  <c r="EY23" i="6" s="1"/>
  <c r="CV18" i="4"/>
  <c r="CV17" i="4" s="1"/>
  <c r="CV30" i="4" s="1"/>
  <c r="EM38" i="6"/>
  <c r="EN35" i="6" s="1"/>
  <c r="EY24" i="6" l="1"/>
  <c r="EZ21" i="6" s="1"/>
  <c r="CV31" i="4"/>
  <c r="CV19" i="4"/>
  <c r="EN36" i="6"/>
  <c r="EN37" i="6" s="1"/>
  <c r="EZ22" i="6" l="1"/>
  <c r="EZ23" i="6" s="1"/>
  <c r="CV29" i="4"/>
  <c r="CV33" i="4" s="1"/>
  <c r="CW20" i="4"/>
  <c r="CW32" i="4" s="1"/>
  <c r="CV21" i="4"/>
  <c r="CW16" i="4"/>
  <c r="EN38" i="6"/>
  <c r="EO35" i="6" s="1"/>
  <c r="EZ24" i="6" l="1"/>
  <c r="FA21" i="6" s="1"/>
  <c r="CW18" i="4"/>
  <c r="CW17" i="4" s="1"/>
  <c r="CW30" i="4" s="1"/>
  <c r="EO36" i="6"/>
  <c r="EO37" i="6" s="1"/>
  <c r="FA22" i="6" l="1"/>
  <c r="FA23" i="6" s="1"/>
  <c r="CW19" i="4"/>
  <c r="CW21" i="4" s="1"/>
  <c r="CW31" i="4"/>
  <c r="EO38" i="6"/>
  <c r="EP35" i="6" s="1"/>
  <c r="FA24" i="6" l="1"/>
  <c r="FB21" i="6" s="1"/>
  <c r="CX16" i="4"/>
  <c r="CW29" i="4"/>
  <c r="CW33" i="4" s="1"/>
  <c r="CX20" i="4"/>
  <c r="CX32" i="4" s="1"/>
  <c r="EP36" i="6"/>
  <c r="EP37" i="6" s="1"/>
  <c r="FB22" i="6" l="1"/>
  <c r="FB23" i="6" s="1"/>
  <c r="CX18" i="4"/>
  <c r="CX17" i="4" s="1"/>
  <c r="CX30" i="4" s="1"/>
  <c r="CX31" i="4"/>
  <c r="EP38" i="6"/>
  <c r="EQ35" i="6" s="1"/>
  <c r="FB24" i="6" l="1"/>
  <c r="FC21" i="6" s="1"/>
  <c r="CX19" i="4"/>
  <c r="CY16" i="4" s="1"/>
  <c r="CY20" i="4"/>
  <c r="CY32" i="4" s="1"/>
  <c r="EQ36" i="6"/>
  <c r="EQ37" i="6" s="1"/>
  <c r="FC22" i="6" l="1"/>
  <c r="FC23" i="6" s="1"/>
  <c r="EQ38" i="6"/>
  <c r="ER35" i="6" s="1"/>
  <c r="ER36" i="6" s="1"/>
  <c r="ER37" i="6" s="1"/>
  <c r="CX21" i="4"/>
  <c r="CX29" i="4"/>
  <c r="CX33" i="4" s="1"/>
  <c r="CY18" i="4"/>
  <c r="CY17" i="4" s="1"/>
  <c r="CY30" i="4" s="1"/>
  <c r="FC24" i="6" l="1"/>
  <c r="FD21" i="6" s="1"/>
  <c r="CY19" i="4"/>
  <c r="CY21" i="4" s="1"/>
  <c r="CY31" i="4"/>
  <c r="ER38" i="6"/>
  <c r="ES35" i="6" s="1"/>
  <c r="FD22" i="6" l="1"/>
  <c r="FD23" i="6" s="1"/>
  <c r="CZ16" i="4"/>
  <c r="CZ18" i="4" s="1"/>
  <c r="CZ17" i="4" s="1"/>
  <c r="CZ30" i="4" s="1"/>
  <c r="CZ20" i="4"/>
  <c r="CZ32" i="4" s="1"/>
  <c r="CY29" i="4"/>
  <c r="CY33" i="4" s="1"/>
  <c r="ES36" i="6"/>
  <c r="ES37" i="6" s="1"/>
  <c r="FD24" i="6" l="1"/>
  <c r="FE21" i="6" s="1"/>
  <c r="CZ31" i="4"/>
  <c r="CZ19" i="4"/>
  <c r="ES38" i="6"/>
  <c r="ET35" i="6" s="1"/>
  <c r="FE22" i="6" l="1"/>
  <c r="FE23" i="6" s="1"/>
  <c r="CZ29" i="4"/>
  <c r="CZ33" i="4" s="1"/>
  <c r="DA16" i="4"/>
  <c r="CZ21" i="4"/>
  <c r="ET36" i="6"/>
  <c r="ET37" i="6" s="1"/>
  <c r="FE24" i="6" l="1"/>
  <c r="FF21" i="6" s="1"/>
  <c r="DA20" i="4"/>
  <c r="DA32" i="4" s="1"/>
  <c r="DA18" i="4"/>
  <c r="DA17" i="4" s="1"/>
  <c r="DA30" i="4" s="1"/>
  <c r="ET38" i="6"/>
  <c r="EU35" i="6" s="1"/>
  <c r="FF22" i="6" l="1"/>
  <c r="FF23" i="6" s="1"/>
  <c r="DA19" i="4"/>
  <c r="DB16" i="4" s="1"/>
  <c r="DA31" i="4"/>
  <c r="EU36" i="6"/>
  <c r="EU37" i="6" s="1"/>
  <c r="FF24" i="6" l="1"/>
  <c r="FG21" i="6" s="1"/>
  <c r="DA21" i="4"/>
  <c r="DB18" i="4"/>
  <c r="DB17" i="4" s="1"/>
  <c r="DB30" i="4" s="1"/>
  <c r="DA29" i="4"/>
  <c r="DA33" i="4" s="1"/>
  <c r="DB20" i="4"/>
  <c r="DB32" i="4" s="1"/>
  <c r="EU38" i="6"/>
  <c r="EV35" i="6" s="1"/>
  <c r="FG22" i="6" l="1"/>
  <c r="FG23" i="6" s="1"/>
  <c r="DB31" i="4"/>
  <c r="DB19" i="4"/>
  <c r="EV36" i="6"/>
  <c r="EV37" i="6" s="1"/>
  <c r="FG24" i="6" l="1"/>
  <c r="FH21" i="6" s="1"/>
  <c r="DB29" i="4"/>
  <c r="DB33" i="4" s="1"/>
  <c r="DC20" i="4"/>
  <c r="DC32" i="4" s="1"/>
  <c r="DB21" i="4"/>
  <c r="DC16" i="4"/>
  <c r="EV38" i="6"/>
  <c r="EW35" i="6" s="1"/>
  <c r="FH22" i="6" l="1"/>
  <c r="FH23" i="6" s="1"/>
  <c r="DC18" i="4"/>
  <c r="DC17" i="4" s="1"/>
  <c r="DC30" i="4" s="1"/>
  <c r="EW36" i="6"/>
  <c r="EW37" i="6" s="1"/>
  <c r="FH24" i="6" l="1"/>
  <c r="FI21" i="6" s="1"/>
  <c r="DC31" i="4"/>
  <c r="DC19" i="4"/>
  <c r="EW38" i="6"/>
  <c r="EX35" i="6" s="1"/>
  <c r="FI22" i="6" l="1"/>
  <c r="FI23" i="6" s="1"/>
  <c r="DC21" i="4"/>
  <c r="DD16" i="4"/>
  <c r="DD20" i="4"/>
  <c r="DD32" i="4" s="1"/>
  <c r="DC29" i="4"/>
  <c r="DC33" i="4" s="1"/>
  <c r="EX36" i="6"/>
  <c r="EX37" i="6" s="1"/>
  <c r="FI24" i="6" l="1"/>
  <c r="FJ21" i="6" s="1"/>
  <c r="DD18" i="4"/>
  <c r="DD17" i="4" s="1"/>
  <c r="DD30" i="4" s="1"/>
  <c r="EX38" i="6"/>
  <c r="EY35" i="6" s="1"/>
  <c r="FJ22" i="6" l="1"/>
  <c r="FJ23" i="6" s="1"/>
  <c r="DD31" i="4"/>
  <c r="DD19" i="4"/>
  <c r="EY36" i="6"/>
  <c r="EY37" i="6" s="1"/>
  <c r="FJ24" i="6" l="1"/>
  <c r="FK21" i="6" s="1"/>
  <c r="DD21" i="4"/>
  <c r="DE16" i="4"/>
  <c r="DE20" i="4"/>
  <c r="DE32" i="4" s="1"/>
  <c r="DD29" i="4"/>
  <c r="DD33" i="4" s="1"/>
  <c r="EY38" i="6"/>
  <c r="EZ35" i="6" s="1"/>
  <c r="FK22" i="6" l="1"/>
  <c r="FK23" i="6" s="1"/>
  <c r="DE18" i="4"/>
  <c r="DE17" i="4" s="1"/>
  <c r="DE30" i="4" s="1"/>
  <c r="EZ36" i="6"/>
  <c r="EZ37" i="6" s="1"/>
  <c r="FK24" i="6" l="1"/>
  <c r="FL21" i="6" s="1"/>
  <c r="DE19" i="4"/>
  <c r="DE21" i="4" s="1"/>
  <c r="DE31" i="4"/>
  <c r="EZ38" i="6"/>
  <c r="FA35" i="6" s="1"/>
  <c r="FL22" i="6" l="1"/>
  <c r="FL23" i="6" s="1"/>
  <c r="DF16" i="4"/>
  <c r="DE29" i="4"/>
  <c r="DE33" i="4" s="1"/>
  <c r="DF20" i="4"/>
  <c r="DF32" i="4" s="1"/>
  <c r="FA36" i="6"/>
  <c r="FA37" i="6" s="1"/>
  <c r="FL24" i="6" l="1"/>
  <c r="FM21" i="6" s="1"/>
  <c r="DF18" i="4"/>
  <c r="DF17" i="4" s="1"/>
  <c r="DF30" i="4" s="1"/>
  <c r="DF31" i="4"/>
  <c r="FA38" i="6"/>
  <c r="FB35" i="6" s="1"/>
  <c r="FM22" i="6" l="1"/>
  <c r="FM23" i="6" s="1"/>
  <c r="DF19" i="4"/>
  <c r="DG16" i="4" s="1"/>
  <c r="DG20" i="4"/>
  <c r="DG32" i="4" s="1"/>
  <c r="FB36" i="6"/>
  <c r="FB37" i="6" s="1"/>
  <c r="FM24" i="6" l="1"/>
  <c r="FN21" i="6" s="1"/>
  <c r="DF29" i="4"/>
  <c r="DF33" i="4" s="1"/>
  <c r="DF21" i="4"/>
  <c r="DG18" i="4"/>
  <c r="DG17" i="4" s="1"/>
  <c r="DG30" i="4" s="1"/>
  <c r="FB38" i="6"/>
  <c r="FC35" i="6" s="1"/>
  <c r="FN22" i="6" l="1"/>
  <c r="FN23" i="6" s="1"/>
  <c r="DG31" i="4"/>
  <c r="DG19" i="4"/>
  <c r="FC36" i="6"/>
  <c r="FC37" i="6" s="1"/>
  <c r="FC38" i="6" l="1"/>
  <c r="FD35" i="6" s="1"/>
  <c r="FD36" i="6" s="1"/>
  <c r="FD37" i="6" s="1"/>
  <c r="FN24" i="6"/>
  <c r="FO21" i="6" s="1"/>
  <c r="DH20" i="4"/>
  <c r="DH32" i="4" s="1"/>
  <c r="DG29" i="4"/>
  <c r="DG33" i="4" s="1"/>
  <c r="DG21" i="4"/>
  <c r="DH16" i="4"/>
  <c r="FO22" i="6" l="1"/>
  <c r="FO23" i="6" s="1"/>
  <c r="DH18" i="4"/>
  <c r="DH17" i="4" s="1"/>
  <c r="DH30" i="4" s="1"/>
  <c r="FD38" i="6"/>
  <c r="FE35" i="6" s="1"/>
  <c r="FO24" i="6" l="1"/>
  <c r="FP21" i="6" s="1"/>
  <c r="DH19" i="4"/>
  <c r="DH31" i="4"/>
  <c r="FE36" i="6"/>
  <c r="FE37" i="6" s="1"/>
  <c r="FP22" i="6" l="1"/>
  <c r="FP23" i="6" s="1"/>
  <c r="DH21" i="4"/>
  <c r="DI16" i="4"/>
  <c r="DI20" i="4"/>
  <c r="DI32" i="4" s="1"/>
  <c r="DH29" i="4"/>
  <c r="DH33" i="4" s="1"/>
  <c r="FE38" i="6"/>
  <c r="FF35" i="6" s="1"/>
  <c r="FP24" i="6" l="1"/>
  <c r="FQ21" i="6" s="1"/>
  <c r="DI18" i="4"/>
  <c r="DI17" i="4" s="1"/>
  <c r="DI30" i="4" s="1"/>
  <c r="FF36" i="6"/>
  <c r="FF37" i="6" s="1"/>
  <c r="FQ22" i="6" l="1"/>
  <c r="FQ23" i="6" s="1"/>
  <c r="DI31" i="4"/>
  <c r="DI19" i="4"/>
  <c r="FF38" i="6"/>
  <c r="FG35" i="6" s="1"/>
  <c r="FQ24" i="6" l="1"/>
  <c r="FR21" i="6" s="1"/>
  <c r="DJ20" i="4"/>
  <c r="DJ32" i="4" s="1"/>
  <c r="DI29" i="4"/>
  <c r="DI33" i="4" s="1"/>
  <c r="DJ16" i="4"/>
  <c r="DI21" i="4"/>
  <c r="FG36" i="6"/>
  <c r="FG37" i="6" s="1"/>
  <c r="FR22" i="6" l="1"/>
  <c r="FR23" i="6" s="1"/>
  <c r="FG38" i="6"/>
  <c r="FH35" i="6" s="1"/>
  <c r="FH36" i="6" s="1"/>
  <c r="FH37" i="6" s="1"/>
  <c r="DJ18" i="4"/>
  <c r="DJ17" i="4" s="1"/>
  <c r="DJ30" i="4" s="1"/>
  <c r="FR24" i="6" l="1"/>
  <c r="FS21" i="6" s="1"/>
  <c r="DJ19" i="4"/>
  <c r="DJ31" i="4"/>
  <c r="FH38" i="6"/>
  <c r="FI35" i="6" s="1"/>
  <c r="FS22" i="6" l="1"/>
  <c r="FS23" i="6" s="1"/>
  <c r="DJ29" i="4"/>
  <c r="DJ33" i="4" s="1"/>
  <c r="DK20" i="4"/>
  <c r="DK32" i="4" s="1"/>
  <c r="DK16" i="4"/>
  <c r="DJ21" i="4"/>
  <c r="FI36" i="6"/>
  <c r="FI37" i="6" s="1"/>
  <c r="FS24" i="6" l="1"/>
  <c r="FT21" i="6" s="1"/>
  <c r="DK18" i="4"/>
  <c r="DK17" i="4" s="1"/>
  <c r="DK30" i="4" s="1"/>
  <c r="FI38" i="6"/>
  <c r="FJ35" i="6" s="1"/>
  <c r="FT22" i="6" l="1"/>
  <c r="FT23" i="6" s="1"/>
  <c r="DK19" i="4"/>
  <c r="DL16" i="4" s="1"/>
  <c r="DK31" i="4"/>
  <c r="FJ36" i="6"/>
  <c r="FJ37" i="6" s="1"/>
  <c r="FT24" i="6" l="1"/>
  <c r="FU21" i="6" s="1"/>
  <c r="FJ38" i="6"/>
  <c r="FK35" i="6" s="1"/>
  <c r="FK36" i="6" s="1"/>
  <c r="FK37" i="6" s="1"/>
  <c r="DK21" i="4"/>
  <c r="DL20" i="4"/>
  <c r="DL32" i="4" s="1"/>
  <c r="DK29" i="4"/>
  <c r="DK33" i="4" s="1"/>
  <c r="DL18" i="4"/>
  <c r="DL17" i="4" s="1"/>
  <c r="DL30" i="4" s="1"/>
  <c r="FU22" i="6" l="1"/>
  <c r="FU23" i="6" s="1"/>
  <c r="DL19" i="4"/>
  <c r="DL21" i="4" s="1"/>
  <c r="DL31" i="4"/>
  <c r="FK38" i="6"/>
  <c r="FL35" i="6" s="1"/>
  <c r="FU24" i="6" l="1"/>
  <c r="FV21" i="6" s="1"/>
  <c r="DM16" i="4"/>
  <c r="DM18" i="4" s="1"/>
  <c r="DM17" i="4" s="1"/>
  <c r="DM30" i="4" s="1"/>
  <c r="DL29" i="4"/>
  <c r="DL33" i="4" s="1"/>
  <c r="DM20" i="4"/>
  <c r="DM32" i="4" s="1"/>
  <c r="FL36" i="6"/>
  <c r="FL37" i="6" s="1"/>
  <c r="FV22" i="6" l="1"/>
  <c r="FV23" i="6" s="1"/>
  <c r="DM31" i="4"/>
  <c r="DM19" i="4"/>
  <c r="FL38" i="6"/>
  <c r="FM35" i="6" s="1"/>
  <c r="FV24" i="6" l="1"/>
  <c r="FW21" i="6" s="1"/>
  <c r="DN20" i="4"/>
  <c r="DN32" i="4" s="1"/>
  <c r="DM21" i="4"/>
  <c r="DN16" i="4"/>
  <c r="FM36" i="6"/>
  <c r="FM37" i="6" s="1"/>
  <c r="FW22" i="6" l="1"/>
  <c r="FW23" i="6" s="1"/>
  <c r="DM29" i="4"/>
  <c r="DM33" i="4" s="1"/>
  <c r="DN18" i="4"/>
  <c r="DN17" i="4" s="1"/>
  <c r="DN30" i="4" s="1"/>
  <c r="FM38" i="6"/>
  <c r="FN35" i="6" s="1"/>
  <c r="FW24" i="6" l="1"/>
  <c r="FX21" i="6" s="1"/>
  <c r="DN31" i="4"/>
  <c r="DN19" i="4"/>
  <c r="FN36" i="6"/>
  <c r="FN37" i="6" s="1"/>
  <c r="FX22" i="6" l="1"/>
  <c r="FX23" i="6" s="1"/>
  <c r="DN29" i="4"/>
  <c r="DN33" i="4" s="1"/>
  <c r="DO20" i="4"/>
  <c r="DO32" i="4" s="1"/>
  <c r="DO16" i="4"/>
  <c r="DN21" i="4"/>
  <c r="FN38" i="6"/>
  <c r="FO35" i="6" s="1"/>
  <c r="FX24" i="6" l="1"/>
  <c r="FY21" i="6" s="1"/>
  <c r="DO18" i="4"/>
  <c r="DO17" i="4" s="1"/>
  <c r="DO30" i="4" s="1"/>
  <c r="FO36" i="6"/>
  <c r="FO37" i="6" s="1"/>
  <c r="FY22" i="6" l="1"/>
  <c r="FY23" i="6" s="1"/>
  <c r="DO19" i="4"/>
  <c r="DO31" i="4"/>
  <c r="FO38" i="6"/>
  <c r="FP35" i="6" s="1"/>
  <c r="FY24" i="6" l="1"/>
  <c r="FZ21" i="6" s="1"/>
  <c r="DO21" i="4"/>
  <c r="DP16" i="4"/>
  <c r="DP20" i="4"/>
  <c r="DP32" i="4" s="1"/>
  <c r="DO29" i="4"/>
  <c r="DO33" i="4" s="1"/>
  <c r="FP36" i="6"/>
  <c r="FP37" i="6" s="1"/>
  <c r="FZ22" i="6" l="1"/>
  <c r="FZ23" i="6" s="1"/>
  <c r="DP18" i="4"/>
  <c r="DP17" i="4" s="1"/>
  <c r="DP30" i="4" s="1"/>
  <c r="FP38" i="6"/>
  <c r="FQ35" i="6" s="1"/>
  <c r="FZ24" i="6" l="1"/>
  <c r="GA21" i="6" s="1"/>
  <c r="DP19" i="4"/>
  <c r="DP21" i="4" s="1"/>
  <c r="DP31" i="4"/>
  <c r="FQ36" i="6"/>
  <c r="FQ37" i="6" s="1"/>
  <c r="GA22" i="6" l="1"/>
  <c r="GA23" i="6" s="1"/>
  <c r="DQ16" i="4"/>
  <c r="DQ20" i="4"/>
  <c r="DQ32" i="4" s="1"/>
  <c r="DP29" i="4"/>
  <c r="DP33" i="4" s="1"/>
  <c r="FQ38" i="6"/>
  <c r="FR35" i="6" s="1"/>
  <c r="GA24" i="6" l="1"/>
  <c r="GB21" i="6" s="1"/>
  <c r="DQ18" i="4"/>
  <c r="DQ17" i="4" s="1"/>
  <c r="DQ30" i="4" s="1"/>
  <c r="DQ31" i="4"/>
  <c r="FR36" i="6"/>
  <c r="FR37" i="6" s="1"/>
  <c r="GB22" i="6" l="1"/>
  <c r="GB23" i="6" s="1"/>
  <c r="DQ19" i="4"/>
  <c r="DR16" i="4" s="1"/>
  <c r="DR20" i="4"/>
  <c r="DR32" i="4" s="1"/>
  <c r="FR38" i="6"/>
  <c r="FS35" i="6" s="1"/>
  <c r="GB24" i="6" l="1"/>
  <c r="GC21" i="6" s="1"/>
  <c r="DR18" i="4"/>
  <c r="DR17" i="4" s="1"/>
  <c r="DR30" i="4" s="1"/>
  <c r="DQ21" i="4"/>
  <c r="DQ29" i="4"/>
  <c r="DQ33" i="4" s="1"/>
  <c r="DR31" i="4"/>
  <c r="FS36" i="6"/>
  <c r="FS37" i="6" s="1"/>
  <c r="GC22" i="6" l="1"/>
  <c r="GC23" i="6" s="1"/>
  <c r="DS20" i="4"/>
  <c r="DS32" i="4" s="1"/>
  <c r="DR19" i="4"/>
  <c r="DS16" i="4" s="1"/>
  <c r="FS38" i="6"/>
  <c r="FT35" i="6" s="1"/>
  <c r="GC24" i="6" l="1"/>
  <c r="GD21" i="6" s="1"/>
  <c r="DR29" i="4"/>
  <c r="DR33" i="4" s="1"/>
  <c r="DR21" i="4"/>
  <c r="DS18" i="4"/>
  <c r="DS17" i="4" s="1"/>
  <c r="DS30" i="4" s="1"/>
  <c r="FT36" i="6"/>
  <c r="FT37" i="6" s="1"/>
  <c r="GD22" i="6" l="1"/>
  <c r="GD23" i="6" s="1"/>
  <c r="DS19" i="4"/>
  <c r="DS31" i="4"/>
  <c r="FT38" i="6"/>
  <c r="FU35" i="6" s="1"/>
  <c r="GD24" i="6" l="1"/>
  <c r="GE21" i="6" s="1"/>
  <c r="DS29" i="4"/>
  <c r="DS33" i="4" s="1"/>
  <c r="DT20" i="4"/>
  <c r="DT32" i="4" s="1"/>
  <c r="DS21" i="4"/>
  <c r="DT16" i="4"/>
  <c r="FU36" i="6"/>
  <c r="FU37" i="6" s="1"/>
  <c r="GE22" i="6" l="1"/>
  <c r="GE23" i="6" s="1"/>
  <c r="FU38" i="6"/>
  <c r="FV35" i="6" s="1"/>
  <c r="FV36" i="6" s="1"/>
  <c r="FV37" i="6" s="1"/>
  <c r="DT18" i="4"/>
  <c r="DT17" i="4" s="1"/>
  <c r="DT30" i="4" s="1"/>
  <c r="GE24" i="6" l="1"/>
  <c r="GF21" i="6" s="1"/>
  <c r="GF22" i="6" s="1"/>
  <c r="GF23" i="6" s="1"/>
  <c r="GF24" i="6" s="1"/>
  <c r="GG21" i="6" s="1"/>
  <c r="DT19" i="4"/>
  <c r="DU16" i="4" s="1"/>
  <c r="DT31" i="4"/>
  <c r="FV38" i="6"/>
  <c r="FW35" i="6" s="1"/>
  <c r="GG22" i="6" l="1"/>
  <c r="GG23" i="6" s="1"/>
  <c r="DT21" i="4"/>
  <c r="DU20" i="4"/>
  <c r="DU32" i="4" s="1"/>
  <c r="DT29" i="4"/>
  <c r="DT33" i="4" s="1"/>
  <c r="DU18" i="4"/>
  <c r="DU17" i="4" s="1"/>
  <c r="DU30" i="4" s="1"/>
  <c r="FW36" i="6"/>
  <c r="FW37" i="6" s="1"/>
  <c r="GG24" i="6" l="1"/>
  <c r="GH21" i="6" s="1"/>
  <c r="DU31" i="4"/>
  <c r="DU19" i="4"/>
  <c r="FW38" i="6"/>
  <c r="FX35" i="6" s="1"/>
  <c r="GH22" i="6" l="1"/>
  <c r="GH23" i="6" s="1"/>
  <c r="DV16" i="4"/>
  <c r="DU21" i="4"/>
  <c r="DU29" i="4"/>
  <c r="DU33" i="4" s="1"/>
  <c r="DV20" i="4"/>
  <c r="DV32" i="4" s="1"/>
  <c r="FX36" i="6"/>
  <c r="FX37" i="6" s="1"/>
  <c r="GH24" i="6" l="1"/>
  <c r="GI21" i="6" s="1"/>
  <c r="DV18" i="4"/>
  <c r="DV17" i="4" s="1"/>
  <c r="DV30" i="4" s="1"/>
  <c r="FX38" i="6"/>
  <c r="FY35" i="6" s="1"/>
  <c r="F31" i="6"/>
  <c r="GI22" i="6" l="1"/>
  <c r="GI23" i="6" s="1"/>
  <c r="DV19" i="4"/>
  <c r="DV31" i="4"/>
  <c r="FY36" i="6"/>
  <c r="FY37" i="6" s="1"/>
  <c r="GI24" i="6" l="1"/>
  <c r="GJ21" i="6" s="1"/>
  <c r="DV21" i="4"/>
  <c r="DW16" i="4"/>
  <c r="DW20" i="4"/>
  <c r="DW32" i="4" s="1"/>
  <c r="DV29" i="4"/>
  <c r="DV33" i="4" s="1"/>
  <c r="FY38" i="6"/>
  <c r="FZ35" i="6" s="1"/>
  <c r="GJ22" i="6" l="1"/>
  <c r="GJ23" i="6" s="1"/>
  <c r="DW18" i="4"/>
  <c r="DW17" i="4" s="1"/>
  <c r="DW30" i="4" s="1"/>
  <c r="FZ36" i="6"/>
  <c r="FZ37" i="6" s="1"/>
  <c r="GJ24" i="6" l="1"/>
  <c r="GK21" i="6" s="1"/>
  <c r="DW31" i="4"/>
  <c r="DW19" i="4"/>
  <c r="FZ38" i="6"/>
  <c r="GA35" i="6" s="1"/>
  <c r="GK22" i="6" l="1"/>
  <c r="GK23" i="6" s="1"/>
  <c r="DW29" i="4"/>
  <c r="DW33" i="4" s="1"/>
  <c r="DX20" i="4"/>
  <c r="DX32" i="4" s="1"/>
  <c r="DX16" i="4"/>
  <c r="DW21" i="4"/>
  <c r="GA36" i="6"/>
  <c r="GA37" i="6" s="1"/>
  <c r="GK24" i="6" l="1"/>
  <c r="GL21" i="6" s="1"/>
  <c r="DX18" i="4"/>
  <c r="DX17" i="4" s="1"/>
  <c r="DX30" i="4" s="1"/>
  <c r="GA38" i="6"/>
  <c r="GB35" i="6" s="1"/>
  <c r="GL22" i="6" l="1"/>
  <c r="GL23" i="6" s="1"/>
  <c r="DX19" i="4"/>
  <c r="DX31" i="4"/>
  <c r="GB36" i="6"/>
  <c r="GB37" i="6" s="1"/>
  <c r="GL24" i="6" l="1"/>
  <c r="GM21" i="6" s="1"/>
  <c r="DY20" i="4"/>
  <c r="DY32" i="4" s="1"/>
  <c r="DX29" i="4"/>
  <c r="DX33" i="4" s="1"/>
  <c r="DX21" i="4"/>
  <c r="DY16" i="4"/>
  <c r="GB38" i="6"/>
  <c r="GC35" i="6" s="1"/>
  <c r="GM22" i="6" l="1"/>
  <c r="GM23" i="6" s="1"/>
  <c r="DY18" i="4"/>
  <c r="DY17" i="4" s="1"/>
  <c r="DY30" i="4" s="1"/>
  <c r="GC36" i="6"/>
  <c r="GC37" i="6" s="1"/>
  <c r="GM24" i="6" l="1"/>
  <c r="GN21" i="6" s="1"/>
  <c r="DY19" i="4"/>
  <c r="DY21" i="4" s="1"/>
  <c r="DY31" i="4"/>
  <c r="GC38" i="6"/>
  <c r="GD35" i="6" s="1"/>
  <c r="GN22" i="6" l="1"/>
  <c r="GN23" i="6" s="1"/>
  <c r="DZ16" i="4"/>
  <c r="DY29" i="4"/>
  <c r="DY33" i="4" s="1"/>
  <c r="DZ20" i="4"/>
  <c r="DZ32" i="4" s="1"/>
  <c r="GD36" i="6"/>
  <c r="GD37" i="6" s="1"/>
  <c r="GN24" i="6" l="1"/>
  <c r="GO21" i="6" s="1"/>
  <c r="DZ18" i="4"/>
  <c r="DZ17" i="4" s="1"/>
  <c r="DZ30" i="4" s="1"/>
  <c r="DZ31" i="4"/>
  <c r="GD38" i="6"/>
  <c r="GE35" i="6" s="1"/>
  <c r="GO22" i="6" l="1"/>
  <c r="GO23" i="6" s="1"/>
  <c r="DZ29" i="4"/>
  <c r="DZ33" i="4" s="1"/>
  <c r="DZ19" i="4"/>
  <c r="DZ21" i="4" s="1"/>
  <c r="GE36" i="6"/>
  <c r="GE37" i="6" s="1"/>
  <c r="GO24" i="6" l="1"/>
  <c r="GP21" i="6" s="1"/>
  <c r="EA20" i="4"/>
  <c r="EA32" i="4" s="1"/>
  <c r="EA16" i="4"/>
  <c r="EA18" i="4" s="1"/>
  <c r="EA17" i="4" s="1"/>
  <c r="EA30" i="4" s="1"/>
  <c r="GE38" i="6"/>
  <c r="GF35" i="6" s="1"/>
  <c r="GP22" i="6" l="1"/>
  <c r="GP23" i="6" s="1"/>
  <c r="EA29" i="4"/>
  <c r="EA19" i="4"/>
  <c r="EB16" i="4" s="1"/>
  <c r="GF36" i="6"/>
  <c r="GF37" i="6" s="1"/>
  <c r="GP24" i="6" l="1"/>
  <c r="GQ21" i="6" s="1"/>
  <c r="EA21" i="4"/>
  <c r="EB20" i="4"/>
  <c r="EB32" i="4" s="1"/>
  <c r="EA31" i="4"/>
  <c r="EA33" i="4" s="1"/>
  <c r="EB18" i="4"/>
  <c r="EB17" i="4" s="1"/>
  <c r="EB30" i="4" s="1"/>
  <c r="GF38" i="6"/>
  <c r="GG35" i="6" s="1"/>
  <c r="GQ22" i="6" l="1"/>
  <c r="GQ23" i="6" s="1"/>
  <c r="EB19" i="4"/>
  <c r="EC16" i="4" s="1"/>
  <c r="EB31" i="4"/>
  <c r="GG36" i="6"/>
  <c r="GG37" i="6" s="1"/>
  <c r="GQ24" i="6" l="1"/>
  <c r="GR21" i="6" s="1"/>
  <c r="EB21" i="4"/>
  <c r="EC20" i="4"/>
  <c r="EC32" i="4" s="1"/>
  <c r="EB29" i="4"/>
  <c r="EB33" i="4" s="1"/>
  <c r="EC18" i="4"/>
  <c r="EC17" i="4" s="1"/>
  <c r="EC30" i="4" s="1"/>
  <c r="GG38" i="6"/>
  <c r="GH35" i="6" s="1"/>
  <c r="GR22" i="6" l="1"/>
  <c r="GR23" i="6" s="1"/>
  <c r="EC31" i="4"/>
  <c r="EC19" i="4"/>
  <c r="GH36" i="6"/>
  <c r="GH37" i="6" s="1"/>
  <c r="GR24" i="6" l="1"/>
  <c r="GS21" i="6" s="1"/>
  <c r="ED16" i="4"/>
  <c r="EC21" i="4"/>
  <c r="EC29" i="4"/>
  <c r="EC33" i="4" s="1"/>
  <c r="ED20" i="4"/>
  <c r="ED32" i="4" s="1"/>
  <c r="GH38" i="6"/>
  <c r="GI35" i="6" s="1"/>
  <c r="GS22" i="6" l="1"/>
  <c r="GS23" i="6" s="1"/>
  <c r="ED18" i="4"/>
  <c r="ED17" i="4" s="1"/>
  <c r="ED30" i="4" s="1"/>
  <c r="GI36" i="6"/>
  <c r="GI37" i="6" s="1"/>
  <c r="GS24" i="6" l="1"/>
  <c r="GT21" i="6" s="1"/>
  <c r="ED19" i="4"/>
  <c r="EE16" i="4" s="1"/>
  <c r="ED31" i="4"/>
  <c r="GI38" i="6"/>
  <c r="GJ35" i="6" s="1"/>
  <c r="GT22" i="6" l="1"/>
  <c r="GT23" i="6" s="1"/>
  <c r="ED21" i="4"/>
  <c r="EE20" i="4"/>
  <c r="EE32" i="4" s="1"/>
  <c r="ED29" i="4"/>
  <c r="ED33" i="4" s="1"/>
  <c r="EE18" i="4"/>
  <c r="EE17" i="4" s="1"/>
  <c r="EE30" i="4" s="1"/>
  <c r="GJ36" i="6"/>
  <c r="GJ37" i="6" s="1"/>
  <c r="GT24" i="6" l="1"/>
  <c r="GU21" i="6" s="1"/>
  <c r="EE31" i="4"/>
  <c r="EE19" i="4"/>
  <c r="GJ38" i="6"/>
  <c r="GK35" i="6" s="1"/>
  <c r="GU22" i="6" l="1"/>
  <c r="GU23" i="6" s="1"/>
  <c r="EE21" i="4"/>
  <c r="EF16" i="4"/>
  <c r="EF20" i="4"/>
  <c r="EF32" i="4" s="1"/>
  <c r="EE29" i="4"/>
  <c r="EE33" i="4" s="1"/>
  <c r="GK36" i="6"/>
  <c r="GK37" i="6" s="1"/>
  <c r="GU24" i="6" l="1"/>
  <c r="GV21" i="6" s="1"/>
  <c r="EF18" i="4"/>
  <c r="EF17" i="4" s="1"/>
  <c r="EF30" i="4" s="1"/>
  <c r="GK38" i="6"/>
  <c r="GL35" i="6" s="1"/>
  <c r="GV22" i="6" l="1"/>
  <c r="GV23" i="6" s="1"/>
  <c r="EF19" i="4"/>
  <c r="EF21" i="4" s="1"/>
  <c r="EF31" i="4"/>
  <c r="GL36" i="6"/>
  <c r="GL37" i="6" s="1"/>
  <c r="GV24" i="6" l="1"/>
  <c r="GW21" i="6" s="1"/>
  <c r="EG16" i="4"/>
  <c r="EF29" i="4"/>
  <c r="EF33" i="4" s="1"/>
  <c r="EG20" i="4"/>
  <c r="EG32" i="4" s="1"/>
  <c r="GL38" i="6"/>
  <c r="GM35" i="6" s="1"/>
  <c r="GW22" i="6" l="1"/>
  <c r="GW23" i="6" s="1"/>
  <c r="EG18" i="4"/>
  <c r="EG17" i="4" s="1"/>
  <c r="EG30" i="4" s="1"/>
  <c r="EG31" i="4"/>
  <c r="GM36" i="6"/>
  <c r="GM37" i="6" s="1"/>
  <c r="GW24" i="6" l="1"/>
  <c r="GX21" i="6" s="1"/>
  <c r="EH20" i="4"/>
  <c r="EH32" i="4" s="1"/>
  <c r="EG19" i="4"/>
  <c r="EH16" i="4" s="1"/>
  <c r="GM38" i="6"/>
  <c r="GN35" i="6" s="1"/>
  <c r="GX22" i="6" l="1"/>
  <c r="GX23" i="6" s="1"/>
  <c r="EG29" i="4"/>
  <c r="EG33" i="4" s="1"/>
  <c r="EG21" i="4"/>
  <c r="EH18" i="4"/>
  <c r="EH17" i="4" s="1"/>
  <c r="EH30" i="4" s="1"/>
  <c r="GN36" i="6"/>
  <c r="GN37" i="6" s="1"/>
  <c r="GX24" i="6" l="1"/>
  <c r="EH19" i="4"/>
  <c r="EI16" i="4" s="1"/>
  <c r="EH31" i="4"/>
  <c r="GN38" i="6"/>
  <c r="GO35" i="6" s="1"/>
  <c r="EH21" i="4" l="1"/>
  <c r="EI20" i="4"/>
  <c r="EI32" i="4" s="1"/>
  <c r="EH29" i="4"/>
  <c r="EH33" i="4" s="1"/>
  <c r="EI18" i="4"/>
  <c r="EI17" i="4" s="1"/>
  <c r="EI30" i="4" s="1"/>
  <c r="GO36" i="6"/>
  <c r="GO37" i="6" s="1"/>
  <c r="EI19" i="4" l="1"/>
  <c r="EJ16" i="4" s="1"/>
  <c r="EI31" i="4"/>
  <c r="GO38" i="6"/>
  <c r="GP35" i="6" s="1"/>
  <c r="EI21" i="4" l="1"/>
  <c r="EJ20" i="4"/>
  <c r="EJ32" i="4" s="1"/>
  <c r="EI29" i="4"/>
  <c r="EI33" i="4" s="1"/>
  <c r="EJ18" i="4"/>
  <c r="EJ17" i="4" s="1"/>
  <c r="EJ30" i="4" s="1"/>
  <c r="GP36" i="6"/>
  <c r="GP37" i="6" s="1"/>
  <c r="EJ31" i="4" l="1"/>
  <c r="EJ19" i="4"/>
  <c r="GP38" i="6"/>
  <c r="GQ35" i="6" s="1"/>
  <c r="EK16" i="4" l="1"/>
  <c r="EJ21" i="4"/>
  <c r="EK20" i="4"/>
  <c r="EK32" i="4" s="1"/>
  <c r="EJ29" i="4"/>
  <c r="EJ33" i="4" s="1"/>
  <c r="GQ36" i="6"/>
  <c r="GQ37" i="6" s="1"/>
  <c r="EK18" i="4" l="1"/>
  <c r="EK17" i="4" s="1"/>
  <c r="EK30" i="4" s="1"/>
  <c r="GQ38" i="6"/>
  <c r="GR35" i="6" s="1"/>
  <c r="EK19" i="4" l="1"/>
  <c r="EL16" i="4" s="1"/>
  <c r="EK31" i="4"/>
  <c r="GR36" i="6"/>
  <c r="GR37" i="6" s="1"/>
  <c r="EK21" i="4" l="1"/>
  <c r="EL18" i="4"/>
  <c r="EL17" i="4" s="1"/>
  <c r="EL30" i="4" s="1"/>
  <c r="EK29" i="4"/>
  <c r="EK33" i="4" s="1"/>
  <c r="EL20" i="4"/>
  <c r="EL32" i="4" s="1"/>
  <c r="GR38" i="6"/>
  <c r="GS35" i="6" s="1"/>
  <c r="EL31" i="4" l="1"/>
  <c r="EL19" i="4"/>
  <c r="GS36" i="6"/>
  <c r="GS37" i="6" s="1"/>
  <c r="EM16" i="4" l="1"/>
  <c r="EL21" i="4"/>
  <c r="EM20" i="4"/>
  <c r="EM32" i="4" s="1"/>
  <c r="EL29" i="4"/>
  <c r="EL33" i="4" s="1"/>
  <c r="GS38" i="6"/>
  <c r="GT35" i="6" s="1"/>
  <c r="EM18" i="4" l="1"/>
  <c r="EM17" i="4" s="1"/>
  <c r="EM30" i="4" s="1"/>
  <c r="GT36" i="6"/>
  <c r="GT37" i="6" s="1"/>
  <c r="EM19" i="4" l="1"/>
  <c r="EM31" i="4"/>
  <c r="GT38" i="6"/>
  <c r="GU35" i="6" s="1"/>
  <c r="EN20" i="4" l="1"/>
  <c r="EN32" i="4" s="1"/>
  <c r="EM29" i="4"/>
  <c r="EM33" i="4" s="1"/>
  <c r="EN16" i="4"/>
  <c r="EM21" i="4"/>
  <c r="GU36" i="6"/>
  <c r="GU37" i="6" s="1"/>
  <c r="EN18" i="4" l="1"/>
  <c r="EN17" i="4" s="1"/>
  <c r="EN30" i="4" s="1"/>
  <c r="GU38" i="6"/>
  <c r="GV35" i="6" s="1"/>
  <c r="EN19" i="4" l="1"/>
  <c r="EN31" i="4"/>
  <c r="GV36" i="6"/>
  <c r="GV37" i="6" s="1"/>
  <c r="EO20" i="4" l="1"/>
  <c r="EO32" i="4" s="1"/>
  <c r="EN29" i="4"/>
  <c r="EN33" i="4" s="1"/>
  <c r="EN21" i="4"/>
  <c r="EO16" i="4"/>
  <c r="GV38" i="6"/>
  <c r="GW35" i="6" s="1"/>
  <c r="EO18" i="4" l="1"/>
  <c r="EO17" i="4" s="1"/>
  <c r="EO30" i="4" s="1"/>
  <c r="GW36" i="6"/>
  <c r="GW37" i="6" s="1"/>
  <c r="EO19" i="4" l="1"/>
  <c r="EP16" i="4" s="1"/>
  <c r="EO31" i="4"/>
  <c r="GW38" i="6"/>
  <c r="GX35" i="6" s="1"/>
  <c r="EO21" i="4" l="1"/>
  <c r="EO29" i="4"/>
  <c r="EO33" i="4" s="1"/>
  <c r="EP20" i="4"/>
  <c r="EP32" i="4" s="1"/>
  <c r="EP18" i="4"/>
  <c r="EP17" i="4" s="1"/>
  <c r="EP30" i="4" s="1"/>
  <c r="GX36" i="6"/>
  <c r="GX37" i="6" s="1"/>
  <c r="EP19" i="4" l="1"/>
  <c r="EP21" i="4" s="1"/>
  <c r="EP31" i="4"/>
  <c r="GX38" i="6"/>
  <c r="F41" i="6"/>
  <c r="F42" i="6" s="1"/>
  <c r="EQ16" i="4" l="1"/>
  <c r="EQ18" i="4" s="1"/>
  <c r="EQ17" i="4" s="1"/>
  <c r="EQ30" i="4" s="1"/>
  <c r="EQ20" i="4"/>
  <c r="EQ32" i="4" s="1"/>
  <c r="EP29" i="4"/>
  <c r="EP33" i="4" s="1"/>
  <c r="E13" i="6"/>
  <c r="E15" i="6" s="1"/>
  <c r="F45" i="6"/>
  <c r="EQ31" i="4" l="1"/>
  <c r="EQ19" i="4"/>
  <c r="ER20" i="4" l="1"/>
  <c r="ER32" i="4" s="1"/>
  <c r="ER16" i="4"/>
  <c r="EQ21" i="4"/>
  <c r="EQ29" i="4" l="1"/>
  <c r="EQ33" i="4" s="1"/>
  <c r="ER18" i="4"/>
  <c r="ER17" i="4" s="1"/>
  <c r="ER30" i="4" s="1"/>
  <c r="ER31" i="4" l="1"/>
  <c r="ER19" i="4"/>
  <c r="ER29" i="4" l="1"/>
  <c r="ER33" i="4" s="1"/>
  <c r="ES20" i="4"/>
  <c r="ES32" i="4" s="1"/>
  <c r="ES16" i="4"/>
  <c r="ER21" i="4"/>
  <c r="ES18" i="4" l="1"/>
  <c r="ES17" i="4" s="1"/>
  <c r="ES30" i="4" s="1"/>
  <c r="ES31" i="4" l="1"/>
  <c r="ES19" i="4"/>
  <c r="ES29" i="4" l="1"/>
  <c r="ES33" i="4" s="1"/>
  <c r="ET20" i="4"/>
  <c r="ET32" i="4" s="1"/>
  <c r="ET16" i="4"/>
  <c r="ES21" i="4"/>
  <c r="ET18" i="4" l="1"/>
  <c r="ET17" i="4" s="1"/>
  <c r="ET30" i="4" s="1"/>
  <c r="ET31" i="4" l="1"/>
  <c r="ET19" i="4"/>
  <c r="ET29" i="4" l="1"/>
  <c r="ET33" i="4" s="1"/>
  <c r="EU20" i="4"/>
  <c r="EU32" i="4" s="1"/>
  <c r="ET21" i="4"/>
  <c r="EU16" i="4"/>
  <c r="EU18" i="4" l="1"/>
  <c r="EU17" i="4" s="1"/>
  <c r="EU30" i="4" s="1"/>
  <c r="EU31" i="4" l="1"/>
  <c r="EU19" i="4"/>
  <c r="EU21" i="4" l="1"/>
  <c r="EV16" i="4"/>
  <c r="EU29" i="4"/>
  <c r="EU33" i="4" s="1"/>
  <c r="EV20" i="4"/>
  <c r="EV32" i="4" s="1"/>
  <c r="EV18" i="4" l="1"/>
  <c r="EV17" i="4" s="1"/>
  <c r="EV30" i="4" s="1"/>
  <c r="EV31" i="4" l="1"/>
  <c r="EV19" i="4"/>
  <c r="EV21" i="4" l="1"/>
  <c r="EW16" i="4"/>
  <c r="EV29" i="4"/>
  <c r="EV33" i="4" s="1"/>
  <c r="EW20" i="4"/>
  <c r="EW32" i="4" s="1"/>
  <c r="EW18" i="4" l="1"/>
  <c r="EW17" i="4" s="1"/>
  <c r="EW30" i="4" s="1"/>
  <c r="EW31" i="4" l="1"/>
  <c r="EW19" i="4"/>
  <c r="EW29" i="4" l="1"/>
  <c r="EW33" i="4" s="1"/>
  <c r="EX20" i="4"/>
  <c r="EX32" i="4" s="1"/>
  <c r="EW21" i="4"/>
  <c r="EX16" i="4"/>
  <c r="EX18" i="4" l="1"/>
  <c r="EX17" i="4" s="1"/>
  <c r="EX30" i="4" s="1"/>
  <c r="EX19" i="4" l="1"/>
  <c r="EY16" i="4" s="1"/>
  <c r="EX31" i="4"/>
  <c r="EX21" i="4" l="1"/>
  <c r="EX29" i="4"/>
  <c r="EX33" i="4" s="1"/>
  <c r="EY20" i="4"/>
  <c r="EY32" i="4" s="1"/>
  <c r="EY18" i="4"/>
  <c r="EY17" i="4" s="1"/>
  <c r="EY30" i="4" s="1"/>
  <c r="EY19" i="4" l="1"/>
  <c r="EY21" i="4" s="1"/>
  <c r="EY31" i="4"/>
  <c r="EZ16" i="4" l="1"/>
  <c r="EZ18" i="4" s="1"/>
  <c r="EZ17" i="4" s="1"/>
  <c r="EZ30" i="4" s="1"/>
  <c r="EZ20" i="4"/>
  <c r="EZ32" i="4" s="1"/>
  <c r="EY29" i="4"/>
  <c r="EY33" i="4" s="1"/>
  <c r="EZ19" i="4" l="1"/>
  <c r="FA16" i="4" s="1"/>
  <c r="EZ31" i="4" l="1"/>
  <c r="EZ21" i="4"/>
  <c r="EZ29" i="4"/>
  <c r="FA20" i="4"/>
  <c r="FA32" i="4" s="1"/>
  <c r="FA18" i="4"/>
  <c r="FA17" i="4" s="1"/>
  <c r="FA30" i="4" s="1"/>
  <c r="EZ33" i="4" l="1"/>
  <c r="FA19" i="4"/>
  <c r="FB16" i="4" s="1"/>
  <c r="FA31" i="4"/>
  <c r="FA21" i="4" l="1"/>
  <c r="FB18" i="4"/>
  <c r="FB17" i="4" s="1"/>
  <c r="FB30" i="4" s="1"/>
  <c r="FA29" i="4"/>
  <c r="FA33" i="4" s="1"/>
  <c r="FB20" i="4"/>
  <c r="FB32" i="4" s="1"/>
  <c r="FB31" i="4" l="1"/>
  <c r="FB19" i="4"/>
  <c r="FC16" i="4" l="1"/>
  <c r="FB21" i="4"/>
  <c r="FB29" i="4"/>
  <c r="FB33" i="4" s="1"/>
  <c r="FC20" i="4"/>
  <c r="FC32" i="4" s="1"/>
  <c r="FC18" i="4" l="1"/>
  <c r="FC17" i="4" s="1"/>
  <c r="FC30" i="4" s="1"/>
  <c r="FC19" i="4" l="1"/>
  <c r="FC21" i="4" s="1"/>
  <c r="FC31" i="4"/>
  <c r="FD16" i="4" l="1"/>
  <c r="FD18" i="4" s="1"/>
  <c r="FD17" i="4" s="1"/>
  <c r="FD30" i="4" s="1"/>
  <c r="FC29" i="4"/>
  <c r="FC33" i="4" s="1"/>
  <c r="FD20" i="4"/>
  <c r="FD32" i="4" s="1"/>
  <c r="FD31" i="4" l="1"/>
  <c r="FD19" i="4"/>
  <c r="FE16" i="4" s="1"/>
  <c r="FD29" i="4" l="1"/>
  <c r="FD33" i="4" s="1"/>
  <c r="FD21" i="4"/>
  <c r="FE18" i="4"/>
  <c r="FE17" i="4" s="1"/>
  <c r="FE30" i="4" s="1"/>
  <c r="FE20" i="4" l="1"/>
  <c r="FE32" i="4" s="1"/>
  <c r="FE19" i="4"/>
  <c r="FF16" i="4" s="1"/>
  <c r="FE31" i="4"/>
  <c r="FE21" i="4" l="1"/>
  <c r="FF20" i="4"/>
  <c r="FF32" i="4" s="1"/>
  <c r="FE29" i="4"/>
  <c r="FE33" i="4" s="1"/>
  <c r="FF18" i="4"/>
  <c r="FF17" i="4" s="1"/>
  <c r="FF30" i="4" s="1"/>
  <c r="FF19" i="4" l="1"/>
  <c r="FF21" i="4" s="1"/>
  <c r="FF31" i="4"/>
  <c r="FG16" i="4" l="1"/>
  <c r="FG18" i="4" s="1"/>
  <c r="FG17" i="4" s="1"/>
  <c r="FG30" i="4" s="1"/>
  <c r="FG20" i="4"/>
  <c r="FG32" i="4" s="1"/>
  <c r="FF29" i="4"/>
  <c r="FF33" i="4" s="1"/>
  <c r="FG19" i="4" l="1"/>
  <c r="FG31" i="4" l="1"/>
  <c r="FH20" i="4"/>
  <c r="FH32" i="4" s="1"/>
  <c r="FG29" i="4"/>
  <c r="FG21" i="4"/>
  <c r="FH16" i="4"/>
  <c r="FG33" i="4" l="1"/>
  <c r="FH18" i="4"/>
  <c r="FH17" i="4" s="1"/>
  <c r="FH30" i="4" s="1"/>
  <c r="FH19" i="4" l="1"/>
  <c r="FI16" i="4" s="1"/>
  <c r="FH31" i="4"/>
  <c r="FH21" i="4" l="1"/>
  <c r="FH29" i="4"/>
  <c r="FH33" i="4" s="1"/>
  <c r="FI20" i="4"/>
  <c r="FI32" i="4" s="1"/>
  <c r="FI18" i="4"/>
  <c r="FI17" i="4" s="1"/>
  <c r="FI30" i="4" s="1"/>
  <c r="FI31" i="4" l="1"/>
  <c r="FI19" i="4"/>
  <c r="FJ16" i="4" l="1"/>
  <c r="FI21" i="4"/>
  <c r="FJ20" i="4"/>
  <c r="FJ32" i="4" s="1"/>
  <c r="FI29" i="4"/>
  <c r="FI33" i="4" s="1"/>
  <c r="FJ18" i="4" l="1"/>
  <c r="FJ17" i="4" s="1"/>
  <c r="FJ30" i="4" s="1"/>
  <c r="FJ19" i="4" l="1"/>
  <c r="FJ21" i="4" s="1"/>
  <c r="FJ31" i="4"/>
  <c r="FK16" i="4" l="1"/>
  <c r="FJ29" i="4"/>
  <c r="FJ33" i="4" s="1"/>
  <c r="FK20" i="4"/>
  <c r="FK32" i="4" s="1"/>
  <c r="FK18" i="4" l="1"/>
  <c r="FK17" i="4" s="1"/>
  <c r="FK30" i="4" s="1"/>
  <c r="FK31" i="4"/>
  <c r="FK29" i="4" l="1"/>
  <c r="FK33" i="4" s="1"/>
  <c r="FK19" i="4"/>
  <c r="FL16" i="4" s="1"/>
  <c r="FL20" i="4" l="1"/>
  <c r="FL32" i="4" s="1"/>
  <c r="FK21" i="4"/>
  <c r="FL18" i="4"/>
  <c r="FL17" i="4" s="1"/>
  <c r="FL30" i="4" s="1"/>
  <c r="FL19" i="4" l="1"/>
  <c r="FM16" i="4" s="1"/>
  <c r="FL31" i="4"/>
  <c r="FL21" i="4" l="1"/>
  <c r="FM20" i="4"/>
  <c r="FM32" i="4" s="1"/>
  <c r="FL29" i="4"/>
  <c r="FL33" i="4" s="1"/>
  <c r="FM18" i="4"/>
  <c r="FM17" i="4" s="1"/>
  <c r="FM30" i="4" s="1"/>
  <c r="FM31" i="4" l="1"/>
  <c r="FM19" i="4"/>
  <c r="FM29" i="4" l="1"/>
  <c r="FM33" i="4" s="1"/>
  <c r="FN20" i="4"/>
  <c r="FN32" i="4" s="1"/>
  <c r="FM21" i="4"/>
  <c r="FN16" i="4"/>
  <c r="FN18" i="4" l="1"/>
  <c r="FN17" i="4" s="1"/>
  <c r="FN30" i="4" s="1"/>
  <c r="FN31" i="4" l="1"/>
  <c r="FN19" i="4"/>
  <c r="FN29" i="4" l="1"/>
  <c r="FN33" i="4" s="1"/>
  <c r="FO20" i="4"/>
  <c r="FO32" i="4" s="1"/>
  <c r="FN21" i="4"/>
  <c r="FO16" i="4"/>
  <c r="FO18" i="4" l="1"/>
  <c r="FO17" i="4" s="1"/>
  <c r="FO30" i="4" s="1"/>
  <c r="FO19" i="4" l="1"/>
  <c r="FP16" i="4" s="1"/>
  <c r="FO31" i="4"/>
  <c r="FO21" i="4" l="1"/>
  <c r="FO29" i="4"/>
  <c r="FO33" i="4" s="1"/>
  <c r="FP20" i="4"/>
  <c r="FP32" i="4" s="1"/>
  <c r="FP18" i="4"/>
  <c r="FP17" i="4" s="1"/>
  <c r="FP30" i="4" s="1"/>
  <c r="FP19" i="4" l="1"/>
  <c r="FQ16" i="4" s="1"/>
  <c r="FP31" i="4"/>
  <c r="FP21" i="4" l="1"/>
  <c r="FQ18" i="4"/>
  <c r="FQ17" i="4" s="1"/>
  <c r="FQ30" i="4" s="1"/>
  <c r="FP29" i="4"/>
  <c r="FP33" i="4" s="1"/>
  <c r="FQ20" i="4"/>
  <c r="FQ32" i="4" s="1"/>
  <c r="FQ19" i="4" l="1"/>
  <c r="FQ21" i="4" s="1"/>
  <c r="FQ31" i="4"/>
  <c r="FR16" i="4" l="1"/>
  <c r="FR20" i="4"/>
  <c r="FR32" i="4" s="1"/>
  <c r="FQ29" i="4"/>
  <c r="FQ33" i="4" s="1"/>
  <c r="FR18" i="4" l="1"/>
  <c r="FR17" i="4" s="1"/>
  <c r="FR30" i="4" s="1"/>
  <c r="FR31" i="4"/>
  <c r="FR29" i="4" l="1"/>
  <c r="FR33" i="4" s="1"/>
  <c r="FR19" i="4"/>
  <c r="FR21" i="4" s="1"/>
  <c r="FS16" i="4" l="1"/>
  <c r="FS20" i="4"/>
  <c r="FS32" i="4" s="1"/>
  <c r="FS18" i="4" l="1"/>
  <c r="FS17" i="4" s="1"/>
  <c r="FS30" i="4" s="1"/>
  <c r="FS31" i="4"/>
  <c r="FS19" i="4" l="1"/>
  <c r="FT16" i="4" s="1"/>
  <c r="FS29" i="4"/>
  <c r="FS33" i="4" s="1"/>
  <c r="FT18" i="4" l="1"/>
  <c r="FT17" i="4" s="1"/>
  <c r="FT30" i="4" s="1"/>
  <c r="FS21" i="4"/>
  <c r="FT20" i="4"/>
  <c r="FT32" i="4" s="1"/>
  <c r="FT31" i="4"/>
  <c r="FT19" i="4" l="1"/>
  <c r="FT21" i="4" s="1"/>
  <c r="FU20" i="4"/>
  <c r="FU32" i="4" s="1"/>
  <c r="FT29" i="4" l="1"/>
  <c r="FT33" i="4" s="1"/>
  <c r="FU16" i="4"/>
  <c r="FU18" i="4" l="1"/>
  <c r="FU17" i="4" s="1"/>
  <c r="FU30" i="4" s="1"/>
  <c r="FU31" i="4"/>
  <c r="FU19" i="4" l="1"/>
  <c r="FV16" i="4" s="1"/>
  <c r="FU29" i="4"/>
  <c r="FU33" i="4" s="1"/>
  <c r="FV20" i="4" l="1"/>
  <c r="FV32" i="4" s="1"/>
  <c r="FV18" i="4"/>
  <c r="FV17" i="4" s="1"/>
  <c r="FV30" i="4" s="1"/>
  <c r="FU21" i="4"/>
  <c r="FV31" i="4"/>
  <c r="FV19" i="4" l="1"/>
  <c r="FW16" i="4" s="1"/>
  <c r="FW20" i="4"/>
  <c r="FW32" i="4" s="1"/>
  <c r="FV21" i="4" l="1"/>
  <c r="FV29" i="4"/>
  <c r="FV33" i="4" s="1"/>
  <c r="FW18" i="4"/>
  <c r="FW17" i="4" s="1"/>
  <c r="FW30" i="4" s="1"/>
  <c r="FW19" i="4" l="1"/>
  <c r="FX16" i="4" s="1"/>
  <c r="FW31" i="4"/>
  <c r="FW21" i="4" l="1"/>
  <c r="FW29" i="4"/>
  <c r="FW33" i="4" s="1"/>
  <c r="FX20" i="4"/>
  <c r="FX32" i="4" s="1"/>
  <c r="FX18" i="4"/>
  <c r="FX17" i="4" s="1"/>
  <c r="FX30" i="4" s="1"/>
  <c r="FX19" i="4" l="1"/>
  <c r="FY16" i="4" s="1"/>
  <c r="FX31" i="4"/>
  <c r="FX21" i="4" l="1"/>
  <c r="FY18" i="4"/>
  <c r="FY17" i="4" s="1"/>
  <c r="FY30" i="4" s="1"/>
  <c r="FY20" i="4"/>
  <c r="FY32" i="4" s="1"/>
  <c r="FX29" i="4"/>
  <c r="FX33" i="4" s="1"/>
  <c r="FY19" i="4" l="1"/>
  <c r="FY21" i="4" s="1"/>
  <c r="FY31" i="4"/>
  <c r="FZ16" i="4" l="1"/>
  <c r="FY29" i="4"/>
  <c r="FY33" i="4" s="1"/>
  <c r="FZ20" i="4"/>
  <c r="FZ32" i="4" s="1"/>
  <c r="FZ18" i="4" l="1"/>
  <c r="FZ17" i="4" s="1"/>
  <c r="FZ30" i="4" s="1"/>
  <c r="FZ31" i="4"/>
  <c r="FZ29" i="4" l="1"/>
  <c r="FZ33" i="4" s="1"/>
  <c r="FZ19" i="4"/>
  <c r="GA20" i="4" l="1"/>
  <c r="GA32" i="4" s="1"/>
  <c r="GA16" i="4"/>
  <c r="FZ21" i="4"/>
  <c r="GA18" i="4" l="1"/>
  <c r="GA17" i="4" s="1"/>
  <c r="GA31" i="4" l="1"/>
  <c r="GA30" i="4"/>
  <c r="GA19" i="4"/>
  <c r="GB16" i="4" l="1"/>
  <c r="GA21" i="4"/>
  <c r="GB20" i="4"/>
  <c r="GB32" i="4" s="1"/>
  <c r="GA29" i="4"/>
  <c r="GA33" i="4" s="1"/>
  <c r="GB18" i="4" l="1"/>
  <c r="GB17" i="4" s="1"/>
  <c r="GB31" i="4" l="1"/>
  <c r="GB30" i="4"/>
  <c r="GB19" i="4"/>
  <c r="GB21" i="4" l="1"/>
  <c r="GC16" i="4"/>
  <c r="GB29" i="4"/>
  <c r="GB33" i="4" s="1"/>
  <c r="GC20" i="4"/>
  <c r="GC32" i="4" s="1"/>
  <c r="GC18" i="4" l="1"/>
  <c r="GC17" i="4" s="1"/>
  <c r="GC30" i="4" s="1"/>
  <c r="GC19" i="4" l="1"/>
  <c r="GD16" i="4" s="1"/>
  <c r="GD18" i="4" s="1"/>
  <c r="GD17" i="4" s="1"/>
  <c r="GD30" i="4" s="1"/>
  <c r="GC31" i="4"/>
  <c r="GD31" i="4" l="1"/>
  <c r="GD19" i="4"/>
  <c r="GE16" i="4" s="1"/>
  <c r="GC21" i="4"/>
  <c r="GD20" i="4"/>
  <c r="GD32" i="4" s="1"/>
  <c r="GC29" i="4"/>
  <c r="GC33" i="4" s="1"/>
  <c r="GD29" i="4" l="1"/>
  <c r="GD33" i="4" s="1"/>
  <c r="GE18" i="4"/>
  <c r="GE17" i="4" s="1"/>
  <c r="GE30" i="4" s="1"/>
  <c r="GD21" i="4"/>
  <c r="GE31" i="4"/>
  <c r="GE20" i="4" l="1"/>
  <c r="GE32" i="4" s="1"/>
  <c r="GE19" i="4"/>
  <c r="GF16" i="4" s="1"/>
  <c r="GF18" i="4" s="1"/>
  <c r="GF17" i="4" s="1"/>
  <c r="GF30" i="4" s="1"/>
  <c r="GE29" i="4"/>
  <c r="GE33" i="4" l="1"/>
  <c r="GE21" i="4"/>
  <c r="GF20" i="4"/>
  <c r="GF32" i="4" s="1"/>
  <c r="GF31" i="4"/>
  <c r="GF19" i="4"/>
  <c r="GG20" i="4" l="1"/>
  <c r="GG32" i="4" s="1"/>
  <c r="GG16" i="4"/>
  <c r="GF21" i="4"/>
  <c r="GF29" i="4" l="1"/>
  <c r="GF33" i="4" s="1"/>
  <c r="GG18" i="4"/>
  <c r="GG17" i="4" s="1"/>
  <c r="GG30" i="4" s="1"/>
  <c r="GG19" i="4" l="1"/>
  <c r="GH16" i="4" s="1"/>
  <c r="GG31" i="4"/>
  <c r="GG21" i="4" l="1"/>
  <c r="GH18" i="4"/>
  <c r="GH17" i="4" s="1"/>
  <c r="GH30" i="4" s="1"/>
  <c r="GH20" i="4"/>
  <c r="GH32" i="4" s="1"/>
  <c r="GG29" i="4"/>
  <c r="GG33" i="4" s="1"/>
  <c r="GH31" i="4" l="1"/>
  <c r="GH19" i="4"/>
  <c r="GH29" i="4" l="1"/>
  <c r="GH33" i="4" s="1"/>
  <c r="GI20" i="4"/>
  <c r="GI32" i="4" s="1"/>
  <c r="GI16" i="4"/>
  <c r="GH21" i="4"/>
  <c r="GI18" i="4" l="1"/>
  <c r="GI17" i="4" s="1"/>
  <c r="GI30" i="4" s="1"/>
  <c r="GI31" i="4" l="1"/>
  <c r="GI19" i="4"/>
  <c r="GI21" i="4" l="1"/>
  <c r="GJ16" i="4"/>
  <c r="GJ20" i="4"/>
  <c r="GJ32" i="4" s="1"/>
  <c r="GI29" i="4"/>
  <c r="GI33" i="4" s="1"/>
  <c r="GJ18" i="4" l="1"/>
  <c r="GJ17" i="4" s="1"/>
  <c r="GJ30" i="4" s="1"/>
  <c r="GJ19" i="4" l="1"/>
  <c r="GJ21" i="4" s="1"/>
  <c r="GJ31" i="4"/>
  <c r="GK16" i="4" l="1"/>
  <c r="GJ29" i="4"/>
  <c r="GJ33" i="4" s="1"/>
  <c r="GK20" i="4"/>
  <c r="GK32" i="4" s="1"/>
  <c r="GK18" i="4" l="1"/>
  <c r="GK17" i="4" s="1"/>
  <c r="GK30" i="4" s="1"/>
  <c r="GK31" i="4"/>
  <c r="GL20" i="4" l="1"/>
  <c r="GL32" i="4" s="1"/>
  <c r="GK19" i="4"/>
  <c r="GK21" i="4" s="1"/>
  <c r="GK29" i="4" l="1"/>
  <c r="GK33" i="4" s="1"/>
  <c r="GL16" i="4"/>
  <c r="GL18" i="4" s="1"/>
  <c r="GL17" i="4" s="1"/>
  <c r="GL30" i="4" s="1"/>
  <c r="GL19" i="4" l="1"/>
  <c r="GL21" i="4" s="1"/>
  <c r="GL31" i="4" l="1"/>
  <c r="GM16" i="4"/>
  <c r="GM31" i="4" s="1"/>
  <c r="GM18" i="4" l="1"/>
  <c r="GM17" i="4" s="1"/>
  <c r="GM30" i="4" s="1"/>
  <c r="GL29" i="4"/>
  <c r="GL33" i="4" s="1"/>
  <c r="GM20" i="4"/>
  <c r="GM32" i="4" s="1"/>
  <c r="GM29" i="4" l="1"/>
  <c r="GM33" i="4" s="1"/>
  <c r="GM19" i="4"/>
  <c r="GN16" i="4" s="1"/>
  <c r="GN18" i="4" s="1"/>
  <c r="GN17" i="4" s="1"/>
  <c r="GN30" i="4" s="1"/>
  <c r="GN20" i="4" l="1"/>
  <c r="GN32" i="4" s="1"/>
  <c r="GO20" i="4"/>
  <c r="GM21" i="4"/>
  <c r="GN19" i="4"/>
  <c r="GO16" i="4" s="1"/>
  <c r="GO32" i="4" l="1"/>
  <c r="GN29" i="4"/>
  <c r="GN21" i="4"/>
  <c r="GN31" i="4"/>
  <c r="GO18" i="4"/>
  <c r="GO17" i="4" s="1"/>
  <c r="GO30" i="4" s="1"/>
  <c r="GN33" i="4" l="1"/>
  <c r="GO31" i="4"/>
  <c r="GO19" i="4"/>
  <c r="GP20" i="4" l="1"/>
  <c r="GP32" i="4" s="1"/>
  <c r="GO29" i="4"/>
  <c r="GO33" i="4" s="1"/>
  <c r="GP16" i="4"/>
  <c r="GO21" i="4"/>
  <c r="GP18" i="4" l="1"/>
  <c r="GP17" i="4" s="1"/>
  <c r="GP30" i="4" s="1"/>
  <c r="GP19" i="4" l="1"/>
  <c r="GP21" i="4" s="1"/>
  <c r="GP31" i="4"/>
  <c r="GQ16" i="4" l="1"/>
  <c r="GP29" i="4"/>
  <c r="GP33" i="4" s="1"/>
  <c r="GQ20" i="4"/>
  <c r="GQ32" i="4" s="1"/>
  <c r="GQ18" i="4" l="1"/>
  <c r="GQ17" i="4" s="1"/>
  <c r="GQ30" i="4" s="1"/>
  <c r="GQ31" i="4"/>
  <c r="GQ19" i="4" l="1"/>
  <c r="GQ21" i="4" s="1"/>
  <c r="GR20" i="4"/>
  <c r="GR32" i="4" s="1"/>
  <c r="GQ29" i="4" l="1"/>
  <c r="GQ33" i="4" s="1"/>
  <c r="GR16" i="4"/>
  <c r="GR18" i="4" s="1"/>
  <c r="GR17" i="4" s="1"/>
  <c r="GR30" i="4" s="1"/>
  <c r="GR19" i="4" l="1"/>
  <c r="GR21" i="4" s="1"/>
  <c r="GS16" i="4" l="1"/>
  <c r="GS18" i="4" s="1"/>
  <c r="GS17" i="4" s="1"/>
  <c r="GS30" i="4" s="1"/>
  <c r="GR31" i="4"/>
  <c r="GR29" i="4"/>
  <c r="GS20" i="4"/>
  <c r="GS32" i="4" s="1"/>
  <c r="GR33" i="4" l="1"/>
  <c r="GS19" i="4"/>
  <c r="GT16" i="4" s="1"/>
  <c r="GS31" i="4" l="1"/>
  <c r="GS21" i="4"/>
  <c r="GS29" i="4"/>
  <c r="GT20" i="4"/>
  <c r="GT32" i="4" s="1"/>
  <c r="GT18" i="4"/>
  <c r="GT17" i="4" s="1"/>
  <c r="GT30" i="4" s="1"/>
  <c r="GS33" i="4" l="1"/>
  <c r="GT19" i="4"/>
  <c r="GT21" i="4" s="1"/>
  <c r="GT31" i="4"/>
  <c r="GU16" i="4" l="1"/>
  <c r="GU18" i="4" s="1"/>
  <c r="GU17" i="4" s="1"/>
  <c r="GU30" i="4" s="1"/>
  <c r="GT29" i="4"/>
  <c r="GT33" i="4" s="1"/>
  <c r="GU20" i="4"/>
  <c r="GU32" i="4" s="1"/>
  <c r="GU31" i="4" l="1"/>
  <c r="GU19" i="4"/>
  <c r="GU29" i="4" l="1"/>
  <c r="GU33" i="4" s="1"/>
  <c r="GV16" i="4"/>
  <c r="GU21" i="4"/>
  <c r="GV20" i="4" l="1"/>
  <c r="GV32" i="4" s="1"/>
  <c r="GV18" i="4"/>
  <c r="GV17" i="4" s="1"/>
  <c r="GV30" i="4" s="1"/>
  <c r="GV19" i="4" l="1"/>
  <c r="GW16" i="4" s="1"/>
  <c r="GV31" i="4"/>
  <c r="GV21" i="4" l="1"/>
  <c r="GW18" i="4"/>
  <c r="GW17" i="4" s="1"/>
  <c r="GW30" i="4" s="1"/>
  <c r="GV29" i="4"/>
  <c r="GV33" i="4" s="1"/>
  <c r="GW20" i="4"/>
  <c r="GW32" i="4" s="1"/>
  <c r="GW31" i="4" l="1"/>
  <c r="GW19" i="4"/>
  <c r="GX20" i="4" l="1"/>
  <c r="GX32" i="4" s="1"/>
  <c r="GW29" i="4"/>
  <c r="GW33" i="4" s="1"/>
  <c r="GX16" i="4"/>
  <c r="GW21" i="4"/>
  <c r="J37" i="3"/>
  <c r="GX18" i="4" l="1"/>
  <c r="GX17" i="4" s="1"/>
  <c r="GX30" i="4" s="1"/>
  <c r="J38" i="3"/>
  <c r="GX31" i="4" l="1"/>
  <c r="GX19" i="4"/>
  <c r="J39" i="3"/>
  <c r="K36" i="3" s="1"/>
  <c r="GX29" i="4" l="1"/>
  <c r="GX33" i="4" s="1"/>
  <c r="GY20" i="4"/>
  <c r="GY32" i="4" s="1"/>
  <c r="GY16" i="4"/>
  <c r="GX21" i="4"/>
  <c r="K37" i="3"/>
  <c r="K38" i="3" s="1"/>
  <c r="GY18" i="4" l="1"/>
  <c r="GY17" i="4" s="1"/>
  <c r="GY30" i="4" s="1"/>
  <c r="K39" i="3"/>
  <c r="L36" i="3" s="1"/>
  <c r="GY29" i="4" l="1"/>
  <c r="GY31" i="4"/>
  <c r="GY19" i="4"/>
  <c r="GY21" i="4" s="1"/>
  <c r="L37" i="3"/>
  <c r="L38" i="3" s="1"/>
  <c r="L39" i="3" s="1"/>
  <c r="M36" i="3" s="1"/>
  <c r="GY33" i="4" l="1"/>
  <c r="G35" i="4" s="1"/>
  <c r="M37" i="3"/>
  <c r="M38" i="3" s="1"/>
  <c r="G39" i="4" l="1"/>
  <c r="J5" i="4" s="1"/>
  <c r="G38" i="4"/>
  <c r="J4" i="4" s="1"/>
  <c r="G37" i="4"/>
  <c r="J3" i="4" s="1"/>
  <c r="M39" i="3"/>
  <c r="N36" i="3" s="1"/>
  <c r="N37" i="3" l="1"/>
  <c r="N38" i="3" s="1"/>
  <c r="N39" i="3" l="1"/>
  <c r="O36" i="3" s="1"/>
  <c r="E18" i="2" l="1"/>
  <c r="O37" i="3"/>
  <c r="O38" i="3" s="1"/>
  <c r="O39" i="3" l="1"/>
  <c r="P36" i="3" s="1"/>
  <c r="E25" i="2" l="1"/>
  <c r="E26" i="2" s="1"/>
  <c r="P5" i="2"/>
  <c r="P37" i="3"/>
  <c r="P38" i="3" s="1"/>
  <c r="P39" i="3" s="1"/>
  <c r="Q36" i="3" s="1"/>
  <c r="Q37" i="3" l="1"/>
  <c r="Q38" i="3" s="1"/>
  <c r="Q39" i="3" s="1"/>
  <c r="R36" i="3" s="1"/>
  <c r="R37" i="3" l="1"/>
  <c r="R38" i="3" s="1"/>
  <c r="R39" i="3" l="1"/>
  <c r="S36" i="3" s="1"/>
  <c r="S37" i="3" l="1"/>
  <c r="S38" i="3" s="1"/>
  <c r="S39" i="3" s="1"/>
  <c r="T36" i="3" s="1"/>
  <c r="T37" i="3" l="1"/>
  <c r="T38" i="3" s="1"/>
  <c r="T39" i="3" l="1"/>
  <c r="U36" i="3" s="1"/>
  <c r="U37" i="3" s="1"/>
  <c r="U38" i="3" s="1"/>
  <c r="U39" i="3" s="1"/>
  <c r="V36" i="3" s="1"/>
  <c r="V37" i="3" l="1"/>
  <c r="V38" i="3" s="1"/>
  <c r="V39" i="3" l="1"/>
  <c r="W36" i="3" s="1"/>
  <c r="W37" i="3" s="1"/>
  <c r="W38" i="3" s="1"/>
  <c r="W39" i="3" l="1"/>
  <c r="X36" i="3" s="1"/>
  <c r="X37" i="3" l="1"/>
  <c r="X38" i="3" s="1"/>
  <c r="X39" i="3" l="1"/>
  <c r="Y36" i="3" s="1"/>
  <c r="Y37" i="3" s="1"/>
  <c r="Y38" i="3" s="1"/>
  <c r="Y39" i="3" l="1"/>
  <c r="Z36" i="3" s="1"/>
  <c r="Z37" i="3" l="1"/>
  <c r="Z38" i="3" s="1"/>
  <c r="Z39" i="3" l="1"/>
  <c r="AA36" i="3" s="1"/>
  <c r="AA37" i="3" l="1"/>
  <c r="AA38" i="3" s="1"/>
  <c r="AA39" i="3" l="1"/>
  <c r="AB36" i="3" s="1"/>
  <c r="AB37" i="3" s="1"/>
  <c r="AB38" i="3" s="1"/>
  <c r="AB39" i="3" s="1"/>
  <c r="AC36" i="3" s="1"/>
  <c r="AC37" i="3" l="1"/>
  <c r="AC38" i="3" s="1"/>
  <c r="AC39" i="3" l="1"/>
  <c r="AD36" i="3" s="1"/>
  <c r="AD37" i="3" s="1"/>
  <c r="AD38" i="3" s="1"/>
  <c r="AD39" i="3" l="1"/>
  <c r="AE36" i="3" s="1"/>
  <c r="AE37" i="3" s="1"/>
  <c r="AE38" i="3" s="1"/>
  <c r="AE39" i="3" l="1"/>
  <c r="AF36" i="3" s="1"/>
  <c r="AF37" i="3" l="1"/>
  <c r="AF38" i="3" s="1"/>
  <c r="AF39" i="3" l="1"/>
  <c r="AG36" i="3" s="1"/>
  <c r="AG37" i="3" l="1"/>
  <c r="AG38" i="3" s="1"/>
  <c r="AG39" i="3" l="1"/>
  <c r="AH36" i="3" s="1"/>
  <c r="AH37" i="3" l="1"/>
  <c r="AH38" i="3" s="1"/>
  <c r="AH39" i="3" l="1"/>
  <c r="AI36" i="3" s="1"/>
  <c r="AI37" i="3" l="1"/>
  <c r="AI38" i="3" s="1"/>
  <c r="AI39" i="3" s="1"/>
  <c r="AJ36" i="3" s="1"/>
  <c r="AJ37" i="3" l="1"/>
  <c r="AJ38" i="3" s="1"/>
  <c r="AJ39" i="3" s="1"/>
  <c r="AK36" i="3" s="1"/>
  <c r="AK37" i="3" l="1"/>
  <c r="AK38" i="3" s="1"/>
  <c r="AK39" i="3" l="1"/>
  <c r="AL36" i="3" s="1"/>
  <c r="AL37" i="3" l="1"/>
  <c r="AL38" i="3" s="1"/>
  <c r="AL39" i="3" l="1"/>
  <c r="AM36" i="3" s="1"/>
  <c r="AM37" i="3" l="1"/>
  <c r="AM38" i="3" s="1"/>
  <c r="AM39" i="3" l="1"/>
  <c r="AN36" i="3" s="1"/>
  <c r="AN37" i="3" l="1"/>
  <c r="AN38" i="3" s="1"/>
  <c r="AN39" i="3" s="1"/>
  <c r="AO36" i="3" s="1"/>
  <c r="AO37" i="3" l="1"/>
  <c r="AO38" i="3" s="1"/>
  <c r="AO39" i="3" l="1"/>
  <c r="AP36" i="3" s="1"/>
  <c r="AP37" i="3" l="1"/>
  <c r="AP38" i="3" s="1"/>
  <c r="AP39" i="3" s="1"/>
  <c r="AQ36" i="3" s="1"/>
  <c r="AQ37" i="3" l="1"/>
  <c r="AQ38" i="3" s="1"/>
  <c r="AQ39" i="3" s="1"/>
  <c r="AR36" i="3" s="1"/>
  <c r="AR37" i="3" l="1"/>
  <c r="AR38" i="3" s="1"/>
  <c r="AR39" i="3" l="1"/>
  <c r="AS36" i="3" s="1"/>
  <c r="AS37" i="3" l="1"/>
  <c r="AS38" i="3" s="1"/>
  <c r="AS39" i="3" s="1"/>
  <c r="AT36" i="3" s="1"/>
  <c r="AT37" i="3" l="1"/>
  <c r="AT38" i="3" s="1"/>
  <c r="AT39" i="3" s="1"/>
  <c r="AU36" i="3" s="1"/>
  <c r="AU37" i="3" l="1"/>
  <c r="AU38" i="3" s="1"/>
  <c r="AU39" i="3" s="1"/>
  <c r="AV36" i="3" s="1"/>
  <c r="AV37" i="3" l="1"/>
  <c r="AV38" i="3" s="1"/>
  <c r="AV39" i="3" l="1"/>
  <c r="AW36" i="3" s="1"/>
  <c r="AW37" i="3" l="1"/>
  <c r="AW38" i="3" s="1"/>
  <c r="AW39" i="3" s="1"/>
  <c r="AX36" i="3" s="1"/>
  <c r="AX37" i="3" l="1"/>
  <c r="AX38" i="3" s="1"/>
  <c r="AX39" i="3" l="1"/>
  <c r="AY36" i="3" s="1"/>
  <c r="AY37" i="3" l="1"/>
  <c r="AY38" i="3" s="1"/>
  <c r="AY39" i="3" l="1"/>
  <c r="AZ36" i="3" s="1"/>
  <c r="AZ37" i="3" l="1"/>
  <c r="AZ38" i="3" s="1"/>
  <c r="AZ39" i="3" l="1"/>
  <c r="BA36" i="3" s="1"/>
  <c r="BA37" i="3" l="1"/>
  <c r="BA38" i="3" s="1"/>
  <c r="BA39" i="3" l="1"/>
  <c r="BB36" i="3" s="1"/>
  <c r="BB37" i="3" l="1"/>
  <c r="BB38" i="3" s="1"/>
  <c r="BB39" i="3" l="1"/>
  <c r="BC36" i="3" s="1"/>
  <c r="BC37" i="3" l="1"/>
  <c r="BC38" i="3" s="1"/>
  <c r="BC39" i="3" l="1"/>
  <c r="BD36" i="3" s="1"/>
  <c r="BD37" i="3" l="1"/>
  <c r="BD38" i="3" s="1"/>
  <c r="BD39" i="3" l="1"/>
  <c r="BE36" i="3" s="1"/>
  <c r="BE37" i="3" l="1"/>
  <c r="BE38" i="3" s="1"/>
  <c r="BE39" i="3" l="1"/>
  <c r="BF36" i="3" s="1"/>
  <c r="BF37" i="3" l="1"/>
  <c r="BF38" i="3" s="1"/>
  <c r="BF39" i="3" l="1"/>
  <c r="BG36" i="3" s="1"/>
  <c r="BG37" i="3" l="1"/>
  <c r="BG38" i="3" s="1"/>
  <c r="BG39" i="3" l="1"/>
  <c r="BH36" i="3" s="1"/>
  <c r="BH37" i="3" l="1"/>
  <c r="BH38" i="3" s="1"/>
  <c r="BH39" i="3" l="1"/>
  <c r="BI36" i="3" s="1"/>
  <c r="BI37" i="3" s="1"/>
  <c r="BI38" i="3" s="1"/>
  <c r="BI39" i="3" l="1"/>
  <c r="BJ36" i="3" s="1"/>
  <c r="BJ37" i="3" l="1"/>
  <c r="BJ38" i="3" s="1"/>
  <c r="BJ39" i="3" l="1"/>
  <c r="BK36" i="3" s="1"/>
  <c r="BK37" i="3" l="1"/>
  <c r="BK38" i="3" s="1"/>
  <c r="BK39" i="3" s="1"/>
  <c r="BL36" i="3" s="1"/>
  <c r="BL37" i="3" l="1"/>
  <c r="BL38" i="3" s="1"/>
  <c r="BL39" i="3" l="1"/>
  <c r="BM36" i="3" s="1"/>
  <c r="BM37" i="3" s="1"/>
  <c r="BM38" i="3" s="1"/>
  <c r="BM39" i="3" l="1"/>
  <c r="BN36" i="3" s="1"/>
  <c r="BN37" i="3" s="1"/>
  <c r="BN38" i="3" s="1"/>
  <c r="BN39" i="3" l="1"/>
  <c r="BO36" i="3" s="1"/>
  <c r="BO37" i="3" s="1"/>
  <c r="BO38" i="3" s="1"/>
  <c r="BO39" i="3" l="1"/>
  <c r="BP36" i="3" s="1"/>
  <c r="BP37" i="3" s="1"/>
  <c r="BP38" i="3" s="1"/>
  <c r="BP39" i="3" l="1"/>
  <c r="BQ36" i="3" s="1"/>
  <c r="BQ37" i="3" l="1"/>
  <c r="BQ38" i="3" s="1"/>
  <c r="BQ39" i="3" l="1"/>
  <c r="BR36" i="3" s="1"/>
  <c r="BR37" i="3" l="1"/>
  <c r="BR38" i="3" s="1"/>
  <c r="BR39" i="3" l="1"/>
  <c r="BS36" i="3" s="1"/>
  <c r="BS37" i="3" l="1"/>
  <c r="BS38" i="3" s="1"/>
  <c r="BS39" i="3" l="1"/>
  <c r="BT36" i="3" s="1"/>
  <c r="BT37" i="3" l="1"/>
  <c r="BT38" i="3" s="1"/>
  <c r="BT39" i="3" l="1"/>
  <c r="BU36" i="3" s="1"/>
  <c r="BU37" i="3" l="1"/>
  <c r="BU38" i="3" s="1"/>
  <c r="BU39" i="3" s="1"/>
  <c r="BV36" i="3" s="1"/>
  <c r="BV37" i="3" l="1"/>
  <c r="BV38" i="3" s="1"/>
  <c r="BV39" i="3" s="1"/>
  <c r="BW36" i="3" s="1"/>
  <c r="BW37" i="3" l="1"/>
  <c r="BW38" i="3" s="1"/>
  <c r="BW39" i="3" l="1"/>
  <c r="BX36" i="3" s="1"/>
  <c r="BX37" i="3" l="1"/>
  <c r="BX38" i="3" s="1"/>
  <c r="BX39" i="3" s="1"/>
  <c r="BY36" i="3" s="1"/>
  <c r="BY37" i="3" l="1"/>
  <c r="BY38" i="3" s="1"/>
  <c r="BY39" i="3" s="1"/>
  <c r="BZ36" i="3" s="1"/>
  <c r="BZ37" i="3" l="1"/>
  <c r="BZ38" i="3" s="1"/>
  <c r="BZ39" i="3" l="1"/>
  <c r="CA36" i="3" s="1"/>
  <c r="CA37" i="3" s="1"/>
  <c r="CA38" i="3" s="1"/>
  <c r="CA39" i="3" l="1"/>
  <c r="CB36" i="3" s="1"/>
  <c r="CB37" i="3" l="1"/>
  <c r="CB38" i="3" s="1"/>
  <c r="CB39" i="3" l="1"/>
  <c r="CC36" i="3" s="1"/>
  <c r="CC37" i="3" l="1"/>
  <c r="CC38" i="3" s="1"/>
  <c r="CC39" i="3" l="1"/>
  <c r="CD36" i="3" s="1"/>
  <c r="CD37" i="3" l="1"/>
  <c r="CD38" i="3" s="1"/>
  <c r="CD39" i="3" l="1"/>
  <c r="CE36" i="3" s="1"/>
  <c r="CE37" i="3" l="1"/>
  <c r="CE38" i="3" s="1"/>
  <c r="CE39" i="3" s="1"/>
  <c r="CF36" i="3" s="1"/>
  <c r="CF37" i="3" l="1"/>
  <c r="CF38" i="3" s="1"/>
  <c r="CF39" i="3" l="1"/>
  <c r="CG36" i="3" s="1"/>
  <c r="CG37" i="3" l="1"/>
  <c r="CG38" i="3" s="1"/>
  <c r="CG39" i="3" l="1"/>
  <c r="CH36" i="3" s="1"/>
  <c r="CH37" i="3" l="1"/>
  <c r="CH38" i="3" s="1"/>
  <c r="CH39" i="3" s="1"/>
  <c r="CI36" i="3" s="1"/>
  <c r="CI37" i="3" l="1"/>
  <c r="CI38" i="3" s="1"/>
  <c r="CI39" i="3" l="1"/>
  <c r="CJ36" i="3" s="1"/>
  <c r="CJ37" i="3" l="1"/>
  <c r="CJ38" i="3" s="1"/>
  <c r="CJ39" i="3" l="1"/>
  <c r="CK36" i="3" s="1"/>
  <c r="CK37" i="3" l="1"/>
  <c r="CK38" i="3" s="1"/>
  <c r="CK39" i="3" l="1"/>
  <c r="F43" i="3"/>
  <c r="O5" i="3"/>
  <c r="M7" i="3" s="1"/>
  <c r="F14" i="40"/>
  <c r="F70" i="40"/>
  <c r="G66" i="40" s="1"/>
  <c r="F29" i="40"/>
  <c r="F38" i="40" s="1"/>
  <c r="G59" i="40" s="1"/>
  <c r="F27" i="40"/>
  <c r="O27" i="40" s="1"/>
  <c r="O39" i="40" s="1"/>
  <c r="O52" i="40" s="1"/>
  <c r="G68" i="40" l="1"/>
  <c r="G87" i="40" s="1"/>
  <c r="G62" i="40"/>
  <c r="G43" i="40" s="1"/>
  <c r="N27" i="40"/>
  <c r="N39" i="40" s="1"/>
  <c r="N52" i="40" s="1"/>
  <c r="M27" i="40"/>
  <c r="M39" i="40" s="1"/>
  <c r="M52" i="40" s="1"/>
  <c r="F39" i="40"/>
  <c r="F52" i="40" s="1"/>
  <c r="F54" i="40" s="1"/>
  <c r="F61" i="40" s="1"/>
  <c r="L27" i="40"/>
  <c r="L39" i="40" s="1"/>
  <c r="L52" i="40" s="1"/>
  <c r="L54" i="40" s="1"/>
  <c r="L61" i="40" s="1"/>
  <c r="F76" i="40"/>
  <c r="F77" i="40"/>
  <c r="F83" i="40" s="1"/>
  <c r="F78" i="40" l="1"/>
  <c r="F80" i="40"/>
  <c r="F81" i="40" s="1"/>
  <c r="L57" i="40"/>
  <c r="L62" i="40" s="1"/>
  <c r="L43" i="40" s="1"/>
  <c r="L67" i="40"/>
  <c r="F57" i="40"/>
  <c r="F62" i="40" s="1"/>
  <c r="F43" i="40" s="1"/>
  <c r="F67" i="40"/>
  <c r="L68" i="40" l="1"/>
  <c r="L44" i="40"/>
  <c r="F68" i="40"/>
  <c r="F87" i="40" s="1"/>
  <c r="L70" i="40" l="1"/>
  <c r="M66" i="40" s="1"/>
  <c r="L87" i="40"/>
  <c r="M42" i="40"/>
  <c r="M47" i="40" s="1"/>
  <c r="M53" i="40" s="1"/>
  <c r="M54" i="40" s="1"/>
  <c r="M61" i="40" s="1"/>
  <c r="L75" i="40"/>
  <c r="L77" i="40" l="1"/>
  <c r="L83" i="40" s="1"/>
  <c r="L85" i="40" s="1"/>
  <c r="L78" i="40"/>
  <c r="L80" i="40" s="1"/>
  <c r="L81" i="40" s="1"/>
  <c r="M57" i="40"/>
  <c r="M62" i="40" s="1"/>
  <c r="M43" i="40" s="1"/>
  <c r="M67" i="40"/>
  <c r="M68" i="40" l="1"/>
  <c r="M44" i="40"/>
  <c r="M70" i="40" l="1"/>
  <c r="N66" i="40" s="1"/>
  <c r="M87" i="40"/>
  <c r="N42" i="40"/>
  <c r="N47" i="40" s="1"/>
  <c r="N53" i="40" s="1"/>
  <c r="N54" i="40" s="1"/>
  <c r="N61" i="40" s="1"/>
  <c r="M75" i="40"/>
  <c r="M77" i="40" l="1"/>
  <c r="N67" i="40"/>
  <c r="N57" i="40"/>
  <c r="N62" i="40" s="1"/>
  <c r="N43" i="40" s="1"/>
  <c r="M78" i="40" l="1"/>
  <c r="M80" i="40" s="1"/>
  <c r="M81" i="40" s="1"/>
  <c r="M83" i="40"/>
  <c r="M85" i="40" s="1"/>
  <c r="N68" i="40"/>
  <c r="N44" i="40"/>
  <c r="N70" i="40" l="1"/>
  <c r="N77" i="40" s="1"/>
  <c r="N87" i="40"/>
  <c r="O42" i="40"/>
  <c r="O47" i="40" s="1"/>
  <c r="O53" i="40" s="1"/>
  <c r="O54" i="40" s="1"/>
  <c r="O61" i="40" s="1"/>
  <c r="N75" i="40"/>
  <c r="O66" i="40" l="1"/>
  <c r="N78" i="40"/>
  <c r="N80" i="40" s="1"/>
  <c r="N81" i="40" s="1"/>
  <c r="O67" i="40"/>
  <c r="O57" i="40"/>
  <c r="O62" i="40" s="1"/>
  <c r="O43" i="40" s="1"/>
  <c r="N83" i="40"/>
  <c r="N85" i="40" s="1"/>
  <c r="O68" i="40" l="1"/>
  <c r="O44" i="40"/>
  <c r="O75" i="40" s="1"/>
  <c r="O70" i="40" l="1"/>
  <c r="O77" i="40" s="1"/>
  <c r="O78" i="40" s="1"/>
  <c r="O80" i="40" s="1"/>
  <c r="O81" i="40" s="1"/>
  <c r="E81" i="40" s="1"/>
  <c r="O87" i="40"/>
  <c r="O83" i="40" l="1"/>
  <c r="O85" i="40" s="1"/>
  <c r="J23" i="22" l="1"/>
  <c r="I23" i="22"/>
  <c r="H23" i="22"/>
  <c r="K44" i="22"/>
  <c r="K50" i="22" s="1"/>
  <c r="K57" i="22" s="1"/>
  <c r="K66" i="22"/>
  <c r="K73" i="22" s="1"/>
  <c r="I35" i="22"/>
  <c r="I49" i="22" s="1"/>
  <c r="I52" i="22" s="1"/>
  <c r="K35" i="22"/>
  <c r="K49" i="22" s="1"/>
  <c r="I44" i="22"/>
  <c r="I50" i="22" s="1"/>
  <c r="I57" i="22" s="1"/>
  <c r="J66" i="22"/>
  <c r="J73" i="22" s="1"/>
  <c r="J44" i="22"/>
  <c r="J50" i="22" s="1"/>
  <c r="J57" i="22" s="1"/>
  <c r="J69" i="22"/>
  <c r="L33" i="22"/>
  <c r="H35" i="22"/>
  <c r="H49" i="22" s="1"/>
  <c r="G72" i="22"/>
  <c r="H72" i="22"/>
  <c r="I72" i="22"/>
  <c r="J72" i="22"/>
  <c r="K72" i="22"/>
  <c r="G69" i="22"/>
  <c r="H69" i="22"/>
  <c r="I69" i="22"/>
  <c r="J35" i="22"/>
  <c r="J49" i="22" s="1"/>
  <c r="K23" i="22"/>
  <c r="O23" i="22" s="1"/>
  <c r="G23" i="22"/>
  <c r="G35" i="22"/>
  <c r="G49" i="22"/>
  <c r="G52" i="22" s="1"/>
  <c r="G51" i="22"/>
  <c r="G66" i="22"/>
  <c r="G73" i="22" s="1"/>
  <c r="H66" i="22"/>
  <c r="I63" i="22" s="1"/>
  <c r="I66" i="22"/>
  <c r="I73" i="22" s="1"/>
  <c r="H63" i="22" l="1"/>
  <c r="J74" i="22"/>
  <c r="K52" i="22"/>
  <c r="K51" i="22"/>
  <c r="G64" i="22"/>
  <c r="G86" i="22"/>
  <c r="J51" i="22"/>
  <c r="J86" i="22" s="1"/>
  <c r="J52" i="22"/>
  <c r="J87" i="22" s="1"/>
  <c r="K74" i="22"/>
  <c r="L44" i="22"/>
  <c r="L50" i="22" s="1"/>
  <c r="L57" i="22" s="1"/>
  <c r="H51" i="22"/>
  <c r="H86" i="22" s="1"/>
  <c r="H52" i="22"/>
  <c r="L63" i="22"/>
  <c r="J76" i="22"/>
  <c r="I51" i="22"/>
  <c r="I86" i="22" s="1"/>
  <c r="M44" i="22"/>
  <c r="M50" i="22" s="1"/>
  <c r="M57" i="22" s="1"/>
  <c r="I74" i="22"/>
  <c r="I76" i="22" s="1"/>
  <c r="G74" i="22"/>
  <c r="G76" i="22" s="1"/>
  <c r="J33" i="22"/>
  <c r="H33" i="22"/>
  <c r="G58" i="22"/>
  <c r="K63" i="22"/>
  <c r="H73" i="22"/>
  <c r="H74" i="22" s="1"/>
  <c r="H76" i="22" s="1"/>
  <c r="N23" i="22"/>
  <c r="K69" i="22"/>
  <c r="K64" i="22"/>
  <c r="M23" i="22"/>
  <c r="I33" i="22"/>
  <c r="J63" i="22"/>
  <c r="L23" i="22"/>
  <c r="L35" i="22" s="1"/>
  <c r="K33" i="22"/>
  <c r="I87" i="22" l="1"/>
  <c r="H58" i="22"/>
  <c r="H64" i="22"/>
  <c r="J64" i="22"/>
  <c r="H87" i="22"/>
  <c r="K76" i="22"/>
  <c r="K58" i="22"/>
  <c r="K86" i="22"/>
  <c r="J58" i="22"/>
  <c r="G87" i="22"/>
  <c r="K87" i="22"/>
  <c r="L49" i="22"/>
  <c r="G65" i="22"/>
  <c r="G59" i="22"/>
  <c r="H59" i="22"/>
  <c r="H65" i="22"/>
  <c r="J65" i="22"/>
  <c r="J59" i="22"/>
  <c r="I58" i="22"/>
  <c r="I64" i="22"/>
  <c r="K59" i="22" l="1"/>
  <c r="K65" i="22"/>
  <c r="L51" i="22"/>
  <c r="L58" i="22" s="1"/>
  <c r="L52" i="22"/>
  <c r="I65" i="22"/>
  <c r="I59" i="22"/>
  <c r="L69" i="22"/>
  <c r="M33" i="22"/>
  <c r="L64" i="22" l="1"/>
  <c r="M35" i="22"/>
  <c r="M49" i="22" s="1"/>
  <c r="L65" i="22"/>
  <c r="L66" i="22" s="1"/>
  <c r="L86" i="22" s="1"/>
  <c r="L59" i="22"/>
  <c r="M51" i="22" l="1"/>
  <c r="M58" i="22" s="1"/>
  <c r="M52" i="22"/>
  <c r="L73" i="22"/>
  <c r="M63" i="22"/>
  <c r="L72" i="22"/>
  <c r="M64" i="22" l="1"/>
  <c r="L74" i="22"/>
  <c r="L76" i="22" s="1"/>
  <c r="N33" i="22"/>
  <c r="M69" i="22"/>
  <c r="N44" i="22"/>
  <c r="N50" i="22" s="1"/>
  <c r="N57" i="22" s="1"/>
  <c r="M65" i="22"/>
  <c r="M59" i="22"/>
  <c r="M66" i="22" l="1"/>
  <c r="M86" i="22" s="1"/>
  <c r="L87" i="22"/>
  <c r="M72" i="22"/>
  <c r="N35" i="22"/>
  <c r="N49" i="22" s="1"/>
  <c r="N51" i="22" l="1"/>
  <c r="N58" i="22" s="1"/>
  <c r="N52" i="22"/>
  <c r="N63" i="22"/>
  <c r="M73" i="22"/>
  <c r="M74" i="22" s="1"/>
  <c r="N64" i="22"/>
  <c r="O44" i="22"/>
  <c r="O50" i="22" s="1"/>
  <c r="O57" i="22" s="1"/>
  <c r="N69" i="22"/>
  <c r="O33" i="22"/>
  <c r="M76" i="22" l="1"/>
  <c r="M87" i="22"/>
  <c r="N59" i="22"/>
  <c r="N65" i="22"/>
  <c r="N66" i="22" s="1"/>
  <c r="N86" i="22" s="1"/>
  <c r="O35" i="22"/>
  <c r="O49" i="22" s="1"/>
  <c r="O51" i="22" l="1"/>
  <c r="O58" i="22" s="1"/>
  <c r="O52" i="22"/>
  <c r="O69" i="22"/>
  <c r="O63" i="22"/>
  <c r="N73" i="22"/>
  <c r="N72" i="22"/>
  <c r="N74" i="22" l="1"/>
  <c r="N76" i="22" s="1"/>
  <c r="O64" i="22"/>
  <c r="O65" i="22"/>
  <c r="O59" i="22"/>
  <c r="O72" i="22" s="1"/>
  <c r="N87" i="22" l="1"/>
  <c r="O66" i="22"/>
  <c r="O73" i="22" s="1"/>
  <c r="O74" i="22" s="1"/>
  <c r="O86" i="22" l="1"/>
  <c r="O76" i="22"/>
  <c r="O87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55860F12-63CB-4F78-A922-663B85DAB302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Demonstrates that if acquiring company has high P/E ratio get accretion in EPS
Compute Accretion and Dilution;
Make Graph and Compute Break-even synergies.
Use Spiiner Boxes for Presentation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AA0C7ED9-D4C2-425C-88F4-F485FA83E1AC}">
      <text>
        <r>
          <rPr>
            <b/>
            <sz val="9"/>
            <color indexed="81"/>
            <rFont val="Tahoma"/>
            <family val="2"/>
          </rPr>
          <t>Alexander Hamilton:</t>
        </r>
        <r>
          <rPr>
            <sz val="9"/>
            <color indexed="81"/>
            <rFont val="Tahoma"/>
            <family val="2"/>
          </rPr>
          <t xml:space="preserve">
Proof of Value Formula with long-term analysis.
Introduction to simple data tables that demonstrate interplay between growth and return relative to cost of cappital.
Demonstrate how you can get really high P/E ratios with a combination of high growth and high cost of capital.
SHIFT, CNTL, F3 for range names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CF2CB24E-8D5C-4CC5-938C-634BF0A788A4}">
      <text>
        <r>
          <rPr>
            <b/>
            <sz val="9"/>
            <color indexed="81"/>
            <rFont val="Tahoma"/>
            <family val="2"/>
          </rPr>
          <t>Tanya Harding:</t>
        </r>
        <r>
          <rPr>
            <sz val="9"/>
            <color indexed="81"/>
            <rFont val="Tahoma"/>
            <family val="2"/>
          </rPr>
          <t xml:space="preserve">
Demonstrate the importance of valuaing changing ROE and Changing Growth Rate.
Practice Using Interpolate.
Compute ROE over time and growth over time
Introduce the NA technique for graphing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5B9B1ADE-0A20-4F66-BA70-A955EED945E0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Download L&amp;G stock prrice and make flexible graphs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FCBCE005-AA94-483A-8B1A-66CC6B79F798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Demonstrate changing beta and volatility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C6545A74-4438-427C-9058-CC4C9DC01F1A}">
      <text>
        <r>
          <rPr>
            <b/>
            <sz val="9"/>
            <color indexed="81"/>
            <rFont val="Tahoma"/>
            <family val="2"/>
          </rPr>
          <t>Winston Churchill:
Demonstrates how to back into the cost of equity from the P/E ratio.
Demonstrates nuances with P/E = (1-g/ROE)/(k-g)
Review interest rates and inflation linked bonds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0098F816-7980-40FF-8173-7AD6D963B0CC}">
      <text>
        <r>
          <rPr>
            <b/>
            <sz val="9"/>
            <color indexed="81"/>
            <rFont val="Tahoma"/>
            <family val="2"/>
          </rPr>
          <t>Usain Bolt:
Demonstrates the set-up of model -- key use of the historic switch.
Compute assumption from history.
Compute closing balance with history and forecast.
Demonstrate balancing of balance sheet with cash flow plug</t>
        </r>
        <r>
          <rPr>
            <sz val="9"/>
            <color indexed="81"/>
            <rFont val="Tahoma"/>
            <family val="2"/>
          </rPr>
          <t xml:space="preserve">
Understand why ROIC used and not ROE
Also conditional formatting and test of balance sheet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5DF7043D-0CF7-470C-A09B-C905E042586A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Demonstrate the effects of different growth and different techniques to evaluate new equity issues.
See how differences in the capital structure affect the assumed ROE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3F354EAD-01F4-4A52-B748-BED0BC6A745A}">
      <text>
        <r>
          <rPr>
            <b/>
            <sz val="9"/>
            <color indexed="81"/>
            <rFont val="Tahoma"/>
            <family val="2"/>
          </rPr>
          <t>Claude Monet:</t>
        </r>
        <r>
          <rPr>
            <sz val="9"/>
            <color indexed="81"/>
            <rFont val="Tahoma"/>
            <family val="2"/>
          </rPr>
          <t xml:space="preserve">
Use of goal seek macro to compute value of premium.
Use of TRUE FALSE switches
Evaluate reserve to claim ratios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C003B644-41E2-4600-AAC7-D81A7C580BE9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Graph the investments to reserves with different NPV benefit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CA3AA561-F55D-4EFF-8490-095A9731D273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Demonstrate how the terminal value using the P/E ratio is effected by different ratios.
Make graph with different factors and demonstrate the effect on return on equity, equity cash flow and terminal value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DA2C9DB0-74CD-49B3-833A-6DC6B881A548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Enter Assumptions.
Compute the ROE
To copy for making a financial model.
1. Make sure calculation is OFF
2. Paste special as values until the assumptions section
3. Paste the yellow as values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Elvis Presley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Elvis Presley:</t>
        </r>
        <r>
          <rPr>
            <sz val="9"/>
            <color indexed="81"/>
            <rFont val="Tahoma"/>
            <family val="2"/>
          </rPr>
          <t xml:space="preserve">
To copy for making a financial model.
1. Make sure calculation is OFF
2. Paste special as values until the assumptions section
3. Paste the yellow as values
</t>
        </r>
      </text>
    </comment>
  </commentList>
</comments>
</file>

<file path=xl/sharedStrings.xml><?xml version="1.0" encoding="utf-8"?>
<sst xmlns="http://schemas.openxmlformats.org/spreadsheetml/2006/main" count="1544" uniqueCount="796">
  <si>
    <t>Current Stock Price</t>
  </si>
  <si>
    <t>Shares</t>
  </si>
  <si>
    <t>Low</t>
  </si>
  <si>
    <t>High</t>
  </si>
  <si>
    <t>P/E Multiple - Public</t>
  </si>
  <si>
    <t>Current EPS</t>
  </si>
  <si>
    <t>PE Range</t>
  </si>
  <si>
    <t>EV/EBITDA Multiple - Public</t>
  </si>
  <si>
    <t>EBITDA</t>
  </si>
  <si>
    <t>Net Debt</t>
  </si>
  <si>
    <t>EV/EBITDA</t>
  </si>
  <si>
    <t>P/B Multiple - Public</t>
  </si>
  <si>
    <t>Book Value/Share</t>
  </si>
  <si>
    <t>M/B Range</t>
  </si>
  <si>
    <t>DCF - Growth</t>
  </si>
  <si>
    <t>DCF - EV/EBITDA Multiple</t>
  </si>
  <si>
    <t>DCF - Value Driver</t>
  </si>
  <si>
    <t>LBO Implied</t>
  </si>
  <si>
    <t>Accretion</t>
  </si>
  <si>
    <t>Space for Labels</t>
  </si>
  <si>
    <t>Increment</t>
  </si>
  <si>
    <t>Include Space</t>
  </si>
  <si>
    <t>Hig vs Low</t>
  </si>
  <si>
    <t>Low versus Increment</t>
  </si>
  <si>
    <t>Low vs Incrment</t>
  </si>
  <si>
    <t>Remove Fill from Bottom</t>
  </si>
  <si>
    <t>Add Data Labels</t>
  </si>
  <si>
    <t>Remove Fill from Data Labels</t>
  </si>
  <si>
    <t>Edit one by One</t>
  </si>
  <si>
    <t>Put = sign in the formula bar</t>
  </si>
  <si>
    <t>Drivers</t>
  </si>
  <si>
    <t>If no net debt, ROIC and ROE are the same</t>
  </si>
  <si>
    <t>value = cf1/k</t>
  </si>
  <si>
    <t>Rate of Return</t>
  </si>
  <si>
    <t>If no net debt, k and WACC are the same</t>
  </si>
  <si>
    <t>value = cf0 * (1+g)/(k-g)</t>
  </si>
  <si>
    <t>Cost of Capital</t>
  </si>
  <si>
    <t>K</t>
  </si>
  <si>
    <t>Growth</t>
  </si>
  <si>
    <t>G</t>
  </si>
  <si>
    <t>Value Formula</t>
  </si>
  <si>
    <t>g = ROE * (1-dpo)</t>
  </si>
  <si>
    <t>Payout</t>
  </si>
  <si>
    <t>Earnings Multiple (P/E or EV/NOPAT)</t>
  </si>
  <si>
    <t>g/roe = 1- dpo</t>
  </si>
  <si>
    <t>Investment Balance (Book Value)</t>
  </si>
  <si>
    <t>Value to Investment (P/B or EV/Invested Capital)</t>
  </si>
  <si>
    <t>dpo = 1- g/roe</t>
  </si>
  <si>
    <t>Long-term Model</t>
  </si>
  <si>
    <t>Period</t>
  </si>
  <si>
    <t>Investment Balance</t>
  </si>
  <si>
    <t>Opening Balance</t>
  </si>
  <si>
    <t>Add: Income</t>
  </si>
  <si>
    <t>Less: Payouts</t>
  </si>
  <si>
    <t>Closing Balance</t>
  </si>
  <si>
    <t>NPV of Payouts</t>
  </si>
  <si>
    <t>Forward Earnings Multiple</t>
  </si>
  <si>
    <t>Value to Investment</t>
  </si>
  <si>
    <t>IRR Check</t>
  </si>
  <si>
    <t>Goal Seek to Compute Cost of Capital</t>
  </si>
  <si>
    <t>Input Valuation Ratio</t>
  </si>
  <si>
    <t>Computed Valuation Ratio</t>
  </si>
  <si>
    <t>Difference</t>
  </si>
  <si>
    <t>Data Table Sensitivity</t>
  </si>
  <si>
    <t>Use INDEX and LOOKUP</t>
  </si>
  <si>
    <t>Copy INTERPOLATE</t>
  </si>
  <si>
    <t>Base</t>
  </si>
  <si>
    <t>Applied</t>
  </si>
  <si>
    <t>Book Value</t>
  </si>
  <si>
    <t>Simulation</t>
  </si>
  <si>
    <t>Year</t>
  </si>
  <si>
    <t>Return on Investment (LOOKUP, INTERPOLATE)</t>
  </si>
  <si>
    <t>Payout Ratio</t>
  </si>
  <si>
    <t>Compound Cost of Capital</t>
  </si>
  <si>
    <t>EV/EBITDA Ratio Drivers</t>
  </si>
  <si>
    <t>ROIC</t>
  </si>
  <si>
    <t>EV/EBIT</t>
  </si>
  <si>
    <t>WACC</t>
  </si>
  <si>
    <t>EV/NOPAT</t>
  </si>
  <si>
    <t>Plant Life</t>
  </si>
  <si>
    <t>Gross Depreciation Rate</t>
  </si>
  <si>
    <t>Net Depreciation Rate</t>
  </si>
  <si>
    <t>For same investment, need more cap exp</t>
  </si>
  <si>
    <t>Cap Exp to Depreciation</t>
  </si>
  <si>
    <t>Working Capital to EBITDA</t>
  </si>
  <si>
    <t>Tax Rate</t>
  </si>
  <si>
    <t>Invested Capital</t>
  </si>
  <si>
    <t>Add: Capital Expenditures</t>
  </si>
  <si>
    <t>Less: Depreciation</t>
  </si>
  <si>
    <t>Working Capital</t>
  </si>
  <si>
    <t>Total Investment</t>
  </si>
  <si>
    <t>NOPAT</t>
  </si>
  <si>
    <t>EBIT = NOPAT/(1-t)</t>
  </si>
  <si>
    <t>EBITDA = EBIT + Deprecation</t>
  </si>
  <si>
    <t>Free Cash Flow</t>
  </si>
  <si>
    <t>Less: Capital Expenditures</t>
  </si>
  <si>
    <t>Less: Taxes</t>
  </si>
  <si>
    <t>Less: WC Change</t>
  </si>
  <si>
    <t>EV - PV of Free Cash Flow</t>
  </si>
  <si>
    <t>Plant Analysis</t>
  </si>
  <si>
    <t>Capital Expenditure</t>
  </si>
  <si>
    <t>Gross Plant</t>
  </si>
  <si>
    <t>Add: Capital Expendiure (EOP)</t>
  </si>
  <si>
    <t>Less: Retirements</t>
  </si>
  <si>
    <t>Depreciation</t>
  </si>
  <si>
    <t>Accumulated Depreciation</t>
  </si>
  <si>
    <t>Add: Depreciation Expense</t>
  </si>
  <si>
    <t>Less: Retirement</t>
  </si>
  <si>
    <t>Net Plant</t>
  </si>
  <si>
    <t>Net Plant Depreciation Rate</t>
  </si>
  <si>
    <t>Capital Expenditure to Depreciation</t>
  </si>
  <si>
    <t>Nominal</t>
  </si>
  <si>
    <t>Real</t>
  </si>
  <si>
    <t>Begin with Nominal P/E</t>
  </si>
  <si>
    <t>http://www.wsj.com/mdc/public/page/2_3021-peyield.html?mod=topnav_2_3002</t>
  </si>
  <si>
    <t>Inflation Rate</t>
  </si>
  <si>
    <t>Assumed ROE</t>
  </si>
  <si>
    <t>https://ycharts.com/indicators/sp_500_pe_ratio</t>
  </si>
  <si>
    <t>Assumed BV</t>
  </si>
  <si>
    <t>https://ycharts.com/indicators/pe10</t>
  </si>
  <si>
    <t>Earnings</t>
  </si>
  <si>
    <t>http://www.multpl.com/shiller-pe/table</t>
  </si>
  <si>
    <t>Price</t>
  </si>
  <si>
    <t>Real Earnings</t>
  </si>
  <si>
    <t>BV Adjustment</t>
  </si>
  <si>
    <t>Total Adjustment</t>
  </si>
  <si>
    <t>Adjusted Earnings</t>
  </si>
  <si>
    <t>Adjusted P/E</t>
  </si>
  <si>
    <t>Computed P/E</t>
  </si>
  <si>
    <t>Actual P/E</t>
  </si>
  <si>
    <t>Real Model</t>
  </si>
  <si>
    <t>Inflation Index</t>
  </si>
  <si>
    <t>Nominal Payout</t>
  </si>
  <si>
    <t>PV of Payout</t>
  </si>
  <si>
    <t>P/E with Real Earnings</t>
  </si>
  <si>
    <t>Book Value Real</t>
  </si>
  <si>
    <t>Book Value Loss</t>
  </si>
  <si>
    <t>Adjusted Earnings from BV Loss</t>
  </si>
  <si>
    <t>Final Adjusted P/E</t>
  </si>
  <si>
    <t>History with Current Year</t>
  </si>
  <si>
    <t>History without Current Year</t>
  </si>
  <si>
    <t>Analysis</t>
  </si>
  <si>
    <t>Time Series</t>
  </si>
  <si>
    <t>Code</t>
  </si>
  <si>
    <t>Operations and EBITDA</t>
  </si>
  <si>
    <t>Revenue Growth</t>
  </si>
  <si>
    <t>COGS Percent</t>
  </si>
  <si>
    <t>R&amp;D Growth</t>
  </si>
  <si>
    <t>Other SG&amp;A as Percent of Revenue</t>
  </si>
  <si>
    <t>Other Operating Expense</t>
  </si>
  <si>
    <t>Capital Expenditures</t>
  </si>
  <si>
    <t>Capital Expenditures (Fixed Assets)</t>
  </si>
  <si>
    <t>Capital Expenditures/Sales</t>
  </si>
  <si>
    <t>Capital Expenditures/Depreciation</t>
  </si>
  <si>
    <t>Capital Expenditures (Other Assets)</t>
  </si>
  <si>
    <t>Net Assets from Acquisitions</t>
  </si>
  <si>
    <t>Percent of Sales</t>
  </si>
  <si>
    <t>Total Expenses</t>
  </si>
  <si>
    <t>A/R as Percent of Sales</t>
  </si>
  <si>
    <t>Inventory as Percent of COGS</t>
  </si>
  <si>
    <t>Other Current Assets as Percent of Revenues</t>
  </si>
  <si>
    <t>Accounts Payable as Percent of Expenses</t>
  </si>
  <si>
    <t>Taxes Payable as Percent of Taxes</t>
  </si>
  <si>
    <t>Other Current Liabilites as Percent of Revenues</t>
  </si>
  <si>
    <t>Working Capital as Percent of EBITDA</t>
  </si>
  <si>
    <t>Depreciation Expense as Percent of Gross Assets</t>
  </si>
  <si>
    <t>Depreciation Expense as Percent of Net Assets</t>
  </si>
  <si>
    <t>Amortisation as Percent of Intangibles</t>
  </si>
  <si>
    <t>Other Expenses and Income</t>
  </si>
  <si>
    <t>Cash and Investments</t>
  </si>
  <si>
    <t>Non-Operating Income</t>
  </si>
  <si>
    <t>Interest and Other Income as Percent of Investments</t>
  </si>
  <si>
    <t>Other Assets</t>
  </si>
  <si>
    <t>Equity Income After Tax</t>
  </si>
  <si>
    <t>Other Income as Percent of Other Assets</t>
  </si>
  <si>
    <t>Total Debt</t>
  </si>
  <si>
    <t>Interest Expense as Percent of Debt</t>
  </si>
  <si>
    <t>Interest Income</t>
  </si>
  <si>
    <t>Cash Balance</t>
  </si>
  <si>
    <t>Interest Income Rate</t>
  </si>
  <si>
    <t>Income Tax and Equity</t>
  </si>
  <si>
    <t>Income Tax Rate</t>
  </si>
  <si>
    <t>Minority Income Percent</t>
  </si>
  <si>
    <t>Dividend as Percent of Income</t>
  </si>
  <si>
    <t>Other Funds</t>
  </si>
  <si>
    <t>Unsual Expense</t>
  </si>
  <si>
    <t>Other Funds as Percent of Unusual Expense</t>
  </si>
  <si>
    <t>Extraordinaries &amp; Discontinued Operations</t>
  </si>
  <si>
    <t>Time Series Variables</t>
  </si>
  <si>
    <t>Base Case</t>
  </si>
  <si>
    <t>Case 1 - Higher Growth</t>
  </si>
  <si>
    <t>Case 2 - Lower Growth</t>
  </si>
  <si>
    <t>Case 3 - Varying Growth</t>
  </si>
  <si>
    <t>COGS Margin</t>
  </si>
  <si>
    <t>Case 2 - Lower Cost</t>
  </si>
  <si>
    <t>Case 3 - Higher Cost</t>
  </si>
  <si>
    <t>Case 3 - Varying Cost</t>
  </si>
  <si>
    <t>Case 3 - Lower Cap Exp</t>
  </si>
  <si>
    <t>Case 3 - Varying Cap Exp</t>
  </si>
  <si>
    <t>Jan Start</t>
  </si>
  <si>
    <t>First Month</t>
  </si>
  <si>
    <t>Last Annual Date</t>
  </si>
  <si>
    <t>First Year</t>
  </si>
  <si>
    <t>Histoic Year</t>
  </si>
  <si>
    <t>Last Year</t>
  </si>
  <si>
    <t>Partial Historic Year</t>
  </si>
  <si>
    <t>Assumption Year</t>
  </si>
  <si>
    <t>Annual Row</t>
  </si>
  <si>
    <t>Profit and Loss</t>
  </si>
  <si>
    <t>View Ratios</t>
  </si>
  <si>
    <t>All values USD millions.</t>
  </si>
  <si>
    <t>Fiscal Year</t>
  </si>
  <si>
    <t>Income Statement</t>
  </si>
  <si>
    <t>Sales/Revenue</t>
  </si>
  <si>
    <t>COGS excluding D&amp;A</t>
  </si>
  <si>
    <t>Cash Gross Margin</t>
  </si>
  <si>
    <t>Research &amp; Development</t>
  </si>
  <si>
    <t>Other SG&amp;A</t>
  </si>
  <si>
    <t>EBITDA Calculated</t>
  </si>
  <si>
    <t>Unusual Expense</t>
  </si>
  <si>
    <t>Amortization of Intangibles</t>
  </si>
  <si>
    <t>EBIT Computed</t>
  </si>
  <si>
    <t>Non Operating Income/Expense</t>
  </si>
  <si>
    <t>Non-Operating Interest Income</t>
  </si>
  <si>
    <t>Equity in Affiliates (Pretax)</t>
  </si>
  <si>
    <t>Interest Expense</t>
  </si>
  <si>
    <t>Pretax Income Computed</t>
  </si>
  <si>
    <t>Income Tax</t>
  </si>
  <si>
    <t>Equity in Affiliates</t>
  </si>
  <si>
    <t>Other After Tax Income (Expense)</t>
  </si>
  <si>
    <t>Consolidated Net Income</t>
  </si>
  <si>
    <t>Other Reconciling Item (Income)</t>
  </si>
  <si>
    <t>Net Income Computed</t>
  </si>
  <si>
    <t>Minority Interest Expense</t>
  </si>
  <si>
    <t>Net Income</t>
  </si>
  <si>
    <t>Net Income After Extraordinaries</t>
  </si>
  <si>
    <t>Preferred Dividends</t>
  </si>
  <si>
    <t>Net Income Available to Common</t>
  </si>
  <si>
    <t>EPS (Basic)</t>
  </si>
  <si>
    <t>Basic Shares Outstanding</t>
  </si>
  <si>
    <t>EPS (Diluted)</t>
  </si>
  <si>
    <t>Diluted Shares Outstanding</t>
  </si>
  <si>
    <t>Cash Flow</t>
  </si>
  <si>
    <t>Net Income before Extraordinaries</t>
  </si>
  <si>
    <t>Depreciation, Depletion &amp; Amortization</t>
  </si>
  <si>
    <t>Deferred Taxes &amp; Investment Tax Credit</t>
  </si>
  <si>
    <t>Funds from Operations</t>
  </si>
  <si>
    <t>Extraordinaries</t>
  </si>
  <si>
    <t>Changes in Working Capital</t>
  </si>
  <si>
    <t>Net Operating Cash Flow</t>
  </si>
  <si>
    <t>Investing Activities</t>
  </si>
  <si>
    <t>Sale of Fixed Assets &amp; Businesses</t>
  </si>
  <si>
    <t>Purchase/Sale of Investments</t>
  </si>
  <si>
    <t>Other Uses</t>
  </si>
  <si>
    <t>Other Sources</t>
  </si>
  <si>
    <t>Net Investing Cash Flow</t>
  </si>
  <si>
    <t>Financing Activities</t>
  </si>
  <si>
    <t>Common Dividends</t>
  </si>
  <si>
    <t>Change in Capital Stock</t>
  </si>
  <si>
    <t>Repurchase of Common &amp; Preferred Stk.</t>
  </si>
  <si>
    <t>Sale of Common &amp; Preferred Stock</t>
  </si>
  <si>
    <t>Issuance/Reduction of Debt, Net</t>
  </si>
  <si>
    <t>Change in Current Debt</t>
  </si>
  <si>
    <t>Change in Long-Term Debt</t>
  </si>
  <si>
    <t>Issuance of Long-Term Debt</t>
  </si>
  <si>
    <t>Reduction in Long-Term Debt</t>
  </si>
  <si>
    <t>Net Financing Cash Flow</t>
  </si>
  <si>
    <t>Exchange Rate Effect</t>
  </si>
  <si>
    <t>Miscellaneous Funds</t>
  </si>
  <si>
    <t>Net Change in Cash</t>
  </si>
  <si>
    <t>Balance Sheet</t>
  </si>
  <si>
    <t>Assets</t>
  </si>
  <si>
    <t>Cash &amp; Short Term Investments</t>
  </si>
  <si>
    <t>Total Accounts Receivable</t>
  </si>
  <si>
    <t>Inventories</t>
  </si>
  <si>
    <t>Progress Payments &amp; Other</t>
  </si>
  <si>
    <t>Other Current Assets</t>
  </si>
  <si>
    <t>Total Current Assets</t>
  </si>
  <si>
    <t>Property, Plant &amp; Equipment - Gross</t>
  </si>
  <si>
    <t>Net Property, Plant &amp; Equipment</t>
  </si>
  <si>
    <t>Total Investments and Advances</t>
  </si>
  <si>
    <t>Intangible Assets</t>
  </si>
  <si>
    <t>Total Assets</t>
  </si>
  <si>
    <t>Liabilities &amp; Shareholders' Equity</t>
  </si>
  <si>
    <t>ST Debt &amp; Current Portion LT Debt</t>
  </si>
  <si>
    <t>Accounts Payable</t>
  </si>
  <si>
    <t>Income Tax Payable</t>
  </si>
  <si>
    <t>Other Current Liabilities</t>
  </si>
  <si>
    <t>Total Current Liabilities</t>
  </si>
  <si>
    <t>Long-Term Debt</t>
  </si>
  <si>
    <t>Provision for Risks &amp; Charges</t>
  </si>
  <si>
    <t>Deferred Taxes</t>
  </si>
  <si>
    <t>Other Liabilities</t>
  </si>
  <si>
    <t>Reconciling Liabilities</t>
  </si>
  <si>
    <t>Total Liabilities</t>
  </si>
  <si>
    <t>Total Shareholders' Equity</t>
  </si>
  <si>
    <t>Accumulated Minority Interest</t>
  </si>
  <si>
    <t>Total Equity</t>
  </si>
  <si>
    <t>Other Data</t>
  </si>
  <si>
    <t>Ending Stock Price</t>
  </si>
  <si>
    <t>Average Stock Price</t>
  </si>
  <si>
    <t>Revenue Forecast</t>
  </si>
  <si>
    <t>Five Year Revenue Growth</t>
  </si>
  <si>
    <t>Enterprise Value</t>
  </si>
  <si>
    <t>EBITDA and Capital Expenditure Calculations</t>
  </si>
  <si>
    <t>Revenues</t>
  </si>
  <si>
    <t>Forecast</t>
  </si>
  <si>
    <t>COGS Amount</t>
  </si>
  <si>
    <t>R&amp;D Amount</t>
  </si>
  <si>
    <t>SG&amp;A as Pecent of Revenues</t>
  </si>
  <si>
    <t>SG&amp;A Amount</t>
  </si>
  <si>
    <t>Capital Expenditure as Percent of Sales</t>
  </si>
  <si>
    <t xml:space="preserve">Capital Expenditues </t>
  </si>
  <si>
    <t>Acquisition Premium</t>
  </si>
  <si>
    <t>Premium as Percent of Sales</t>
  </si>
  <si>
    <t>Current Assets</t>
  </si>
  <si>
    <t>Accounts Receivable</t>
  </si>
  <si>
    <t>Inventory</t>
  </si>
  <si>
    <t>Current Liabilities</t>
  </si>
  <si>
    <t>Total Working Capital</t>
  </si>
  <si>
    <t>Change in Working Capital</t>
  </si>
  <si>
    <t>Depreciaiton and Amoritsation</t>
  </si>
  <si>
    <t>Plant Balance</t>
  </si>
  <si>
    <t>Less: Depreciation on Opening Balance</t>
  </si>
  <si>
    <t>Depreciation Rate</t>
  </si>
  <si>
    <t>Depreciation Expense</t>
  </si>
  <si>
    <t>Intangible Balance</t>
  </si>
  <si>
    <t>Add: New Premiums</t>
  </si>
  <si>
    <t>Less: Amortisation</t>
  </si>
  <si>
    <t>Amortisation Rate</t>
  </si>
  <si>
    <t>Amortisation Expense</t>
  </si>
  <si>
    <t>Non Operating Income</t>
  </si>
  <si>
    <t>Other Equity Income</t>
  </si>
  <si>
    <t>Debt and Cash</t>
  </si>
  <si>
    <t>Debt Balance</t>
  </si>
  <si>
    <t>Net Cash Balance</t>
  </si>
  <si>
    <t>Opening Net Cash</t>
  </si>
  <si>
    <t>Add: Cash Flow</t>
  </si>
  <si>
    <t>Minimum Cash Balance Percent</t>
  </si>
  <si>
    <t>Interest Rate</t>
  </si>
  <si>
    <t>Less: COGS Cash</t>
  </si>
  <si>
    <t>Margin</t>
  </si>
  <si>
    <t>R&amp;D Expense</t>
  </si>
  <si>
    <t>Amortisation</t>
  </si>
  <si>
    <t xml:space="preserve">EBIT </t>
  </si>
  <si>
    <t>Less: Interest Expense</t>
  </si>
  <si>
    <t>Add: Interest Income</t>
  </si>
  <si>
    <t>Add: Non-Operating Income</t>
  </si>
  <si>
    <t>EBT</t>
  </si>
  <si>
    <t xml:space="preserve">Income Tax  </t>
  </si>
  <si>
    <t>EPS</t>
  </si>
  <si>
    <t>EBT Check - Actual EBT</t>
  </si>
  <si>
    <t>Net Income Check</t>
  </si>
  <si>
    <t>Cash Flow Statement</t>
  </si>
  <si>
    <t>Less: WC Changes</t>
  </si>
  <si>
    <t>Add: Equity Income</t>
  </si>
  <si>
    <t>Add: Other Income</t>
  </si>
  <si>
    <t>Less: Unusual Expense</t>
  </si>
  <si>
    <t>Net Funds from Operations</t>
  </si>
  <si>
    <t>Less: Acquisition Premiums</t>
  </si>
  <si>
    <t>Net Cash Flow</t>
  </si>
  <si>
    <t>Less: Dividends</t>
  </si>
  <si>
    <t>Equity</t>
  </si>
  <si>
    <t>Direct</t>
  </si>
  <si>
    <t>Financing</t>
  </si>
  <si>
    <t>ROE</t>
  </si>
  <si>
    <t>Timing</t>
  </si>
  <si>
    <t>Holding Period</t>
  </si>
  <si>
    <t>Exit Period</t>
  </si>
  <si>
    <t>Value Assumptions</t>
  </si>
  <si>
    <t>Valuation Start</t>
  </si>
  <si>
    <t>WACC - Required Return</t>
  </si>
  <si>
    <t>Terminal Growth</t>
  </si>
  <si>
    <t>Terminal EV/EBITDA</t>
  </si>
  <si>
    <t>Terminal ROIC</t>
  </si>
  <si>
    <t>Depreciation Life</t>
  </si>
  <si>
    <t>Stable Cap Exp to Revenues</t>
  </si>
  <si>
    <t>Working Capital growth Factor</t>
  </si>
  <si>
    <t>Holding Period Free Cash Flow</t>
  </si>
  <si>
    <t>Less: Depreciation Expense</t>
  </si>
  <si>
    <t>Taxes</t>
  </si>
  <si>
    <t>Less: Capital Expenditures and Acquistion</t>
  </si>
  <si>
    <t>NPV of Explicit Cash Fllow</t>
  </si>
  <si>
    <t>Including 1/2 year adjustment</t>
  </si>
  <si>
    <t>Terminal Cash Flow</t>
  </si>
  <si>
    <t>Stable ROIC</t>
  </si>
  <si>
    <t>EBITDA = EBIT + Deprecaition</t>
  </si>
  <si>
    <t>Stble EBITDA Applied</t>
  </si>
  <si>
    <t>Stable Taxes</t>
  </si>
  <si>
    <t>Stable Cap Exp to Deprecation</t>
  </si>
  <si>
    <t>Stable Captial Expenditures</t>
  </si>
  <si>
    <t>Working Captial to EBITDA</t>
  </si>
  <si>
    <t>Stable Change in Working Capital</t>
  </si>
  <si>
    <t>Stable Cash Flow</t>
  </si>
  <si>
    <t>Terminal Value</t>
  </si>
  <si>
    <t>Growth Method ==&gt; (1+g)/(WACC-g)</t>
  </si>
  <si>
    <t>PV of Terminal Value</t>
  </si>
  <si>
    <t>Add: NPV of Explicit Cash Flow</t>
  </si>
  <si>
    <t>Total Enterprise Value</t>
  </si>
  <si>
    <t>Less: Net Debt</t>
  </si>
  <si>
    <t>Equity Value</t>
  </si>
  <si>
    <t>Equity Value/Share</t>
  </si>
  <si>
    <t>EV/EBITDA Method ==&gt; EV/EBITDA</t>
  </si>
  <si>
    <t>Value Driver Formula: Invested Capital * ROIC *(1-g/ROIC)/(WACC-g)</t>
  </si>
  <si>
    <t>ROIC Earned</t>
  </si>
  <si>
    <t>Transaction Assumptions</t>
  </si>
  <si>
    <t>Transaction Date</t>
  </si>
  <si>
    <t>Consideration</t>
  </si>
  <si>
    <t>Stock Price</t>
  </si>
  <si>
    <t>Premium</t>
  </si>
  <si>
    <t>Total Price Paid</t>
  </si>
  <si>
    <t>Equity Consideration</t>
  </si>
  <si>
    <t>EV/EBITDA Transaction Multiple</t>
  </si>
  <si>
    <t>Exit Multiple</t>
  </si>
  <si>
    <t>Target Equity IRR</t>
  </si>
  <si>
    <t>Debt to Capital</t>
  </si>
  <si>
    <t>Tenor</t>
  </si>
  <si>
    <t>Apple Buys Google</t>
  </si>
  <si>
    <t>Apple</t>
  </si>
  <si>
    <t>Google</t>
  </si>
  <si>
    <t>Price per Share</t>
  </si>
  <si>
    <t>Premium Paid by Google</t>
  </si>
  <si>
    <t>Exchange Ratio without Premium</t>
  </si>
  <si>
    <t>Exchange Ratio with Premium</t>
  </si>
  <si>
    <t>Apple EPS Estimate</t>
  </si>
  <si>
    <t>Google EPS Estimate</t>
  </si>
  <si>
    <t>Synergies per Share</t>
  </si>
  <si>
    <t>difference</t>
  </si>
  <si>
    <t>Nominal Model</t>
  </si>
  <si>
    <t>P/E Ratio Incorrect</t>
  </si>
  <si>
    <t>Reconciliation</t>
  </si>
  <si>
    <t>Historic Year</t>
  </si>
  <si>
    <t>Row Number</t>
  </si>
  <si>
    <t>Assumptions</t>
  </si>
  <si>
    <t>Date</t>
  </si>
  <si>
    <t>Sales Growth</t>
  </si>
  <si>
    <t>A/R to Sales</t>
  </si>
  <si>
    <t>Inventory to COGS</t>
  </si>
  <si>
    <t>A/P to Expense</t>
  </si>
  <si>
    <t>SG&amp;A to Sales</t>
  </si>
  <si>
    <t>Cap Exp to Sales</t>
  </si>
  <si>
    <t>Worst Case</t>
  </si>
  <si>
    <t>Best Case</t>
  </si>
  <si>
    <t>Explicit Period</t>
  </si>
  <si>
    <t>Case 2 - Lower Cost/High Price</t>
  </si>
  <si>
    <t>Case 3 - Higher Cost/Lower Price</t>
  </si>
  <si>
    <t>Total</t>
  </si>
  <si>
    <t>Debt</t>
  </si>
  <si>
    <t>Last Historic Year</t>
  </si>
  <si>
    <t>PP&amp;E</t>
  </si>
  <si>
    <t>EBITDA Growth</t>
  </si>
  <si>
    <t>Opening</t>
  </si>
  <si>
    <t>Add: Cap Exp</t>
  </si>
  <si>
    <t>Less: Dep</t>
  </si>
  <si>
    <t>Earnings Multiple</t>
  </si>
  <si>
    <t>Operating Analysis</t>
  </si>
  <si>
    <t>Less: Interest</t>
  </si>
  <si>
    <t>Dividends</t>
  </si>
  <si>
    <t>Equity Cash Flow</t>
  </si>
  <si>
    <t>Free Cash Flow over Explicit Period</t>
  </si>
  <si>
    <t>Revenue</t>
  </si>
  <si>
    <t>EBITDA Margin</t>
  </si>
  <si>
    <t xml:space="preserve">EBITDA  </t>
  </si>
  <si>
    <t>Net Operating Cash Flow less Investing Cash Flow</t>
  </si>
  <si>
    <t>Other Liabilities to Exp</t>
  </si>
  <si>
    <t>Financial Statements</t>
  </si>
  <si>
    <t>Equity Balance</t>
  </si>
  <si>
    <t>Add Net Income</t>
  </si>
  <si>
    <t>Less Dividends</t>
  </si>
  <si>
    <t>Capital</t>
  </si>
  <si>
    <t>Less CAPEX</t>
  </si>
  <si>
    <t>PE Formula</t>
  </si>
  <si>
    <t>Open</t>
  </si>
  <si>
    <t>Close</t>
  </si>
  <si>
    <t>Adj Close</t>
  </si>
  <si>
    <t>Volume</t>
  </si>
  <si>
    <t>Average</t>
  </si>
  <si>
    <t>Last</t>
  </si>
  <si>
    <t>History</t>
  </si>
  <si>
    <t>Projection</t>
  </si>
  <si>
    <t>DCF Value Growth</t>
  </si>
  <si>
    <t>Value Driver</t>
  </si>
  <si>
    <t>Scenario Number</t>
  </si>
  <si>
    <t>Best Vs Base</t>
  </si>
  <si>
    <t>Worst Versus Base</t>
  </si>
  <si>
    <t>Loans</t>
  </si>
  <si>
    <t>Deposits</t>
  </si>
  <si>
    <t>Loan Income</t>
  </si>
  <si>
    <t>Interest Income %</t>
  </si>
  <si>
    <t>Deposit Cost</t>
  </si>
  <si>
    <t>Loan Increase</t>
  </si>
  <si>
    <t>Deposit to Loan</t>
  </si>
  <si>
    <t>Computed Equity to Cap</t>
  </si>
  <si>
    <t>Target Equity to Cap</t>
  </si>
  <si>
    <t>New equity issuance</t>
  </si>
  <si>
    <t>New Equity Issuance</t>
  </si>
  <si>
    <t>Historic Financial</t>
  </si>
  <si>
    <t>Income Statement and Cash Flow</t>
  </si>
  <si>
    <t>Offer</t>
  </si>
  <si>
    <t>Cash</t>
  </si>
  <si>
    <t>Net Interest</t>
  </si>
  <si>
    <t>Operating and Financing Analysis</t>
  </si>
  <si>
    <t>Net Cash - Debt</t>
  </si>
  <si>
    <t>Dividemd Payout</t>
  </si>
  <si>
    <t>Liabilities and Equity Capital</t>
  </si>
  <si>
    <t>Operation and Maintenance</t>
  </si>
  <si>
    <t>Maintenance and Other</t>
  </si>
  <si>
    <t>General and Administrative</t>
  </si>
  <si>
    <t>Other Costs</t>
  </si>
  <si>
    <t>Total Combined</t>
  </si>
  <si>
    <t>Low Estimate</t>
  </si>
  <si>
    <t>High Estimate</t>
  </si>
  <si>
    <t>Discount Rate</t>
  </si>
  <si>
    <t>Growth Rate</t>
  </si>
  <si>
    <t>PV of Synergies - Low</t>
  </si>
  <si>
    <t>PV of Synergies - High</t>
  </si>
  <si>
    <t>Premium Value</t>
  </si>
  <si>
    <t>After-tax Synergies</t>
  </si>
  <si>
    <t>Other Cash Investments</t>
  </si>
  <si>
    <t>Other Liabilites</t>
  </si>
  <si>
    <t>Interest on Deposits</t>
  </si>
  <si>
    <t>Other Interest</t>
  </si>
  <si>
    <t>Interest Expense on Deposits</t>
  </si>
  <si>
    <t>Interest Rate on Net</t>
  </si>
  <si>
    <t>Equity to Assets</t>
  </si>
  <si>
    <t>Dividend Payout</t>
  </si>
  <si>
    <t>Deposit Interest</t>
  </si>
  <si>
    <t>Add: Increase in deposits</t>
  </si>
  <si>
    <t>Less: Increase in loans</t>
  </si>
  <si>
    <t>Test</t>
  </si>
  <si>
    <t>Less: Capital Expenditure</t>
  </si>
  <si>
    <t>Free Cash</t>
  </si>
  <si>
    <t>Reserves</t>
  </si>
  <si>
    <t>Investments</t>
  </si>
  <si>
    <t>Investment Income</t>
  </si>
  <si>
    <t>Premiums Earned</t>
  </si>
  <si>
    <t>Total Investment Income</t>
  </si>
  <si>
    <t>Realized Gains (Losses)</t>
  </si>
  <si>
    <t>Other Operating Income</t>
  </si>
  <si>
    <t>Total Sales/Revenue</t>
  </si>
  <si>
    <t>Losses, Claims &amp; Reserves</t>
  </si>
  <si>
    <t>Losses, Benefits &amp; Adjustments</t>
  </si>
  <si>
    <t>Other Reserves</t>
  </si>
  <si>
    <t>Selling, General &amp; Admin. Expenses</t>
  </si>
  <si>
    <t>Operating Income Before Interest Expense</t>
  </si>
  <si>
    <t>Interest Expense, Net of Interest Capitalized</t>
  </si>
  <si>
    <t>Operating Income After Interest Expense</t>
  </si>
  <si>
    <t>Non-Operating Income (Expense)</t>
  </si>
  <si>
    <t>Other Reconciling Income</t>
  </si>
  <si>
    <t>Pretax Income</t>
  </si>
  <si>
    <t>Income Taxes</t>
  </si>
  <si>
    <t>Extra Items &amp; Gain/Loss Sale Of Assets</t>
  </si>
  <si>
    <t>Cumulative Effect - Accounting Chg</t>
  </si>
  <si>
    <t>Discontinued Operations</t>
  </si>
  <si>
    <t>B:B</t>
  </si>
  <si>
    <t>C:C</t>
  </si>
  <si>
    <t>D:D</t>
  </si>
  <si>
    <t>E:E</t>
  </si>
  <si>
    <t>F:F</t>
  </si>
  <si>
    <t>Cash Only</t>
  </si>
  <si>
    <t>Total Investment Assets</t>
  </si>
  <si>
    <t>Premium Balance Receivables</t>
  </si>
  <si>
    <t>Investment in Unconsolidated Subs.</t>
  </si>
  <si>
    <t>Separate &amp; Variable Account Assets</t>
  </si>
  <si>
    <t>Deferred Charges</t>
  </si>
  <si>
    <t>Tangible Other Assets</t>
  </si>
  <si>
    <t>Other</t>
  </si>
  <si>
    <t>Insurance Policy Liabilities (Insurance)</t>
  </si>
  <si>
    <t>Unearned Premiums</t>
  </si>
  <si>
    <t>Policy Claims</t>
  </si>
  <si>
    <t>Other Insurance Liabilities</t>
  </si>
  <si>
    <t>Capitalized Lease Obligations</t>
  </si>
  <si>
    <t>Purchase of Investments</t>
  </si>
  <si>
    <t>Sale/Maturity of Investments</t>
  </si>
  <si>
    <t>Cash Dividends Paid - Total</t>
  </si>
  <si>
    <t>Cash Dividend Growth</t>
  </si>
  <si>
    <t>Proceeds from Stock Options</t>
  </si>
  <si>
    <t>Other Proceeds from Sale of Stock</t>
  </si>
  <si>
    <t>Premium Growth</t>
  </si>
  <si>
    <t>Investment Income/Investments</t>
  </si>
  <si>
    <t>Other Income Growth</t>
  </si>
  <si>
    <t>Net Claims to Net Premiums</t>
  </si>
  <si>
    <t>Selling, General &amp; Admin. Expenses/Premiums</t>
  </si>
  <si>
    <t>Other Operating Expenses</t>
  </si>
  <si>
    <t>Other Expense Growth</t>
  </si>
  <si>
    <t>Interest Expense to Debt</t>
  </si>
  <si>
    <t>Unusual Expense net of Other Income</t>
  </si>
  <si>
    <t>Equity in Affiliates as Percent of Investments in Affiliates</t>
  </si>
  <si>
    <t>Minority Interest Percent</t>
  </si>
  <si>
    <t xml:space="preserve">Additions to Reserves  </t>
  </si>
  <si>
    <t>Increase in Premiums</t>
  </si>
  <si>
    <t>Additions to Reserves/Increase in Premiums</t>
  </si>
  <si>
    <t>Additions to Reserves/Premiums</t>
  </si>
  <si>
    <t>Investments/Reserves</t>
  </si>
  <si>
    <t>Equity to Debt + Equity</t>
  </si>
  <si>
    <t>Cash to Sales</t>
  </si>
  <si>
    <t>Premium A/R to Premiums</t>
  </si>
  <si>
    <t>Premium Increase</t>
  </si>
  <si>
    <t>Claims to Premiums</t>
  </si>
  <si>
    <t>Reserve to Premium</t>
  </si>
  <si>
    <t>Reserves to Premiums</t>
  </si>
  <si>
    <t>Less: Other Interest</t>
  </si>
  <si>
    <t>Less: Cost of Claims</t>
  </si>
  <si>
    <t>Add: Income from Premiums</t>
  </si>
  <si>
    <t>Premiums</t>
  </si>
  <si>
    <t xml:space="preserve">Premiums </t>
  </si>
  <si>
    <t>Claims</t>
  </si>
  <si>
    <t xml:space="preserve">Claims  </t>
  </si>
  <si>
    <t>Investments to Reserves</t>
  </si>
  <si>
    <t xml:space="preserve">Investments  </t>
  </si>
  <si>
    <t>Investments Income</t>
  </si>
  <si>
    <t>Investment Income Percent</t>
  </si>
  <si>
    <t xml:space="preserve">Investment Income  </t>
  </si>
  <si>
    <t>Realized Gains to Investments</t>
  </si>
  <si>
    <t>Realized Gains Percent</t>
  </si>
  <si>
    <t>Realized Gains Amount</t>
  </si>
  <si>
    <t>Growth in Other Income</t>
  </si>
  <si>
    <t>Other Income</t>
  </si>
  <si>
    <t>Less: Increase in Investments</t>
  </si>
  <si>
    <t>Add: Increase in Reserves</t>
  </si>
  <si>
    <t>Less: Dividemds</t>
  </si>
  <si>
    <t>Inputs</t>
  </si>
  <si>
    <t>Year of Claim (Middle)</t>
  </si>
  <si>
    <t>Cash Outflow for Claim</t>
  </si>
  <si>
    <t>Timing and Cash Flow</t>
  </si>
  <si>
    <t>Premium Period</t>
  </si>
  <si>
    <t>Claim Period</t>
  </si>
  <si>
    <t>Cash Outlfow</t>
  </si>
  <si>
    <t>Claim Discount Factor</t>
  </si>
  <si>
    <t>Premium Discount Factor</t>
  </si>
  <si>
    <t>NPV of Cash Outflow</t>
  </si>
  <si>
    <t>NPV of Premiums</t>
  </si>
  <si>
    <t>Outflow</t>
  </si>
  <si>
    <t>Cash Inflow</t>
  </si>
  <si>
    <t>Net</t>
  </si>
  <si>
    <t>IRR</t>
  </si>
  <si>
    <t>Future Benefit Liability</t>
  </si>
  <si>
    <t>Future Value of Benefit Liability</t>
  </si>
  <si>
    <t>Add: Accrued Liability</t>
  </si>
  <si>
    <t>Less: Cash Outflow</t>
  </si>
  <si>
    <t>PV of Premium</t>
  </si>
  <si>
    <t>Less: Premium Paid</t>
  </si>
  <si>
    <t>Add: Accrued Interest</t>
  </si>
  <si>
    <t>Reserve Balance - Liability less PV of Premium</t>
  </si>
  <si>
    <t>Add: Premium</t>
  </si>
  <si>
    <t>Less: Investment Reduction</t>
  </si>
  <si>
    <t>Interest Earned</t>
  </si>
  <si>
    <t>Accounting</t>
  </si>
  <si>
    <t>Accrued Claims</t>
  </si>
  <si>
    <t>Claims Paid</t>
  </si>
  <si>
    <t>Net Claims</t>
  </si>
  <si>
    <t>Reserves to Claims</t>
  </si>
  <si>
    <t>Income</t>
  </si>
  <si>
    <t>Premium Income</t>
  </si>
  <si>
    <t>Less: Net Claims</t>
  </si>
  <si>
    <t>Claims to Income</t>
  </si>
  <si>
    <t>Equity Investment</t>
  </si>
  <si>
    <t>Liability and Equity</t>
  </si>
  <si>
    <t>Reserve Liability</t>
  </si>
  <si>
    <t>Reserve Balance</t>
  </si>
  <si>
    <t>Less: Accrued Claims</t>
  </si>
  <si>
    <t>Less: Claims Paid</t>
  </si>
  <si>
    <t>Other Reserves as Percent of Premiums</t>
  </si>
  <si>
    <t>Other Reseerves</t>
  </si>
  <si>
    <t>Selling and Genreal Expenses as Pecent of Premiums</t>
  </si>
  <si>
    <t>Total Selling and General Expenses</t>
  </si>
  <si>
    <t>Operating Income Check</t>
  </si>
  <si>
    <t>Net Cash</t>
  </si>
  <si>
    <t>Check</t>
  </si>
  <si>
    <t>Liabilities</t>
  </si>
  <si>
    <t>Add: Changes in Equity</t>
  </si>
  <si>
    <t>Less: Change in Cash</t>
  </si>
  <si>
    <t>Less: Change in Premium Receivable</t>
  </si>
  <si>
    <t>Less: Change in Investments</t>
  </si>
  <si>
    <t>Add: Change in Reserves</t>
  </si>
  <si>
    <t>Less: Change in Other Assets</t>
  </si>
  <si>
    <t>Add: Change in Other Liabilities</t>
  </si>
  <si>
    <t>Add: New Equity Issues</t>
  </si>
  <si>
    <t>Cost of Equity Capital</t>
  </si>
  <si>
    <t>Terminal P/E</t>
  </si>
  <si>
    <t>Terminal ROE</t>
  </si>
  <si>
    <t>Stable Investments to Reserves</t>
  </si>
  <si>
    <t>Stable Reserves to Premiums</t>
  </si>
  <si>
    <t>Stable Claims to Reserves</t>
  </si>
  <si>
    <t>Less: Equity Issues</t>
  </si>
  <si>
    <t>Total Equity Cash Flow</t>
  </si>
  <si>
    <t>Equity Book Value</t>
  </si>
  <si>
    <t>Market to Book Equation</t>
  </si>
  <si>
    <t>A Factor</t>
  </si>
  <si>
    <t>B Factor - Applied to ROE</t>
  </si>
  <si>
    <t>Price to Book Ratio</t>
  </si>
  <si>
    <t>Return on Equity</t>
  </si>
  <si>
    <t>Stable Investments to Reserve</t>
  </si>
  <si>
    <t>Increase in Investements - Stable</t>
  </si>
  <si>
    <t>Adjusted Stable Cash Flow</t>
  </si>
  <si>
    <t>Terminal Value Method 1 - Constant Growth</t>
  </si>
  <si>
    <t>Growth Method ==&gt; (1+g)/(k-g)</t>
  </si>
  <si>
    <t>Equity Cash Flow over Explicit Period</t>
  </si>
  <si>
    <t>NPV of Cash Flow - End of Period</t>
  </si>
  <si>
    <t>NPV of Explicit Cash Flow - Half Year</t>
  </si>
  <si>
    <t>Total Equity Value</t>
  </si>
  <si>
    <t>Terminal Value Method 2 - Price to Earnings in Terminal Period</t>
  </si>
  <si>
    <t>Target Equity to Assets</t>
  </si>
  <si>
    <t>Terminal Return Equity</t>
  </si>
  <si>
    <t>Income Difference</t>
  </si>
  <si>
    <t>Adjusted Cash Flow</t>
  </si>
  <si>
    <t>Increase in Investemets</t>
  </si>
  <si>
    <t>Terminal Value - Growth Method</t>
  </si>
  <si>
    <t>P/E Ratio</t>
  </si>
  <si>
    <t>Terminal Value = Income x (1-g/ROE)/(k-g)</t>
  </si>
  <si>
    <t>Target/Acquiror</t>
  </si>
  <si>
    <t>Total Earnings</t>
  </si>
  <si>
    <t>P/B Ratio</t>
  </si>
  <si>
    <t>L&amp;G</t>
  </si>
  <si>
    <t>Met Life</t>
  </si>
  <si>
    <t>AIG</t>
  </si>
  <si>
    <t>Prudential</t>
  </si>
  <si>
    <t>Genworth</t>
  </si>
  <si>
    <t>Greatwest Lifeco</t>
  </si>
  <si>
    <t>Aflac</t>
  </si>
  <si>
    <t>Dai-ichi Life Holdings Inc</t>
  </si>
  <si>
    <t>Power Financial Corp</t>
  </si>
  <si>
    <t>Lincoln National Corp</t>
  </si>
  <si>
    <t>Principal Financial Group</t>
  </si>
  <si>
    <t>Allianz</t>
  </si>
  <si>
    <t xml:space="preserve">Swiss Life </t>
  </si>
  <si>
    <t>Sun Life</t>
  </si>
  <si>
    <t>AXA SA</t>
  </si>
  <si>
    <t>A</t>
  </si>
  <si>
    <t>B</t>
  </si>
  <si>
    <t>Terminal Value Method 4 - Price to Book Equation</t>
  </si>
  <si>
    <t>Terminal Value Method 3 - Value Driver</t>
  </si>
  <si>
    <t>Price to Book</t>
  </si>
  <si>
    <t>Market Value</t>
  </si>
  <si>
    <t>Reserve Calculation</t>
  </si>
  <si>
    <t>Equity = Target x Total Assets</t>
  </si>
  <si>
    <t>Equity = OB + NI - Div + Issues</t>
  </si>
  <si>
    <t>Target x Total Assets = OB + NI - Div + Issues</t>
  </si>
  <si>
    <t>Target x Total Assets - OB - NI + Div = Issues</t>
  </si>
  <si>
    <t>New Issues</t>
  </si>
  <si>
    <t xml:space="preserve">Issues = Target x Total Assets - OB - NI + Div </t>
  </si>
  <si>
    <t>R&amp;D as % of Margin</t>
  </si>
  <si>
    <t>R&amp;D as Perecent of Margin</t>
  </si>
  <si>
    <t>Case 2 - Lower Spending</t>
  </si>
  <si>
    <t>Case 3 - Higher Spending</t>
  </si>
  <si>
    <t>R&amp;D as Percent of Margin</t>
  </si>
  <si>
    <t>Growth Method</t>
  </si>
  <si>
    <t>Assumptions from Presentation</t>
  </si>
  <si>
    <t>Assumptions with Different Timing of Synergies</t>
  </si>
  <si>
    <t>Timing of Synergies</t>
  </si>
  <si>
    <t>Synergy Percent</t>
  </si>
  <si>
    <t>Time Period</t>
  </si>
  <si>
    <t>Synergy Amount - Real</t>
  </si>
  <si>
    <t>Target/Acquiror * (1+Premium)</t>
  </si>
  <si>
    <t>Synergy Timing (LOOKUP)</t>
  </si>
  <si>
    <t>Synergy Nominal</t>
  </si>
  <si>
    <t>Synergy After-Tax</t>
  </si>
  <si>
    <t>PV of Synergies</t>
  </si>
  <si>
    <t>Analysis of Synergy versus Premium</t>
  </si>
  <si>
    <t>After-tax IRR</t>
  </si>
  <si>
    <t>Synergies</t>
  </si>
  <si>
    <t>Total Without Synergies</t>
  </si>
  <si>
    <t>`</t>
  </si>
  <si>
    <t>Compute P/E</t>
  </si>
  <si>
    <t>g</t>
  </si>
  <si>
    <t>Start Row</t>
  </si>
  <si>
    <t>Start Col</t>
  </si>
  <si>
    <t>End Row</t>
  </si>
  <si>
    <t>End Col</t>
  </si>
  <si>
    <t>PE</t>
  </si>
  <si>
    <t>Graph Year</t>
  </si>
  <si>
    <t xml:space="preserve">EBIT  </t>
  </si>
  <si>
    <t>PV of Equity Cash Flow</t>
  </si>
  <si>
    <t>Terminal Value = P/E</t>
  </si>
  <si>
    <t>Row</t>
  </si>
  <si>
    <t>Start</t>
  </si>
  <si>
    <t>End</t>
  </si>
  <si>
    <t xml:space="preserve">  Worst Case</t>
  </si>
  <si>
    <t>Case 2 - Lower Cap Exp</t>
  </si>
  <si>
    <t>EV/EBITDA Method</t>
  </si>
  <si>
    <t>Wacc</t>
  </si>
  <si>
    <t>Multiplier</t>
  </si>
  <si>
    <t>Cost of Equity</t>
  </si>
  <si>
    <t>Historic</t>
  </si>
  <si>
    <t>Projected</t>
  </si>
  <si>
    <t>Base Penetration</t>
  </si>
  <si>
    <t>Full Penetration</t>
  </si>
  <si>
    <t>Low Penetration</t>
  </si>
  <si>
    <t>Target</t>
  </si>
  <si>
    <t>Acquiror</t>
  </si>
  <si>
    <t>INDEX</t>
  </si>
  <si>
    <t>LOOKUP</t>
  </si>
  <si>
    <t>Code Number</t>
  </si>
  <si>
    <t>Combined EPS After Merger</t>
  </si>
  <si>
    <t>Standalone EPS for Google</t>
  </si>
  <si>
    <t>Google buys 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</si>
</sst>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111111"/>
      <name val="Inherit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B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rgb="FF555555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rgb="FF0000B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6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D7D7D7"/>
      </left>
      <right style="medium">
        <color rgb="FFFFFFFF"/>
      </right>
      <top style="medium">
        <color rgb="FFD7D7D7"/>
      </top>
      <bottom/>
      <diagonal/>
    </border>
    <border>
      <left style="medium">
        <color rgb="FFEAEAEA"/>
      </left>
      <right style="medium">
        <color rgb="FFD7D7D7"/>
      </right>
      <top style="medium">
        <color rgb="FFD7D7D7"/>
      </top>
      <bottom/>
      <diagonal/>
    </border>
    <border>
      <left style="medium">
        <color rgb="FFD7D7D7"/>
      </left>
      <right style="medium">
        <color rgb="FFFFFFFF"/>
      </right>
      <top/>
      <bottom/>
      <diagonal/>
    </border>
    <border>
      <left style="medium">
        <color rgb="FFEAEAEA"/>
      </left>
      <right style="medium">
        <color rgb="FFD7D7D7"/>
      </right>
      <top/>
      <bottom/>
      <diagonal/>
    </border>
    <border>
      <left style="medium">
        <color rgb="FFD7D7D7"/>
      </left>
      <right style="medium">
        <color rgb="FFFFFFFF"/>
      </right>
      <top/>
      <bottom style="medium">
        <color rgb="FFD7D7D7"/>
      </bottom>
      <diagonal/>
    </border>
    <border>
      <left style="medium">
        <color rgb="FFEAEAEA"/>
      </left>
      <right style="medium">
        <color rgb="FFD7D7D7"/>
      </right>
      <top/>
      <bottom style="medium">
        <color rgb="FFD7D7D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1" fillId="6" borderId="0" applyNumberFormat="0" applyBorder="0" applyAlignment="0" applyProtection="0"/>
    <xf numFmtId="0" fontId="18" fillId="0" borderId="0"/>
    <xf numFmtId="0" fontId="10" fillId="0" borderId="0" applyNumberFormat="0" applyFill="0" applyBorder="0" applyAlignment="0" applyProtection="0"/>
  </cellStyleXfs>
  <cellXfs count="118">
    <xf numFmtId="0" fontId="0" fillId="0" borderId="0" xfId="0"/>
    <xf numFmtId="9" fontId="0" fillId="0" borderId="0" xfId="0" applyNumberFormat="1"/>
    <xf numFmtId="10" fontId="0" fillId="0" borderId="0" xfId="0" applyNumberFormat="1"/>
    <xf numFmtId="4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0" fontId="2" fillId="0" borderId="0" xfId="2"/>
    <xf numFmtId="15" fontId="3" fillId="2" borderId="2" xfId="0" applyNumberFormat="1" applyFont="1" applyFill="1" applyBorder="1" applyAlignment="1">
      <alignment horizontal="right" vertical="center" wrapText="1"/>
    </xf>
    <xf numFmtId="15" fontId="3" fillId="3" borderId="4" xfId="0" applyNumberFormat="1" applyFont="1" applyFill="1" applyBorder="1" applyAlignment="1">
      <alignment horizontal="right" vertical="center" wrapText="1"/>
    </xf>
    <xf numFmtId="15" fontId="3" fillId="2" borderId="4" xfId="0" applyNumberFormat="1" applyFont="1" applyFill="1" applyBorder="1" applyAlignment="1">
      <alignment horizontal="right" vertical="center" wrapText="1"/>
    </xf>
    <xf numFmtId="15" fontId="3" fillId="2" borderId="6" xfId="0" applyNumberFormat="1" applyFont="1" applyFill="1" applyBorder="1" applyAlignment="1">
      <alignment horizontal="right" vertical="center" wrapText="1"/>
    </xf>
    <xf numFmtId="0" fontId="3" fillId="2" borderId="3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0" fontId="3" fillId="2" borderId="5" xfId="0" applyFont="1" applyFill="1" applyBorder="1" applyAlignment="1">
      <alignment horizontal="right" vertical="center" wrapText="1"/>
    </xf>
    <xf numFmtId="0" fontId="3" fillId="2" borderId="7" xfId="0" applyFont="1" applyFill="1" applyBorder="1" applyAlignment="1">
      <alignment horizontal="right" vertical="center" wrapText="1"/>
    </xf>
    <xf numFmtId="8" fontId="0" fillId="0" borderId="0" xfId="0" applyNumberFormat="1"/>
    <xf numFmtId="4" fontId="0" fillId="0" borderId="0" xfId="1" applyNumberFormat="1" applyFont="1"/>
    <xf numFmtId="15" fontId="6" fillId="0" borderId="0" xfId="0" applyNumberFormat="1" applyFont="1"/>
    <xf numFmtId="0" fontId="8" fillId="0" borderId="0" xfId="0" applyFont="1" applyFill="1"/>
    <xf numFmtId="164" fontId="8" fillId="0" borderId="0" xfId="1" applyNumberFormat="1" applyFont="1" applyFill="1"/>
    <xf numFmtId="10" fontId="8" fillId="0" borderId="0" xfId="0" applyNumberFormat="1" applyFont="1" applyFill="1"/>
    <xf numFmtId="164" fontId="8" fillId="0" borderId="0" xfId="0" applyNumberFormat="1" applyFont="1" applyFill="1"/>
    <xf numFmtId="9" fontId="8" fillId="0" borderId="0" xfId="0" applyNumberFormat="1" applyFont="1" applyFill="1"/>
    <xf numFmtId="10" fontId="8" fillId="0" borderId="8" xfId="0" applyNumberFormat="1" applyFont="1" applyFill="1" applyBorder="1"/>
    <xf numFmtId="10" fontId="8" fillId="0" borderId="9" xfId="0" applyNumberFormat="1" applyFont="1" applyFill="1" applyBorder="1"/>
    <xf numFmtId="10" fontId="8" fillId="0" borderId="10" xfId="0" applyNumberFormat="1" applyFont="1" applyFill="1" applyBorder="1"/>
    <xf numFmtId="0" fontId="8" fillId="0" borderId="8" xfId="0" applyFont="1" applyFill="1" applyBorder="1"/>
    <xf numFmtId="0" fontId="8" fillId="0" borderId="9" xfId="0" applyFont="1" applyFill="1" applyBorder="1"/>
    <xf numFmtId="0" fontId="9" fillId="2" borderId="0" xfId="0" applyFont="1" applyFill="1"/>
    <xf numFmtId="10" fontId="9" fillId="2" borderId="0" xfId="0" applyNumberFormat="1" applyFont="1" applyFill="1"/>
    <xf numFmtId="9" fontId="9" fillId="2" borderId="0" xfId="0" applyNumberFormat="1" applyFont="1" applyFill="1"/>
    <xf numFmtId="0" fontId="7" fillId="5" borderId="0" xfId="0" applyFont="1" applyFill="1"/>
    <xf numFmtId="164" fontId="7" fillId="5" borderId="0" xfId="1" applyNumberFormat="1" applyFont="1" applyFill="1"/>
    <xf numFmtId="0" fontId="8" fillId="0" borderId="0" xfId="0" applyFont="1" applyFill="1" applyAlignment="1">
      <alignment horizontal="right"/>
    </xf>
    <xf numFmtId="4" fontId="8" fillId="0" borderId="0" xfId="0" applyNumberFormat="1" applyFont="1" applyFill="1"/>
    <xf numFmtId="0" fontId="8" fillId="0" borderId="1" xfId="0" applyFont="1" applyFill="1" applyBorder="1"/>
    <xf numFmtId="4" fontId="8" fillId="0" borderId="1" xfId="0" applyNumberFormat="1" applyFont="1" applyFill="1" applyBorder="1"/>
    <xf numFmtId="4" fontId="9" fillId="2" borderId="0" xfId="0" applyNumberFormat="1" applyFont="1" applyFill="1"/>
    <xf numFmtId="10" fontId="8" fillId="4" borderId="0" xfId="0" applyNumberFormat="1" applyFont="1" applyFill="1"/>
    <xf numFmtId="4" fontId="8" fillId="4" borderId="0" xfId="0" applyNumberFormat="1" applyFont="1" applyFill="1"/>
    <xf numFmtId="10" fontId="0" fillId="4" borderId="8" xfId="0" applyNumberFormat="1" applyFill="1" applyBorder="1"/>
    <xf numFmtId="10" fontId="0" fillId="4" borderId="10" xfId="0" applyNumberFormat="1" applyFill="1" applyBorder="1"/>
    <xf numFmtId="15" fontId="8" fillId="0" borderId="0" xfId="0" applyNumberFormat="1" applyFont="1" applyFill="1"/>
    <xf numFmtId="0" fontId="8" fillId="0" borderId="0" xfId="0" applyFont="1" applyFill="1" applyAlignment="1">
      <alignment horizontal="center"/>
    </xf>
    <xf numFmtId="0" fontId="8" fillId="0" borderId="0" xfId="0" applyNumberFormat="1" applyFont="1" applyFill="1"/>
    <xf numFmtId="15" fontId="8" fillId="0" borderId="0" xfId="1" applyNumberFormat="1" applyFont="1" applyFill="1"/>
    <xf numFmtId="0" fontId="8" fillId="0" borderId="0" xfId="1" applyNumberFormat="1" applyFont="1" applyFill="1"/>
    <xf numFmtId="4" fontId="8" fillId="0" borderId="0" xfId="1" applyNumberFormat="1" applyFont="1" applyFill="1"/>
    <xf numFmtId="164" fontId="8" fillId="0" borderId="1" xfId="0" applyNumberFormat="1" applyFont="1" applyFill="1" applyBorder="1"/>
    <xf numFmtId="164" fontId="8" fillId="0" borderId="1" xfId="1" applyNumberFormat="1" applyFont="1" applyFill="1" applyBorder="1"/>
    <xf numFmtId="0" fontId="8" fillId="0" borderId="0" xfId="0" applyFont="1" applyFill="1" applyBorder="1"/>
    <xf numFmtId="164" fontId="8" fillId="0" borderId="0" xfId="0" applyNumberFormat="1" applyFont="1" applyFill="1" applyBorder="1"/>
    <xf numFmtId="43" fontId="8" fillId="0" borderId="0" xfId="0" applyNumberFormat="1" applyFont="1" applyFill="1"/>
    <xf numFmtId="0" fontId="9" fillId="2" borderId="11" xfId="0" applyFont="1" applyFill="1" applyBorder="1"/>
    <xf numFmtId="0" fontId="9" fillId="2" borderId="0" xfId="1" applyNumberFormat="1" applyFont="1" applyFill="1"/>
    <xf numFmtId="164" fontId="9" fillId="2" borderId="0" xfId="1" applyNumberFormat="1" applyFont="1" applyFill="1"/>
    <xf numFmtId="164" fontId="9" fillId="2" borderId="0" xfId="0" applyNumberFormat="1" applyFont="1" applyFill="1"/>
    <xf numFmtId="164" fontId="9" fillId="2" borderId="1" xfId="0" applyNumberFormat="1" applyFont="1" applyFill="1" applyBorder="1"/>
    <xf numFmtId="164" fontId="9" fillId="2" borderId="1" xfId="1" applyNumberFormat="1" applyFont="1" applyFill="1" applyBorder="1"/>
    <xf numFmtId="4" fontId="9" fillId="2" borderId="0" xfId="1" applyNumberFormat="1" applyFont="1" applyFill="1"/>
    <xf numFmtId="164" fontId="8" fillId="4" borderId="0" xfId="1" applyNumberFormat="1" applyFont="1" applyFill="1"/>
    <xf numFmtId="164" fontId="8" fillId="4" borderId="0" xfId="0" applyNumberFormat="1" applyFont="1" applyFill="1"/>
    <xf numFmtId="0" fontId="8" fillId="4" borderId="0" xfId="0" applyFont="1" applyFill="1"/>
    <xf numFmtId="0" fontId="9" fillId="4" borderId="0" xfId="0" applyFont="1" applyFill="1"/>
    <xf numFmtId="0" fontId="8" fillId="4" borderId="1" xfId="0" applyFont="1" applyFill="1" applyBorder="1"/>
    <xf numFmtId="0" fontId="8" fillId="0" borderId="12" xfId="0" applyFont="1" applyFill="1" applyBorder="1"/>
    <xf numFmtId="164" fontId="8" fillId="0" borderId="12" xfId="0" applyNumberFormat="1" applyFont="1" applyFill="1" applyBorder="1"/>
    <xf numFmtId="10" fontId="8" fillId="0" borderId="1" xfId="0" applyNumberFormat="1" applyFont="1" applyFill="1" applyBorder="1"/>
    <xf numFmtId="4" fontId="0" fillId="4" borderId="0" xfId="0" applyNumberFormat="1" applyFill="1"/>
    <xf numFmtId="0" fontId="0" fillId="4" borderId="0" xfId="0" applyFill="1"/>
    <xf numFmtId="14" fontId="0" fillId="0" borderId="0" xfId="0" applyNumberFormat="1"/>
    <xf numFmtId="0" fontId="14" fillId="0" borderId="0" xfId="0" applyFont="1" applyFill="1"/>
    <xf numFmtId="0" fontId="15" fillId="13" borderId="0" xfId="0" applyFont="1" applyFill="1"/>
    <xf numFmtId="15" fontId="0" fillId="0" borderId="0" xfId="0" applyNumberFormat="1"/>
    <xf numFmtId="17" fontId="0" fillId="0" borderId="0" xfId="0" applyNumberFormat="1"/>
    <xf numFmtId="0" fontId="12" fillId="0" borderId="0" xfId="0" applyFont="1" applyFill="1"/>
    <xf numFmtId="0" fontId="15" fillId="13" borderId="0" xfId="0" applyFont="1" applyFill="1" applyAlignment="1">
      <alignment horizontal="center"/>
    </xf>
    <xf numFmtId="164" fontId="15" fillId="13" borderId="0" xfId="1" applyNumberFormat="1" applyFont="1" applyFill="1"/>
    <xf numFmtId="4" fontId="8" fillId="0" borderId="12" xfId="0" applyNumberFormat="1" applyFont="1" applyFill="1" applyBorder="1"/>
    <xf numFmtId="4" fontId="8" fillId="0" borderId="9" xfId="0" applyNumberFormat="1" applyFont="1" applyFill="1" applyBorder="1"/>
    <xf numFmtId="10" fontId="14" fillId="0" borderId="0" xfId="0" applyNumberFormat="1" applyFont="1" applyFill="1"/>
    <xf numFmtId="4" fontId="8" fillId="0" borderId="10" xfId="0" applyNumberFormat="1" applyFont="1" applyFill="1" applyBorder="1"/>
    <xf numFmtId="15" fontId="9" fillId="2" borderId="0" xfId="0" applyNumberFormat="1" applyFont="1" applyFill="1"/>
    <xf numFmtId="0" fontId="9" fillId="2" borderId="0" xfId="0" applyFont="1" applyFill="1" applyAlignment="1">
      <alignment horizontal="center"/>
    </xf>
    <xf numFmtId="0" fontId="9" fillId="2" borderId="0" xfId="0" applyNumberFormat="1" applyFont="1" applyFill="1"/>
    <xf numFmtId="164" fontId="9" fillId="2" borderId="0" xfId="1" applyNumberFormat="1" applyFont="1" applyFill="1" applyBorder="1"/>
    <xf numFmtId="164" fontId="9" fillId="2" borderId="0" xfId="0" applyNumberFormat="1" applyFont="1" applyFill="1" applyBorder="1"/>
    <xf numFmtId="164" fontId="8" fillId="0" borderId="0" xfId="1" applyNumberFormat="1" applyFont="1" applyFill="1" applyBorder="1"/>
    <xf numFmtId="15" fontId="8" fillId="0" borderId="0" xfId="0" applyNumberFormat="1" applyFont="1" applyFill="1" applyBorder="1"/>
    <xf numFmtId="4" fontId="9" fillId="2" borderId="0" xfId="1" applyNumberFormat="1" applyFont="1" applyFill="1" applyBorder="1"/>
    <xf numFmtId="3" fontId="9" fillId="2" borderId="0" xfId="0" applyNumberFormat="1" applyFont="1" applyFill="1"/>
    <xf numFmtId="0" fontId="7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8" fillId="0" borderId="0" xfId="1" applyNumberFormat="1" applyFont="1" applyFill="1"/>
    <xf numFmtId="8" fontId="7" fillId="5" borderId="0" xfId="0" applyNumberFormat="1" applyFont="1" applyFill="1"/>
    <xf numFmtId="4" fontId="7" fillId="5" borderId="0" xfId="0" applyNumberFormat="1" applyFont="1" applyFill="1"/>
    <xf numFmtId="4" fontId="14" fillId="0" borderId="11" xfId="0" applyNumberFormat="1" applyFont="1" applyFill="1" applyBorder="1"/>
    <xf numFmtId="43" fontId="8" fillId="4" borderId="0" xfId="0" applyNumberFormat="1" applyFont="1" applyFill="1"/>
    <xf numFmtId="9" fontId="8" fillId="4" borderId="0" xfId="0" applyNumberFormat="1" applyFont="1" applyFill="1"/>
    <xf numFmtId="10" fontId="14" fillId="0" borderId="8" xfId="0" applyNumberFormat="1" applyFont="1" applyFill="1" applyBorder="1"/>
    <xf numFmtId="0" fontId="14" fillId="0" borderId="9" xfId="0" applyFont="1" applyFill="1" applyBorder="1"/>
    <xf numFmtId="4" fontId="21" fillId="2" borderId="9" xfId="0" applyNumberFormat="1" applyFont="1" applyFill="1" applyBorder="1"/>
    <xf numFmtId="10" fontId="14" fillId="0" borderId="9" xfId="0" applyNumberFormat="1" applyFont="1" applyFill="1" applyBorder="1"/>
    <xf numFmtId="10" fontId="14" fillId="0" borderId="10" xfId="0" applyNumberFormat="1" applyFont="1" applyFill="1" applyBorder="1"/>
    <xf numFmtId="4" fontId="8" fillId="4" borderId="13" xfId="0" applyNumberFormat="1" applyFont="1" applyFill="1" applyBorder="1"/>
    <xf numFmtId="4" fontId="8" fillId="4" borderId="14" xfId="0" applyNumberFormat="1" applyFont="1" applyFill="1" applyBorder="1"/>
    <xf numFmtId="4" fontId="9" fillId="2" borderId="1" xfId="0" applyNumberFormat="1" applyFont="1" applyFill="1" applyBorder="1"/>
    <xf numFmtId="10" fontId="8" fillId="4" borderId="8" xfId="0" applyNumberFormat="1" applyFont="1" applyFill="1" applyBorder="1"/>
    <xf numFmtId="10" fontId="8" fillId="4" borderId="9" xfId="0" applyNumberFormat="1" applyFont="1" applyFill="1" applyBorder="1"/>
    <xf numFmtId="4" fontId="8" fillId="0" borderId="0" xfId="0" applyNumberFormat="1" applyFont="1" applyFill="1" applyBorder="1"/>
    <xf numFmtId="4" fontId="8" fillId="4" borderId="1" xfId="0" applyNumberFormat="1" applyFont="1" applyFill="1" applyBorder="1"/>
    <xf numFmtId="4" fontId="8" fillId="4" borderId="8" xfId="0" applyNumberFormat="1" applyFont="1" applyFill="1" applyBorder="1"/>
    <xf numFmtId="4" fontId="8" fillId="4" borderId="9" xfId="0" applyNumberFormat="1" applyFont="1" applyFill="1" applyBorder="1"/>
    <xf numFmtId="4" fontId="8" fillId="4" borderId="10" xfId="0" applyNumberFormat="1" applyFont="1" applyFill="1" applyBorder="1"/>
    <xf numFmtId="4" fontId="9" fillId="4" borderId="11" xfId="0" applyNumberFormat="1" applyFont="1" applyFill="1" applyBorder="1"/>
    <xf numFmtId="10" fontId="9" fillId="4" borderId="0" xfId="0" applyNumberFormat="1" applyFont="1" applyFill="1"/>
    <xf numFmtId="9" fontId="9" fillId="4" borderId="0" xfId="0" applyNumberFormat="1" applyFont="1" applyFill="1"/>
    <xf numFmtId="164" fontId="8" fillId="0" borderId="10" xfId="0" applyNumberFormat="1" applyFont="1" applyFill="1" applyBorder="1"/>
  </cellXfs>
  <cellStyles count="14">
    <cellStyle name="60% - Accent1 2" xfId="3" xr:uid="{00000000-0005-0000-0000-000000000000}"/>
    <cellStyle name="60% - Accent2 2" xfId="4" xr:uid="{00000000-0005-0000-0000-000001000000}"/>
    <cellStyle name="60% - Accent3 2" xfId="5" xr:uid="{00000000-0005-0000-0000-000002000000}"/>
    <cellStyle name="60% - Accent4 2" xfId="6" xr:uid="{00000000-0005-0000-0000-000003000000}"/>
    <cellStyle name="60% - Accent5 2" xfId="7" xr:uid="{00000000-0005-0000-0000-000004000000}"/>
    <cellStyle name="60% - Accent6 2" xfId="8" xr:uid="{00000000-0005-0000-0000-000005000000}"/>
    <cellStyle name="Comma" xfId="1" builtinId="3"/>
    <cellStyle name="Hyperlink" xfId="2" builtinId="8"/>
    <cellStyle name="Hyperlink 2" xfId="9" xr:uid="{00000000-0005-0000-0000-000008000000}"/>
    <cellStyle name="Hyperlink 3" xfId="10" xr:uid="{00000000-0005-0000-0000-000009000000}"/>
    <cellStyle name="Neutral 2" xfId="11" xr:uid="{00000000-0005-0000-0000-00000A000000}"/>
    <cellStyle name="Normal" xfId="0" builtinId="0"/>
    <cellStyle name="Normal 2" xfId="12" xr:uid="{00000000-0005-0000-0000-00000C000000}"/>
    <cellStyle name="Title 2" xfId="13" xr:uid="{00000000-0005-0000-0000-00000D000000}"/>
  </cellStyles>
  <dxfs count="74">
    <dxf>
      <fill>
        <patternFill>
          <bgColor rgb="FF92D050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rgb="FF92D050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6.xml"/><Relationship Id="rId30" Type="http://schemas.openxmlformats.org/officeDocument/2006/relationships/sharedStrings" Target="sharedStrings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Diagram'!$E$19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'Football Field Diagram'!$B$20:$D$27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Diagram'!$E$20:$E$27</c:f>
              <c:numCache>
                <c:formatCode>#,##0.00</c:formatCode>
                <c:ptCount val="8"/>
                <c:pt idx="0">
                  <c:v>108.97</c:v>
                </c:pt>
                <c:pt idx="1">
                  <c:v>96.466821192052976</c:v>
                </c:pt>
                <c:pt idx="2">
                  <c:v>81.72</c:v>
                </c:pt>
                <c:pt idx="3">
                  <c:v>84</c:v>
                </c:pt>
                <c:pt idx="4">
                  <c:v>90</c:v>
                </c:pt>
                <c:pt idx="5">
                  <c:v>82</c:v>
                </c:pt>
                <c:pt idx="6">
                  <c:v>94</c:v>
                </c:pt>
                <c:pt idx="7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E-4DE8-B421-861585240AD7}"/>
            </c:ext>
          </c:extLst>
        </c:ser>
        <c:ser>
          <c:idx val="1"/>
          <c:order val="1"/>
          <c:tx>
            <c:strRef>
              <c:f>'Football Field Diagram'!$F$19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'Football Field Diagram'!$B$20:$D$27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Diagram'!$F$20:$F$27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FE-4DE8-B421-861585240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806848"/>
        <c:axId val="83812736"/>
      </c:barChart>
      <c:catAx>
        <c:axId val="83806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12736"/>
        <c:crosses val="autoZero"/>
        <c:auto val="1"/>
        <c:lblAlgn val="ctr"/>
        <c:lblOffset val="100"/>
        <c:noMultiLvlLbl val="0"/>
      </c:catAx>
      <c:valAx>
        <c:axId val="8381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Diagram'!$E$46</c:f>
              <c:strCache>
                <c:ptCount val="1"/>
                <c:pt idx="0">
                  <c:v>Low vs Incrment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Diagram'!$E$47:$E$54</c:f>
              <c:numCache>
                <c:formatCode>#,##0.00</c:formatCode>
                <c:ptCount val="8"/>
                <c:pt idx="0">
                  <c:v>83.97</c:v>
                </c:pt>
                <c:pt idx="1">
                  <c:v>71.466821192052976</c:v>
                </c:pt>
                <c:pt idx="2">
                  <c:v>56.72</c:v>
                </c:pt>
                <c:pt idx="3">
                  <c:v>59</c:v>
                </c:pt>
                <c:pt idx="4">
                  <c:v>65</c:v>
                </c:pt>
                <c:pt idx="5">
                  <c:v>57</c:v>
                </c:pt>
                <c:pt idx="6">
                  <c:v>69</c:v>
                </c:pt>
                <c:pt idx="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A-4F3C-A124-5BA847F19617}"/>
            </c:ext>
          </c:extLst>
        </c:ser>
        <c:ser>
          <c:idx val="1"/>
          <c:order val="1"/>
          <c:tx>
            <c:strRef>
              <c:f>'Football Field Diagram'!$F$46</c:f>
              <c:strCache>
                <c:ptCount val="1"/>
                <c:pt idx="0">
                  <c:v>Increment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Diagram'!$F$47:$F$54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6A-4F3C-A124-5BA847F19617}"/>
            </c:ext>
          </c:extLst>
        </c:ser>
        <c:ser>
          <c:idx val="2"/>
          <c:order val="2"/>
          <c:tx>
            <c:strRef>
              <c:f>'Football Field Diagram'!$G$46</c:f>
              <c:strCache>
                <c:ptCount val="1"/>
                <c:pt idx="0">
                  <c:v>Hig vs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Diagram'!$G$47:$G$54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6A-4F3C-A124-5BA847F19617}"/>
            </c:ext>
          </c:extLst>
        </c:ser>
        <c:ser>
          <c:idx val="3"/>
          <c:order val="3"/>
          <c:tx>
            <c:strRef>
              <c:f>'Football Field Diagram'!$H$46</c:f>
              <c:strCache>
                <c:ptCount val="1"/>
                <c:pt idx="0">
                  <c:v>Increment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Diagram'!$H$47:$H$54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6A-4F3C-A124-5BA847F19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4858368"/>
        <c:axId val="84859904"/>
      </c:barChart>
      <c:catAx>
        <c:axId val="84858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9904"/>
        <c:crosses val="autoZero"/>
        <c:auto val="1"/>
        <c:lblAlgn val="ctr"/>
        <c:lblOffset val="100"/>
        <c:noMultiLvlLbl val="0"/>
      </c:catAx>
      <c:valAx>
        <c:axId val="848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Diagram'!$E$46</c:f>
              <c:strCache>
                <c:ptCount val="1"/>
                <c:pt idx="0">
                  <c:v>Low vs Incrment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Diagram'!$E$47:$E$54</c:f>
              <c:numCache>
                <c:formatCode>#,##0.00</c:formatCode>
                <c:ptCount val="8"/>
                <c:pt idx="0">
                  <c:v>83.97</c:v>
                </c:pt>
                <c:pt idx="1">
                  <c:v>71.466821192052976</c:v>
                </c:pt>
                <c:pt idx="2">
                  <c:v>56.72</c:v>
                </c:pt>
                <c:pt idx="3">
                  <c:v>59</c:v>
                </c:pt>
                <c:pt idx="4">
                  <c:v>65</c:v>
                </c:pt>
                <c:pt idx="5">
                  <c:v>57</c:v>
                </c:pt>
                <c:pt idx="6">
                  <c:v>69</c:v>
                </c:pt>
                <c:pt idx="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A-4CF1-903E-B30EC1B4BA5E}"/>
            </c:ext>
          </c:extLst>
        </c:ser>
        <c:ser>
          <c:idx val="1"/>
          <c:order val="1"/>
          <c:tx>
            <c:strRef>
              <c:f>'Football Field Diagram'!$F$46</c:f>
              <c:strCache>
                <c:ptCount val="1"/>
                <c:pt idx="0">
                  <c:v>Increment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Diagram'!$F$47:$F$54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6A-4CF1-903E-B30EC1B4BA5E}"/>
            </c:ext>
          </c:extLst>
        </c:ser>
        <c:ser>
          <c:idx val="2"/>
          <c:order val="2"/>
          <c:tx>
            <c:strRef>
              <c:f>'Football Field Diagram'!$G$46</c:f>
              <c:strCache>
                <c:ptCount val="1"/>
                <c:pt idx="0">
                  <c:v>Hig vs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Diagram'!$G$47:$G$54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6A-4CF1-903E-B30EC1B4BA5E}"/>
            </c:ext>
          </c:extLst>
        </c:ser>
        <c:ser>
          <c:idx val="3"/>
          <c:order val="3"/>
          <c:tx>
            <c:strRef>
              <c:f>'Football Field Diagram'!$H$46</c:f>
              <c:strCache>
                <c:ptCount val="1"/>
                <c:pt idx="0">
                  <c:v>Increment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Diagram'!$H$47:$H$54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6A-4CF1-903E-B30EC1B4B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67616"/>
        <c:axId val="85969152"/>
      </c:barChart>
      <c:catAx>
        <c:axId val="85967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69152"/>
        <c:crosses val="autoZero"/>
        <c:auto val="1"/>
        <c:lblAlgn val="ctr"/>
        <c:lblOffset val="100"/>
        <c:noMultiLvlLbl val="0"/>
      </c:catAx>
      <c:valAx>
        <c:axId val="8596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6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Diagram'!$E$19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'Football Field Diagram'!$B$20:$D$27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Diagram'!$E$20:$E$27</c:f>
              <c:numCache>
                <c:formatCode>#,##0.00</c:formatCode>
                <c:ptCount val="8"/>
                <c:pt idx="0">
                  <c:v>108.97</c:v>
                </c:pt>
                <c:pt idx="1">
                  <c:v>96.466821192052976</c:v>
                </c:pt>
                <c:pt idx="2">
                  <c:v>81.72</c:v>
                </c:pt>
                <c:pt idx="3">
                  <c:v>84</c:v>
                </c:pt>
                <c:pt idx="4">
                  <c:v>90</c:v>
                </c:pt>
                <c:pt idx="5">
                  <c:v>82</c:v>
                </c:pt>
                <c:pt idx="6">
                  <c:v>94</c:v>
                </c:pt>
                <c:pt idx="7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5-4F79-9397-7AC78FC49BD7}"/>
            </c:ext>
          </c:extLst>
        </c:ser>
        <c:ser>
          <c:idx val="1"/>
          <c:order val="1"/>
          <c:tx>
            <c:strRef>
              <c:f>'Football Field Diagram'!$F$19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'Football Field Diagram'!$B$20:$D$27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Diagram'!$F$20:$F$27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5-4F79-9397-7AC78FC49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6168320"/>
        <c:axId val="86169856"/>
      </c:barChart>
      <c:catAx>
        <c:axId val="86168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69856"/>
        <c:crosses val="autoZero"/>
        <c:auto val="1"/>
        <c:lblAlgn val="ctr"/>
        <c:lblOffset val="100"/>
        <c:noMultiLvlLbl val="0"/>
      </c:catAx>
      <c:valAx>
        <c:axId val="8616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Diagram'!$E$46</c:f>
              <c:strCache>
                <c:ptCount val="1"/>
                <c:pt idx="0">
                  <c:v>Low vs Incrment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Diagram'!$E$47:$E$54</c:f>
              <c:numCache>
                <c:formatCode>#,##0.00</c:formatCode>
                <c:ptCount val="8"/>
                <c:pt idx="0">
                  <c:v>83.97</c:v>
                </c:pt>
                <c:pt idx="1">
                  <c:v>71.466821192052976</c:v>
                </c:pt>
                <c:pt idx="2">
                  <c:v>56.72</c:v>
                </c:pt>
                <c:pt idx="3">
                  <c:v>59</c:v>
                </c:pt>
                <c:pt idx="4">
                  <c:v>65</c:v>
                </c:pt>
                <c:pt idx="5">
                  <c:v>57</c:v>
                </c:pt>
                <c:pt idx="6">
                  <c:v>69</c:v>
                </c:pt>
                <c:pt idx="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C3-4CEF-9ECB-9330614C68A4}"/>
            </c:ext>
          </c:extLst>
        </c:ser>
        <c:ser>
          <c:idx val="1"/>
          <c:order val="1"/>
          <c:tx>
            <c:strRef>
              <c:f>'Football Field Diagram'!$F$46</c:f>
              <c:strCache>
                <c:ptCount val="1"/>
                <c:pt idx="0">
                  <c:v>Increment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Diagram'!$F$47:$F$54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3-4CEF-9ECB-9330614C68A4}"/>
            </c:ext>
          </c:extLst>
        </c:ser>
        <c:ser>
          <c:idx val="2"/>
          <c:order val="2"/>
          <c:tx>
            <c:strRef>
              <c:f>'Football Field Diagram'!$G$46</c:f>
              <c:strCache>
                <c:ptCount val="1"/>
                <c:pt idx="0">
                  <c:v>Hig vs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Diagram'!$G$47:$G$54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C3-4CEF-9ECB-9330614C68A4}"/>
            </c:ext>
          </c:extLst>
        </c:ser>
        <c:ser>
          <c:idx val="3"/>
          <c:order val="3"/>
          <c:tx>
            <c:strRef>
              <c:f>'Football Field Diagram'!$H$46</c:f>
              <c:strCache>
                <c:ptCount val="1"/>
                <c:pt idx="0">
                  <c:v>Increment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Diagram'!$H$47:$H$54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C3-4CEF-9ECB-9330614C6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7264640"/>
        <c:axId val="87286912"/>
      </c:barChart>
      <c:catAx>
        <c:axId val="87264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86912"/>
        <c:crosses val="autoZero"/>
        <c:auto val="1"/>
        <c:lblAlgn val="ctr"/>
        <c:lblOffset val="100"/>
        <c:noMultiLvlLbl val="0"/>
      </c:catAx>
      <c:valAx>
        <c:axId val="8728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6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Diagram'!$E$46</c:f>
              <c:strCache>
                <c:ptCount val="1"/>
                <c:pt idx="0">
                  <c:v>Low vs Incrment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Diagram'!$E$47:$E$54</c:f>
              <c:numCache>
                <c:formatCode>#,##0.00</c:formatCode>
                <c:ptCount val="8"/>
                <c:pt idx="0">
                  <c:v>83.97</c:v>
                </c:pt>
                <c:pt idx="1">
                  <c:v>71.466821192052976</c:v>
                </c:pt>
                <c:pt idx="2">
                  <c:v>56.72</c:v>
                </c:pt>
                <c:pt idx="3">
                  <c:v>59</c:v>
                </c:pt>
                <c:pt idx="4">
                  <c:v>65</c:v>
                </c:pt>
                <c:pt idx="5">
                  <c:v>57</c:v>
                </c:pt>
                <c:pt idx="6">
                  <c:v>69</c:v>
                </c:pt>
                <c:pt idx="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94-4ADD-AA03-2C626F364136}"/>
            </c:ext>
          </c:extLst>
        </c:ser>
        <c:ser>
          <c:idx val="1"/>
          <c:order val="1"/>
          <c:tx>
            <c:strRef>
              <c:f>'Football Field Diagram'!$F$46</c:f>
              <c:strCache>
                <c:ptCount val="1"/>
                <c:pt idx="0">
                  <c:v>Increment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7"/>
              <c:tx>
                <c:strRef>
                  <c:f>'Football Field Diagram'!$E$6</c:f>
                  <c:strCache>
                    <c:ptCount val="1"/>
                    <c:pt idx="0">
                      <c:v>108.97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{EA9507BF-7BB5-42BE-BCC9-4A30F5277D99}</c15:txfldGUID>
                      <c15:f>'Football Field Diagram'!$E$6</c15:f>
                      <c15:dlblFieldTableCache>
                        <c:ptCount val="1"/>
                        <c:pt idx="0">
                          <c:v>108.97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A94-4ADD-AA03-2C626F3641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Diagram'!$F$47:$F$54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94-4ADD-AA03-2C626F364136}"/>
            </c:ext>
          </c:extLst>
        </c:ser>
        <c:ser>
          <c:idx val="2"/>
          <c:order val="2"/>
          <c:tx>
            <c:strRef>
              <c:f>'Football Field Diagram'!$G$46</c:f>
              <c:strCache>
                <c:ptCount val="1"/>
                <c:pt idx="0">
                  <c:v>Hig vs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Diagram'!$G$47:$G$54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94-4ADD-AA03-2C626F364136}"/>
            </c:ext>
          </c:extLst>
        </c:ser>
        <c:ser>
          <c:idx val="3"/>
          <c:order val="3"/>
          <c:tx>
            <c:strRef>
              <c:f>'Football Field Diagram'!$H$46</c:f>
              <c:strCache>
                <c:ptCount val="1"/>
                <c:pt idx="0">
                  <c:v>Increment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Diagram'!$H$47:$H$54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94-4ADD-AA03-2C626F364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7337984"/>
        <c:axId val="87356160"/>
      </c:barChart>
      <c:catAx>
        <c:axId val="87337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160"/>
        <c:crosses val="autoZero"/>
        <c:auto val="1"/>
        <c:lblAlgn val="ctr"/>
        <c:lblOffset val="100"/>
        <c:noMultiLvlLbl val="0"/>
      </c:catAx>
      <c:valAx>
        <c:axId val="8735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3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Diagram'!$E$46</c:f>
              <c:strCache>
                <c:ptCount val="1"/>
                <c:pt idx="0">
                  <c:v>Low vs Incrment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Diagram'!$E$47:$E$54</c:f>
              <c:numCache>
                <c:formatCode>#,##0.00</c:formatCode>
                <c:ptCount val="8"/>
                <c:pt idx="0">
                  <c:v>83.97</c:v>
                </c:pt>
                <c:pt idx="1">
                  <c:v>71.466821192052976</c:v>
                </c:pt>
                <c:pt idx="2">
                  <c:v>56.72</c:v>
                </c:pt>
                <c:pt idx="3">
                  <c:v>59</c:v>
                </c:pt>
                <c:pt idx="4">
                  <c:v>65</c:v>
                </c:pt>
                <c:pt idx="5">
                  <c:v>57</c:v>
                </c:pt>
                <c:pt idx="6">
                  <c:v>69</c:v>
                </c:pt>
                <c:pt idx="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3-44D0-B9A2-A4183B08EC09}"/>
            </c:ext>
          </c:extLst>
        </c:ser>
        <c:ser>
          <c:idx val="1"/>
          <c:order val="1"/>
          <c:tx>
            <c:strRef>
              <c:f>'Football Field Diagram'!$F$46</c:f>
              <c:strCache>
                <c:ptCount val="1"/>
                <c:pt idx="0">
                  <c:v>Increment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strRef>
                  <c:f>'Football Field Diagram'!$F$119</c:f>
                  <c:strCache>
                    <c:ptCount val="1"/>
                    <c:pt idx="0">
                      <c:v>91.00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{4CEBB9E6-2D56-4465-A5C4-69B03E9C02A5}</c15:txfldGUID>
                      <c15:f>'Football Field Diagram'!$F$119</c15:f>
                      <c15:dlblFieldTableCache>
                        <c:ptCount val="1"/>
                        <c:pt idx="0">
                          <c:v>91.00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D23-44D0-B9A2-A4183B08EC09}"/>
                </c:ext>
              </c:extLst>
            </c:dLbl>
            <c:dLbl>
              <c:idx val="1"/>
              <c:tx>
                <c:strRef>
                  <c:f>'Football Field Diagram'!$F$118</c:f>
                  <c:strCache>
                    <c:ptCount val="1"/>
                    <c:pt idx="0">
                      <c:v>94.00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{A5266E9A-7C6A-46D9-AF66-69F683258075}</c15:txfldGUID>
                      <c15:f>'Football Field Diagram'!$F$118</c15:f>
                      <c15:dlblFieldTableCache>
                        <c:ptCount val="1"/>
                        <c:pt idx="0">
                          <c:v>94.00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D23-44D0-B9A2-A4183B08EC09}"/>
                </c:ext>
              </c:extLst>
            </c:dLbl>
            <c:dLbl>
              <c:idx val="2"/>
              <c:tx>
                <c:strRef>
                  <c:f>'Football Field Diagram'!$F$117</c:f>
                  <c:strCache>
                    <c:ptCount val="1"/>
                    <c:pt idx="0">
                      <c:v>82.00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{1E9DD2A9-E2D5-4974-900F-16E0ECD2F433}</c15:txfldGUID>
                      <c15:f>'Football Field Diagram'!$F$117</c15:f>
                      <c15:dlblFieldTableCache>
                        <c:ptCount val="1"/>
                        <c:pt idx="0">
                          <c:v>82.00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D23-44D0-B9A2-A4183B08EC09}"/>
                </c:ext>
              </c:extLst>
            </c:dLbl>
            <c:dLbl>
              <c:idx val="3"/>
              <c:tx>
                <c:strRef>
                  <c:f>'Football Field Diagram'!$F$116</c:f>
                  <c:strCache>
                    <c:ptCount val="1"/>
                    <c:pt idx="0">
                      <c:v>90.00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{2AA3A50F-9750-49A8-B1FC-9F43EA6C8E27}</c15:txfldGUID>
                      <c15:f>'Football Field Diagram'!$F$116</c15:f>
                      <c15:dlblFieldTableCache>
                        <c:ptCount val="1"/>
                        <c:pt idx="0">
                          <c:v>90.00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D23-44D0-B9A2-A4183B08EC09}"/>
                </c:ext>
              </c:extLst>
            </c:dLbl>
            <c:dLbl>
              <c:idx val="4"/>
              <c:tx>
                <c:strRef>
                  <c:f>'Football Field Diagram'!$F$115</c:f>
                  <c:strCache>
                    <c:ptCount val="1"/>
                    <c:pt idx="0">
                      <c:v>84.00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{41242B48-6A47-4D42-8857-BCAD2B41817A}</c15:txfldGUID>
                      <c15:f>'Football Field Diagram'!$F$115</c15:f>
                      <c15:dlblFieldTableCache>
                        <c:ptCount val="1"/>
                        <c:pt idx="0">
                          <c:v>84.00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D23-44D0-B9A2-A4183B08EC09}"/>
                </c:ext>
              </c:extLst>
            </c:dLbl>
            <c:dLbl>
              <c:idx val="5"/>
              <c:tx>
                <c:strRef>
                  <c:f>'Football Field Diagram'!$F$114</c:f>
                  <c:strCache>
                    <c:ptCount val="1"/>
                    <c:pt idx="0">
                      <c:v>81.72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{E363ADED-F346-4572-830D-DF5C223D74AE}</c15:txfldGUID>
                      <c15:f>'Football Field Diagram'!$F$114</c15:f>
                      <c15:dlblFieldTableCache>
                        <c:ptCount val="1"/>
                        <c:pt idx="0">
                          <c:v>81.72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D23-44D0-B9A2-A4183B08EC09}"/>
                </c:ext>
              </c:extLst>
            </c:dLbl>
            <c:dLbl>
              <c:idx val="6"/>
              <c:tx>
                <c:strRef>
                  <c:f>'Football Field Diagram'!$F$113</c:f>
                  <c:strCache>
                    <c:ptCount val="1"/>
                    <c:pt idx="0">
                      <c:v>96.47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{8103D22F-11CB-4BDC-BECB-9C07A25C63AB}</c15:txfldGUID>
                      <c15:f>'Football Field Diagram'!$F$113</c15:f>
                      <c15:dlblFieldTableCache>
                        <c:ptCount val="1"/>
                        <c:pt idx="0">
                          <c:v>96.47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D23-44D0-B9A2-A4183B08EC09}"/>
                </c:ext>
              </c:extLst>
            </c:dLbl>
            <c:dLbl>
              <c:idx val="7"/>
              <c:tx>
                <c:strRef>
                  <c:f>'Football Field Diagram'!$E$6</c:f>
                  <c:strCache>
                    <c:ptCount val="1"/>
                    <c:pt idx="0">
                      <c:v>108.97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{4CCBA427-06D8-4F7E-B5FB-47483E98A28E}</c15:txfldGUID>
                      <c15:f>'Football Field Diagram'!$E$6</c15:f>
                      <c15:dlblFieldTableCache>
                        <c:ptCount val="1"/>
                        <c:pt idx="0">
                          <c:v>108.97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D23-44D0-B9A2-A4183B08EC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Diagram'!$F$47:$F$54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3-44D0-B9A2-A4183B08EC09}"/>
            </c:ext>
          </c:extLst>
        </c:ser>
        <c:ser>
          <c:idx val="2"/>
          <c:order val="2"/>
          <c:tx>
            <c:strRef>
              <c:f>'Football Field Diagram'!$G$46</c:f>
              <c:strCache>
                <c:ptCount val="1"/>
                <c:pt idx="0">
                  <c:v>Hig vs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Diagram'!$G$47:$G$54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23-44D0-B9A2-A4183B08EC09}"/>
            </c:ext>
          </c:extLst>
        </c:ser>
        <c:ser>
          <c:idx val="3"/>
          <c:order val="3"/>
          <c:tx>
            <c:strRef>
              <c:f>'Football Field Diagram'!$H$46</c:f>
              <c:strCache>
                <c:ptCount val="1"/>
                <c:pt idx="0">
                  <c:v>Increment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strRef>
                  <c:f>'Football Field Diagram'!$G$119</c:f>
                  <c:strCache>
                    <c:ptCount val="1"/>
                    <c:pt idx="0">
                      <c:v>140.00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{15134D4B-1CA1-421C-97DC-4A0A443E8053}</c15:txfldGUID>
                      <c15:f>'Football Field Diagram'!$G$119</c15:f>
                      <c15:dlblFieldTableCache>
                        <c:ptCount val="1"/>
                        <c:pt idx="0">
                          <c:v>140.00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D23-44D0-B9A2-A4183B08EC09}"/>
                </c:ext>
              </c:extLst>
            </c:dLbl>
            <c:dLbl>
              <c:idx val="1"/>
              <c:tx>
                <c:strRef>
                  <c:f>'Football Field Diagram'!$G$118</c:f>
                  <c:strCache>
                    <c:ptCount val="1"/>
                    <c:pt idx="0">
                      <c:v>150.00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{0CCA7972-8A3F-46A8-8115-7E9B6D659956}</c15:txfldGUID>
                      <c15:f>'Football Field Diagram'!$G$118</c15:f>
                      <c15:dlblFieldTableCache>
                        <c:ptCount val="1"/>
                        <c:pt idx="0">
                          <c:v>150.00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D23-44D0-B9A2-A4183B08EC09}"/>
                </c:ext>
              </c:extLst>
            </c:dLbl>
            <c:dLbl>
              <c:idx val="2"/>
              <c:tx>
                <c:strRef>
                  <c:f>'Football Field Diagram'!$G$117</c:f>
                  <c:strCache>
                    <c:ptCount val="1"/>
                    <c:pt idx="0">
                      <c:v>136.00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{0BE605C0-C8E7-4FE7-A8A4-2AB1B4FA9011}</c15:txfldGUID>
                      <c15:f>'Football Field Diagram'!$G$117</c15:f>
                      <c15:dlblFieldTableCache>
                        <c:ptCount val="1"/>
                        <c:pt idx="0">
                          <c:v>136.00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D23-44D0-B9A2-A4183B08EC09}"/>
                </c:ext>
              </c:extLst>
            </c:dLbl>
            <c:dLbl>
              <c:idx val="3"/>
              <c:tx>
                <c:strRef>
                  <c:f>'Football Field Diagram'!$G$116</c:f>
                  <c:strCache>
                    <c:ptCount val="1"/>
                    <c:pt idx="0">
                      <c:v>135.00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{521FBAE8-6D07-406F-B99D-F452041B0DEF}</c15:txfldGUID>
                      <c15:f>'Football Field Diagram'!$G$116</c15:f>
                      <c15:dlblFieldTableCache>
                        <c:ptCount val="1"/>
                        <c:pt idx="0">
                          <c:v>135.00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D23-44D0-B9A2-A4183B08EC09}"/>
                </c:ext>
              </c:extLst>
            </c:dLbl>
            <c:dLbl>
              <c:idx val="4"/>
              <c:tx>
                <c:strRef>
                  <c:f>'Football Field Diagram'!$G$115</c:f>
                  <c:strCache>
                    <c:ptCount val="1"/>
                    <c:pt idx="0">
                      <c:v>140.00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{ED5E1F5E-B508-4A18-85F7-640ABE199E48}</c15:txfldGUID>
                      <c15:f>'Football Field Diagram'!$G$115</c15:f>
                      <c15:dlblFieldTableCache>
                        <c:ptCount val="1"/>
                        <c:pt idx="0">
                          <c:v>140.00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D23-44D0-B9A2-A4183B08EC09}"/>
                </c:ext>
              </c:extLst>
            </c:dLbl>
            <c:dLbl>
              <c:idx val="5"/>
              <c:tx>
                <c:strRef>
                  <c:f>'Football Field Diagram'!$G$114</c:f>
                  <c:strCache>
                    <c:ptCount val="1"/>
                    <c:pt idx="0">
                      <c:v>136.20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{D892EAD5-4FAD-463F-8604-064585F52A39}</c15:txfldGUID>
                      <c15:f>'Football Field Diagram'!$G$114</c15:f>
                      <c15:dlblFieldTableCache>
                        <c:ptCount val="1"/>
                        <c:pt idx="0">
                          <c:v>136.20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D23-44D0-B9A2-A4183B08EC09}"/>
                </c:ext>
              </c:extLst>
            </c:dLbl>
            <c:dLbl>
              <c:idx val="6"/>
              <c:tx>
                <c:strRef>
                  <c:f>'Football Field Diagram'!$G$113</c:f>
                  <c:strCache>
                    <c:ptCount val="1"/>
                    <c:pt idx="0">
                      <c:v>129.78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{042F3129-4CC3-425D-884D-BDC4DDB2DD33}</c15:txfldGUID>
                      <c15:f>'Football Field Diagram'!$G$113</c15:f>
                      <c15:dlblFieldTableCache>
                        <c:ptCount val="1"/>
                        <c:pt idx="0">
                          <c:v>129.78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D23-44D0-B9A2-A4183B08EC09}"/>
                </c:ext>
              </c:extLst>
            </c:dLbl>
            <c:dLbl>
              <c:idx val="7"/>
              <c:tx>
                <c:strRef>
                  <c:f>'Football Field Diagram'!$G$112</c:f>
                  <c:strCache>
                    <c:ptCount val="1"/>
                    <c:pt idx="0">
                      <c:v>134.61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{8D24E793-8C3C-4769-8F11-00E2AEB7BDA9}</c15:txfldGUID>
                      <c15:f>'Football Field Diagram'!$G$112</c15:f>
                      <c15:dlblFieldTableCache>
                        <c:ptCount val="1"/>
                        <c:pt idx="0">
                          <c:v>134.61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D23-44D0-B9A2-A4183B08EC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Diagram'!$H$47:$H$54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23-44D0-B9A2-A4183B08E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7438464"/>
        <c:axId val="87440000"/>
      </c:barChart>
      <c:catAx>
        <c:axId val="87438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40000"/>
        <c:crosses val="autoZero"/>
        <c:auto val="1"/>
        <c:lblAlgn val="ctr"/>
        <c:lblOffset val="100"/>
        <c:noMultiLvlLbl val="0"/>
      </c:catAx>
      <c:valAx>
        <c:axId val="8744000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3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Football Field Diagram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 Diagram'!$E$46</c:f>
              <c:strCache>
                <c:ptCount val="1"/>
                <c:pt idx="0">
                  <c:v>Low vs Incrment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Diagram'!$E$47:$E$54</c:f>
              <c:numCache>
                <c:formatCode>#,##0.00</c:formatCode>
                <c:ptCount val="8"/>
                <c:pt idx="0">
                  <c:v>83.97</c:v>
                </c:pt>
                <c:pt idx="1">
                  <c:v>71.466821192052976</c:v>
                </c:pt>
                <c:pt idx="2">
                  <c:v>56.72</c:v>
                </c:pt>
                <c:pt idx="3">
                  <c:v>59</c:v>
                </c:pt>
                <c:pt idx="4">
                  <c:v>65</c:v>
                </c:pt>
                <c:pt idx="5">
                  <c:v>57</c:v>
                </c:pt>
                <c:pt idx="6">
                  <c:v>69</c:v>
                </c:pt>
                <c:pt idx="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A-4CAF-B86B-C724607ACC63}"/>
            </c:ext>
          </c:extLst>
        </c:ser>
        <c:ser>
          <c:idx val="1"/>
          <c:order val="1"/>
          <c:tx>
            <c:strRef>
              <c:f>'Football Field Diagram'!$F$46</c:f>
              <c:strCache>
                <c:ptCount val="1"/>
                <c:pt idx="0">
                  <c:v>Increment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strRef>
                  <c:f>'Football Field Diagram'!$F$119</c:f>
                  <c:strCache>
                    <c:ptCount val="1"/>
                    <c:pt idx="0">
                      <c:v>91.00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{9AA40D55-739C-4A84-8392-D5E3A35A6DCA}</c15:txfldGUID>
                      <c15:f>'Football Field Diagram'!$F$119</c15:f>
                      <c15:dlblFieldTableCache>
                        <c:ptCount val="1"/>
                        <c:pt idx="0">
                          <c:v>91.00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F3A-4CAF-B86B-C724607ACC63}"/>
                </c:ext>
              </c:extLst>
            </c:dLbl>
            <c:dLbl>
              <c:idx val="1"/>
              <c:tx>
                <c:strRef>
                  <c:f>'Football Field Diagram'!$F$118</c:f>
                  <c:strCache>
                    <c:ptCount val="1"/>
                    <c:pt idx="0">
                      <c:v>94.00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{D1B200A1-F933-4A68-92D9-F3D46D18D100}</c15:txfldGUID>
                      <c15:f>'Football Field Diagram'!$F$118</c15:f>
                      <c15:dlblFieldTableCache>
                        <c:ptCount val="1"/>
                        <c:pt idx="0">
                          <c:v>94.00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F3A-4CAF-B86B-C724607ACC63}"/>
                </c:ext>
              </c:extLst>
            </c:dLbl>
            <c:dLbl>
              <c:idx val="2"/>
              <c:tx>
                <c:strRef>
                  <c:f>'Football Field Diagram'!$F$117</c:f>
                  <c:strCache>
                    <c:ptCount val="1"/>
                    <c:pt idx="0">
                      <c:v>82.00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{EBBC8A05-69B8-45DA-BD6D-879B24212084}</c15:txfldGUID>
                      <c15:f>'Football Field Diagram'!$F$117</c15:f>
                      <c15:dlblFieldTableCache>
                        <c:ptCount val="1"/>
                        <c:pt idx="0">
                          <c:v>82.00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F3A-4CAF-B86B-C724607ACC63}"/>
                </c:ext>
              </c:extLst>
            </c:dLbl>
            <c:dLbl>
              <c:idx val="3"/>
              <c:tx>
                <c:strRef>
                  <c:f>'Football Field Diagram'!$F$116</c:f>
                  <c:strCache>
                    <c:ptCount val="1"/>
                    <c:pt idx="0">
                      <c:v>90.00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{9557142C-1637-4991-97BE-D0085F7DD3CD}</c15:txfldGUID>
                      <c15:f>'Football Field Diagram'!$F$116</c15:f>
                      <c15:dlblFieldTableCache>
                        <c:ptCount val="1"/>
                        <c:pt idx="0">
                          <c:v>90.00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F3A-4CAF-B86B-C724607ACC63}"/>
                </c:ext>
              </c:extLst>
            </c:dLbl>
            <c:dLbl>
              <c:idx val="4"/>
              <c:tx>
                <c:strRef>
                  <c:f>'Football Field Diagram'!$F$115</c:f>
                  <c:strCache>
                    <c:ptCount val="1"/>
                    <c:pt idx="0">
                      <c:v>84.00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{A8822C4B-FECD-41FB-9D87-88186776D61E}</c15:txfldGUID>
                      <c15:f>'Football Field Diagram'!$F$115</c15:f>
                      <c15:dlblFieldTableCache>
                        <c:ptCount val="1"/>
                        <c:pt idx="0">
                          <c:v>84.00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F3A-4CAF-B86B-C724607ACC63}"/>
                </c:ext>
              </c:extLst>
            </c:dLbl>
            <c:dLbl>
              <c:idx val="5"/>
              <c:tx>
                <c:strRef>
                  <c:f>'Football Field Diagram'!$F$114</c:f>
                  <c:strCache>
                    <c:ptCount val="1"/>
                    <c:pt idx="0">
                      <c:v>81.72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{E9EF42F0-0AC6-40EC-ABFA-A978B0AEFF06}</c15:txfldGUID>
                      <c15:f>'Football Field Diagram'!$F$114</c15:f>
                      <c15:dlblFieldTableCache>
                        <c:ptCount val="1"/>
                        <c:pt idx="0">
                          <c:v>81.72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F3A-4CAF-B86B-C724607ACC63}"/>
                </c:ext>
              </c:extLst>
            </c:dLbl>
            <c:dLbl>
              <c:idx val="6"/>
              <c:tx>
                <c:strRef>
                  <c:f>'Football Field Diagram'!$F$113</c:f>
                  <c:strCache>
                    <c:ptCount val="1"/>
                    <c:pt idx="0">
                      <c:v>96.47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{5EBFAA6D-097E-43B6-A969-97074E505FA1}</c15:txfldGUID>
                      <c15:f>'Football Field Diagram'!$F$113</c15:f>
                      <c15:dlblFieldTableCache>
                        <c:ptCount val="1"/>
                        <c:pt idx="0">
                          <c:v>96.47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F3A-4CAF-B86B-C724607ACC63}"/>
                </c:ext>
              </c:extLst>
            </c:dLbl>
            <c:dLbl>
              <c:idx val="7"/>
              <c:tx>
                <c:strRef>
                  <c:f>'Football Field Diagram'!$E$6</c:f>
                  <c:strCache>
                    <c:ptCount val="1"/>
                    <c:pt idx="0">
                      <c:v>108.97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{F93D0285-5122-4330-849C-58944BBC7B7B}</c15:txfldGUID>
                      <c15:f>'Football Field Diagram'!$E$6</c15:f>
                      <c15:dlblFieldTableCache>
                        <c:ptCount val="1"/>
                        <c:pt idx="0">
                          <c:v>108.97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F3A-4CAF-B86B-C724607ACC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Diagram'!$F$47:$F$54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3A-4CAF-B86B-C724607ACC63}"/>
            </c:ext>
          </c:extLst>
        </c:ser>
        <c:ser>
          <c:idx val="2"/>
          <c:order val="2"/>
          <c:tx>
            <c:strRef>
              <c:f>'Football Field Diagram'!$G$46</c:f>
              <c:strCache>
                <c:ptCount val="1"/>
                <c:pt idx="0">
                  <c:v>Hig vs Low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Diagram'!$G$47:$G$54</c:f>
              <c:numCache>
                <c:formatCode>#,##0.00</c:formatCode>
                <c:ptCount val="8"/>
                <c:pt idx="0">
                  <c:v>25.640000000000015</c:v>
                </c:pt>
                <c:pt idx="1">
                  <c:v>33.317880794701978</c:v>
                </c:pt>
                <c:pt idx="2">
                  <c:v>54.47999999999999</c:v>
                </c:pt>
                <c:pt idx="3">
                  <c:v>56</c:v>
                </c:pt>
                <c:pt idx="4">
                  <c:v>45</c:v>
                </c:pt>
                <c:pt idx="5">
                  <c:v>54</c:v>
                </c:pt>
                <c:pt idx="6">
                  <c:v>56</c:v>
                </c:pt>
                <c:pt idx="7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3A-4CAF-B86B-C724607ACC63}"/>
            </c:ext>
          </c:extLst>
        </c:ser>
        <c:ser>
          <c:idx val="3"/>
          <c:order val="3"/>
          <c:tx>
            <c:strRef>
              <c:f>'Football Field Diagram'!$H$46</c:f>
              <c:strCache>
                <c:ptCount val="1"/>
                <c:pt idx="0">
                  <c:v>Increment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strRef>
                  <c:f>'Football Field Diagram'!$G$119</c:f>
                  <c:strCache>
                    <c:ptCount val="1"/>
                    <c:pt idx="0">
                      <c:v>140.00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{B87651B8-D714-454B-BDEE-062C9FA862E8}</c15:txfldGUID>
                      <c15:f>'Football Field Diagram'!$G$119</c15:f>
                      <c15:dlblFieldTableCache>
                        <c:ptCount val="1"/>
                        <c:pt idx="0">
                          <c:v>140.00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F3A-4CAF-B86B-C724607ACC63}"/>
                </c:ext>
              </c:extLst>
            </c:dLbl>
            <c:dLbl>
              <c:idx val="1"/>
              <c:tx>
                <c:strRef>
                  <c:f>'Football Field Diagram'!$G$118</c:f>
                  <c:strCache>
                    <c:ptCount val="1"/>
                    <c:pt idx="0">
                      <c:v>150.00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{BA4A65FF-68C8-41D3-B683-6A030F951C9B}</c15:txfldGUID>
                      <c15:f>'Football Field Diagram'!$G$118</c15:f>
                      <c15:dlblFieldTableCache>
                        <c:ptCount val="1"/>
                        <c:pt idx="0">
                          <c:v>150.00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F3A-4CAF-B86B-C724607ACC63}"/>
                </c:ext>
              </c:extLst>
            </c:dLbl>
            <c:dLbl>
              <c:idx val="2"/>
              <c:tx>
                <c:strRef>
                  <c:f>'Football Field Diagram'!$G$117</c:f>
                  <c:strCache>
                    <c:ptCount val="1"/>
                    <c:pt idx="0">
                      <c:v>136.00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{1550FE12-4162-4DF6-A744-319B64CAD49B}</c15:txfldGUID>
                      <c15:f>'Football Field Diagram'!$G$117</c15:f>
                      <c15:dlblFieldTableCache>
                        <c:ptCount val="1"/>
                        <c:pt idx="0">
                          <c:v>136.00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F3A-4CAF-B86B-C724607ACC63}"/>
                </c:ext>
              </c:extLst>
            </c:dLbl>
            <c:dLbl>
              <c:idx val="3"/>
              <c:tx>
                <c:strRef>
                  <c:f>'Football Field Diagram'!$G$116</c:f>
                  <c:strCache>
                    <c:ptCount val="1"/>
                    <c:pt idx="0">
                      <c:v>135.00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{4EB758CB-0518-45FB-9B86-215B4B3A5CDA}</c15:txfldGUID>
                      <c15:f>'Football Field Diagram'!$G$116</c15:f>
                      <c15:dlblFieldTableCache>
                        <c:ptCount val="1"/>
                        <c:pt idx="0">
                          <c:v>135.00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F3A-4CAF-B86B-C724607ACC63}"/>
                </c:ext>
              </c:extLst>
            </c:dLbl>
            <c:dLbl>
              <c:idx val="4"/>
              <c:tx>
                <c:strRef>
                  <c:f>'Football Field Diagram'!$G$115</c:f>
                  <c:strCache>
                    <c:ptCount val="1"/>
                    <c:pt idx="0">
                      <c:v>140.00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{BD7D5994-BCFE-46DA-BEF7-B92E5ADE0FA2}</c15:txfldGUID>
                      <c15:f>'Football Field Diagram'!$G$115</c15:f>
                      <c15:dlblFieldTableCache>
                        <c:ptCount val="1"/>
                        <c:pt idx="0">
                          <c:v>140.00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F3A-4CAF-B86B-C724607ACC63}"/>
                </c:ext>
              </c:extLst>
            </c:dLbl>
            <c:dLbl>
              <c:idx val="5"/>
              <c:tx>
                <c:strRef>
                  <c:f>'Football Field Diagram'!$G$114</c:f>
                  <c:strCache>
                    <c:ptCount val="1"/>
                    <c:pt idx="0">
                      <c:v>136.20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{CB4E4CD2-C7DC-49A7-8322-B7FF42C6D50B}</c15:txfldGUID>
                      <c15:f>'Football Field Diagram'!$G$114</c15:f>
                      <c15:dlblFieldTableCache>
                        <c:ptCount val="1"/>
                        <c:pt idx="0">
                          <c:v>136.20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F3A-4CAF-B86B-C724607ACC63}"/>
                </c:ext>
              </c:extLst>
            </c:dLbl>
            <c:dLbl>
              <c:idx val="6"/>
              <c:tx>
                <c:strRef>
                  <c:f>'Football Field Diagram'!$G$113</c:f>
                  <c:strCache>
                    <c:ptCount val="1"/>
                    <c:pt idx="0">
                      <c:v>129.78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{947AA7C1-C673-4761-8C98-3A8B3C7DAB49}</c15:txfldGUID>
                      <c15:f>'Football Field Diagram'!$G$113</c15:f>
                      <c15:dlblFieldTableCache>
                        <c:ptCount val="1"/>
                        <c:pt idx="0">
                          <c:v>129.78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CF3A-4CAF-B86B-C724607ACC63}"/>
                </c:ext>
              </c:extLst>
            </c:dLbl>
            <c:dLbl>
              <c:idx val="7"/>
              <c:tx>
                <c:strRef>
                  <c:f>'Football Field Diagram'!$G$112</c:f>
                  <c:strCache>
                    <c:ptCount val="1"/>
                    <c:pt idx="0">
                      <c:v>134.61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{B0A1B719-3830-4DB7-8945-74F8307D7CF4}</c15:txfldGUID>
                      <c15:f>'Football Field Diagram'!$G$112</c15:f>
                      <c15:dlblFieldTableCache>
                        <c:ptCount val="1"/>
                        <c:pt idx="0">
                          <c:v>134.61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F3A-4CAF-B86B-C724607ACC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 Diagram'!$B$47:$D$54</c:f>
              <c:strCache>
                <c:ptCount val="8"/>
                <c:pt idx="0">
                  <c:v>P/E Multiple - Public</c:v>
                </c:pt>
                <c:pt idx="1">
                  <c:v>EV/EBITDA Multiple - Public</c:v>
                </c:pt>
                <c:pt idx="2">
                  <c:v>P/B Multiple - Public</c:v>
                </c:pt>
                <c:pt idx="3">
                  <c:v>DCF - Growth</c:v>
                </c:pt>
                <c:pt idx="4">
                  <c:v>DCF - EV/EBITDA Multiple</c:v>
                </c:pt>
                <c:pt idx="5">
                  <c:v>DCF - Value Driver</c:v>
                </c:pt>
                <c:pt idx="6">
                  <c:v>LBO Implied</c:v>
                </c:pt>
                <c:pt idx="7">
                  <c:v>Accretion</c:v>
                </c:pt>
              </c:strCache>
            </c:strRef>
          </c:cat>
          <c:val>
            <c:numRef>
              <c:f>'Football Field Diagram'!$H$47:$H$54</c:f>
              <c:numCache>
                <c:formatCode>#,##0.00</c:formatCode>
                <c:ptCount val="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F3A-4CAF-B86B-C724607AC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87555072"/>
        <c:axId val="87597824"/>
      </c:barChart>
      <c:catAx>
        <c:axId val="87555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97824"/>
        <c:crosses val="autoZero"/>
        <c:auto val="1"/>
        <c:lblAlgn val="ctr"/>
        <c:lblOffset val="100"/>
        <c:noMultiLvlLbl val="0"/>
      </c:catAx>
      <c:valAx>
        <c:axId val="87597824"/>
        <c:scaling>
          <c:orientation val="minMax"/>
          <c:max val="2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5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Different 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 to EBITDA'!$I$3:$I$5</c:f>
              <c:strCache>
                <c:ptCount val="3"/>
                <c:pt idx="0">
                  <c:v>EV/EBITDA</c:v>
                </c:pt>
                <c:pt idx="1">
                  <c:v>EV/EBIT</c:v>
                </c:pt>
                <c:pt idx="2">
                  <c:v>EV/NOPAT</c:v>
                </c:pt>
              </c:strCache>
            </c:strRef>
          </c:cat>
          <c:val>
            <c:numRef>
              <c:f>'EV to EBITDA'!$J$3:$J$5</c:f>
              <c:numCache>
                <c:formatCode>#,##0.00</c:formatCode>
                <c:ptCount val="3"/>
                <c:pt idx="0">
                  <c:v>12.003417497478008</c:v>
                </c:pt>
                <c:pt idx="1">
                  <c:v>17.351770404384542</c:v>
                </c:pt>
                <c:pt idx="2">
                  <c:v>24.78824343483506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6-4013-8751-355FFBF17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589888"/>
        <c:axId val="93591424"/>
      </c:barChart>
      <c:catAx>
        <c:axId val="9358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91424"/>
        <c:crosses val="autoZero"/>
        <c:auto val="1"/>
        <c:lblAlgn val="ctr"/>
        <c:lblOffset val="100"/>
        <c:noMultiLvlLbl val="0"/>
      </c:catAx>
      <c:valAx>
        <c:axId val="9359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8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940272709813729E-2"/>
          <c:y val="0.11243421052631583"/>
          <c:w val="0.89258664618142247"/>
          <c:h val="0.6396307147653056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'Inflation and PE'!$E$59:$E$125</c:f>
              <c:numCache>
                <c:formatCode>d\-mmm\-yy</c:formatCode>
                <c:ptCount val="67"/>
                <c:pt idx="0">
                  <c:v>18994</c:v>
                </c:pt>
                <c:pt idx="1">
                  <c:v>19360</c:v>
                </c:pt>
                <c:pt idx="2">
                  <c:v>19725</c:v>
                </c:pt>
                <c:pt idx="3">
                  <c:v>20090</c:v>
                </c:pt>
                <c:pt idx="4">
                  <c:v>20455</c:v>
                </c:pt>
                <c:pt idx="5">
                  <c:v>20821</c:v>
                </c:pt>
                <c:pt idx="6">
                  <c:v>21186</c:v>
                </c:pt>
                <c:pt idx="7">
                  <c:v>21551</c:v>
                </c:pt>
                <c:pt idx="8">
                  <c:v>21916</c:v>
                </c:pt>
                <c:pt idx="9">
                  <c:v>22282</c:v>
                </c:pt>
                <c:pt idx="10">
                  <c:v>22647</c:v>
                </c:pt>
                <c:pt idx="11">
                  <c:v>23012</c:v>
                </c:pt>
                <c:pt idx="12">
                  <c:v>23377</c:v>
                </c:pt>
                <c:pt idx="13">
                  <c:v>23743</c:v>
                </c:pt>
                <c:pt idx="14">
                  <c:v>24108</c:v>
                </c:pt>
                <c:pt idx="15">
                  <c:v>24473</c:v>
                </c:pt>
                <c:pt idx="16">
                  <c:v>24838</c:v>
                </c:pt>
                <c:pt idx="17">
                  <c:v>25204</c:v>
                </c:pt>
                <c:pt idx="18">
                  <c:v>25569</c:v>
                </c:pt>
                <c:pt idx="19">
                  <c:v>25934</c:v>
                </c:pt>
                <c:pt idx="20">
                  <c:v>26299</c:v>
                </c:pt>
                <c:pt idx="21">
                  <c:v>26665</c:v>
                </c:pt>
                <c:pt idx="22">
                  <c:v>27030</c:v>
                </c:pt>
                <c:pt idx="23">
                  <c:v>27395</c:v>
                </c:pt>
                <c:pt idx="24">
                  <c:v>27760</c:v>
                </c:pt>
                <c:pt idx="25">
                  <c:v>28126</c:v>
                </c:pt>
                <c:pt idx="26">
                  <c:v>28491</c:v>
                </c:pt>
                <c:pt idx="27">
                  <c:v>28856</c:v>
                </c:pt>
                <c:pt idx="28">
                  <c:v>29221</c:v>
                </c:pt>
                <c:pt idx="29">
                  <c:v>29587</c:v>
                </c:pt>
                <c:pt idx="30">
                  <c:v>29952</c:v>
                </c:pt>
                <c:pt idx="31">
                  <c:v>30317</c:v>
                </c:pt>
                <c:pt idx="32">
                  <c:v>30682</c:v>
                </c:pt>
                <c:pt idx="33">
                  <c:v>31048</c:v>
                </c:pt>
                <c:pt idx="34">
                  <c:v>31413</c:v>
                </c:pt>
                <c:pt idx="35">
                  <c:v>31778</c:v>
                </c:pt>
                <c:pt idx="36">
                  <c:v>32143</c:v>
                </c:pt>
                <c:pt idx="37">
                  <c:v>32509</c:v>
                </c:pt>
                <c:pt idx="38">
                  <c:v>32874</c:v>
                </c:pt>
                <c:pt idx="39">
                  <c:v>33239</c:v>
                </c:pt>
                <c:pt idx="40">
                  <c:v>33604</c:v>
                </c:pt>
                <c:pt idx="41">
                  <c:v>33970</c:v>
                </c:pt>
                <c:pt idx="42">
                  <c:v>34335</c:v>
                </c:pt>
                <c:pt idx="43">
                  <c:v>34700</c:v>
                </c:pt>
                <c:pt idx="44">
                  <c:v>35065</c:v>
                </c:pt>
                <c:pt idx="45">
                  <c:v>35431</c:v>
                </c:pt>
                <c:pt idx="46">
                  <c:v>35796</c:v>
                </c:pt>
                <c:pt idx="47">
                  <c:v>36161</c:v>
                </c:pt>
                <c:pt idx="48">
                  <c:v>36526</c:v>
                </c:pt>
                <c:pt idx="49">
                  <c:v>36892</c:v>
                </c:pt>
                <c:pt idx="50">
                  <c:v>37257</c:v>
                </c:pt>
                <c:pt idx="51">
                  <c:v>37622</c:v>
                </c:pt>
                <c:pt idx="52">
                  <c:v>37987</c:v>
                </c:pt>
                <c:pt idx="53">
                  <c:v>38353</c:v>
                </c:pt>
                <c:pt idx="54">
                  <c:v>38718</c:v>
                </c:pt>
                <c:pt idx="55">
                  <c:v>39083</c:v>
                </c:pt>
                <c:pt idx="56">
                  <c:v>39448</c:v>
                </c:pt>
                <c:pt idx="57">
                  <c:v>39814</c:v>
                </c:pt>
                <c:pt idx="58">
                  <c:v>40179</c:v>
                </c:pt>
                <c:pt idx="59">
                  <c:v>40544</c:v>
                </c:pt>
                <c:pt idx="60">
                  <c:v>40909</c:v>
                </c:pt>
                <c:pt idx="61">
                  <c:v>41275</c:v>
                </c:pt>
                <c:pt idx="62">
                  <c:v>41640</c:v>
                </c:pt>
                <c:pt idx="63">
                  <c:v>42005</c:v>
                </c:pt>
                <c:pt idx="64">
                  <c:v>42370</c:v>
                </c:pt>
                <c:pt idx="65">
                  <c:v>42736</c:v>
                </c:pt>
                <c:pt idx="66">
                  <c:v>43101</c:v>
                </c:pt>
              </c:numCache>
            </c:numRef>
          </c:cat>
          <c:val>
            <c:numRef>
              <c:f>'Inflation and PE'!$F$59:$F$125</c:f>
              <c:numCache>
                <c:formatCode>General</c:formatCode>
                <c:ptCount val="67"/>
                <c:pt idx="0">
                  <c:v>12.53</c:v>
                </c:pt>
                <c:pt idx="1">
                  <c:v>13.01</c:v>
                </c:pt>
                <c:pt idx="2">
                  <c:v>12</c:v>
                </c:pt>
                <c:pt idx="3">
                  <c:v>15.99</c:v>
                </c:pt>
                <c:pt idx="4">
                  <c:v>18.29</c:v>
                </c:pt>
                <c:pt idx="5">
                  <c:v>16.72</c:v>
                </c:pt>
                <c:pt idx="6">
                  <c:v>13.79</c:v>
                </c:pt>
                <c:pt idx="7">
                  <c:v>17.98</c:v>
                </c:pt>
                <c:pt idx="8">
                  <c:v>18.34</c:v>
                </c:pt>
                <c:pt idx="9">
                  <c:v>18.47</c:v>
                </c:pt>
                <c:pt idx="10">
                  <c:v>21.2</c:v>
                </c:pt>
                <c:pt idx="11">
                  <c:v>19.260000000000002</c:v>
                </c:pt>
                <c:pt idx="12">
                  <c:v>21.63</c:v>
                </c:pt>
                <c:pt idx="13">
                  <c:v>23.27</c:v>
                </c:pt>
                <c:pt idx="14">
                  <c:v>24.06</c:v>
                </c:pt>
                <c:pt idx="15">
                  <c:v>20.43</c:v>
                </c:pt>
                <c:pt idx="16">
                  <c:v>21.51</c:v>
                </c:pt>
                <c:pt idx="17">
                  <c:v>21.19</c:v>
                </c:pt>
                <c:pt idx="18">
                  <c:v>17.09</c:v>
                </c:pt>
                <c:pt idx="19">
                  <c:v>16.46</c:v>
                </c:pt>
                <c:pt idx="20">
                  <c:v>17.260000000000002</c:v>
                </c:pt>
                <c:pt idx="21">
                  <c:v>18.71</c:v>
                </c:pt>
                <c:pt idx="22">
                  <c:v>13.53</c:v>
                </c:pt>
                <c:pt idx="23">
                  <c:v>8.92</c:v>
                </c:pt>
                <c:pt idx="24">
                  <c:v>11.19</c:v>
                </c:pt>
                <c:pt idx="25">
                  <c:v>11.44</c:v>
                </c:pt>
                <c:pt idx="26">
                  <c:v>9.24</c:v>
                </c:pt>
                <c:pt idx="27">
                  <c:v>9.26</c:v>
                </c:pt>
                <c:pt idx="28">
                  <c:v>8.85</c:v>
                </c:pt>
                <c:pt idx="29">
                  <c:v>9.26</c:v>
                </c:pt>
                <c:pt idx="30">
                  <c:v>7.39</c:v>
                </c:pt>
                <c:pt idx="31">
                  <c:v>8.76</c:v>
                </c:pt>
                <c:pt idx="32">
                  <c:v>9.89</c:v>
                </c:pt>
                <c:pt idx="33">
                  <c:v>10</c:v>
                </c:pt>
                <c:pt idx="34">
                  <c:v>11.72</c:v>
                </c:pt>
                <c:pt idx="35">
                  <c:v>14.92</c:v>
                </c:pt>
                <c:pt idx="36">
                  <c:v>13.9</c:v>
                </c:pt>
                <c:pt idx="37">
                  <c:v>15.09</c:v>
                </c:pt>
                <c:pt idx="38">
                  <c:v>17.05</c:v>
                </c:pt>
                <c:pt idx="39">
                  <c:v>15.61</c:v>
                </c:pt>
                <c:pt idx="40">
                  <c:v>19.77</c:v>
                </c:pt>
                <c:pt idx="41">
                  <c:v>20.32</c:v>
                </c:pt>
                <c:pt idx="42">
                  <c:v>21.41</c:v>
                </c:pt>
                <c:pt idx="43">
                  <c:v>20.22</c:v>
                </c:pt>
                <c:pt idx="44">
                  <c:v>24.76</c:v>
                </c:pt>
                <c:pt idx="45">
                  <c:v>28.33</c:v>
                </c:pt>
                <c:pt idx="46">
                  <c:v>32.86</c:v>
                </c:pt>
                <c:pt idx="47">
                  <c:v>40.57</c:v>
                </c:pt>
                <c:pt idx="48">
                  <c:v>43.77</c:v>
                </c:pt>
                <c:pt idx="49">
                  <c:v>36.979999999999997</c:v>
                </c:pt>
                <c:pt idx="50">
                  <c:v>30.28</c:v>
                </c:pt>
                <c:pt idx="51">
                  <c:v>22.9</c:v>
                </c:pt>
                <c:pt idx="52">
                  <c:v>27.66</c:v>
                </c:pt>
                <c:pt idx="53">
                  <c:v>26.59</c:v>
                </c:pt>
                <c:pt idx="54">
                  <c:v>26.47</c:v>
                </c:pt>
                <c:pt idx="55">
                  <c:v>27.21</c:v>
                </c:pt>
                <c:pt idx="56">
                  <c:v>24.02</c:v>
                </c:pt>
                <c:pt idx="57">
                  <c:v>15.17</c:v>
                </c:pt>
                <c:pt idx="58">
                  <c:v>20.53</c:v>
                </c:pt>
                <c:pt idx="59">
                  <c:v>22.98</c:v>
                </c:pt>
                <c:pt idx="60">
                  <c:v>21.21</c:v>
                </c:pt>
                <c:pt idx="61">
                  <c:v>21.9</c:v>
                </c:pt>
                <c:pt idx="62">
                  <c:v>24.86</c:v>
                </c:pt>
                <c:pt idx="63">
                  <c:v>26.49</c:v>
                </c:pt>
                <c:pt idx="64">
                  <c:v>24.21</c:v>
                </c:pt>
                <c:pt idx="65">
                  <c:v>28.06</c:v>
                </c:pt>
                <c:pt idx="66">
                  <c:v>32.47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9-4EEF-9541-1BA8408E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05184"/>
        <c:axId val="93823360"/>
      </c:lineChart>
      <c:dateAx>
        <c:axId val="93805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23360"/>
        <c:crosses val="autoZero"/>
        <c:auto val="1"/>
        <c:lblOffset val="100"/>
        <c:baseTimeUnit val="years"/>
      </c:dateAx>
      <c:valAx>
        <c:axId val="93823360"/>
        <c:scaling>
          <c:orientation val="minMax"/>
          <c:max val="40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0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526914472769556E-2"/>
          <c:y val="8.9965635738831637E-2"/>
          <c:w val="0.89416008392209401"/>
          <c:h val="0.6563682117054956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'Inflation and PE'!$H$59:$H$108</c:f>
              <c:numCache>
                <c:formatCode>d\-mmm\-yy</c:formatCode>
                <c:ptCount val="50"/>
                <c:pt idx="0">
                  <c:v>41639</c:v>
                </c:pt>
                <c:pt idx="1">
                  <c:v>41670</c:v>
                </c:pt>
                <c:pt idx="2">
                  <c:v>41698</c:v>
                </c:pt>
                <c:pt idx="3">
                  <c:v>41729</c:v>
                </c:pt>
                <c:pt idx="4">
                  <c:v>41759</c:v>
                </c:pt>
                <c:pt idx="5">
                  <c:v>41790</c:v>
                </c:pt>
                <c:pt idx="6">
                  <c:v>41820</c:v>
                </c:pt>
                <c:pt idx="7">
                  <c:v>41851</c:v>
                </c:pt>
                <c:pt idx="8">
                  <c:v>41882</c:v>
                </c:pt>
                <c:pt idx="9">
                  <c:v>41912</c:v>
                </c:pt>
                <c:pt idx="10">
                  <c:v>41943</c:v>
                </c:pt>
                <c:pt idx="11">
                  <c:v>41973</c:v>
                </c:pt>
                <c:pt idx="12">
                  <c:v>42004</c:v>
                </c:pt>
                <c:pt idx="13">
                  <c:v>42035</c:v>
                </c:pt>
                <c:pt idx="14">
                  <c:v>42063</c:v>
                </c:pt>
                <c:pt idx="15">
                  <c:v>42094</c:v>
                </c:pt>
                <c:pt idx="16">
                  <c:v>42124</c:v>
                </c:pt>
                <c:pt idx="17">
                  <c:v>42155</c:v>
                </c:pt>
                <c:pt idx="18">
                  <c:v>42185</c:v>
                </c:pt>
                <c:pt idx="19">
                  <c:v>42216</c:v>
                </c:pt>
                <c:pt idx="20">
                  <c:v>42247</c:v>
                </c:pt>
                <c:pt idx="21">
                  <c:v>42277</c:v>
                </c:pt>
                <c:pt idx="22">
                  <c:v>42308</c:v>
                </c:pt>
                <c:pt idx="23">
                  <c:v>42338</c:v>
                </c:pt>
                <c:pt idx="24">
                  <c:v>42369</c:v>
                </c:pt>
                <c:pt idx="25">
                  <c:v>42400</c:v>
                </c:pt>
                <c:pt idx="26">
                  <c:v>42429</c:v>
                </c:pt>
                <c:pt idx="27">
                  <c:v>42460</c:v>
                </c:pt>
                <c:pt idx="28">
                  <c:v>42490</c:v>
                </c:pt>
                <c:pt idx="29">
                  <c:v>42521</c:v>
                </c:pt>
                <c:pt idx="30">
                  <c:v>42551</c:v>
                </c:pt>
                <c:pt idx="31">
                  <c:v>42582</c:v>
                </c:pt>
                <c:pt idx="32">
                  <c:v>42613</c:v>
                </c:pt>
                <c:pt idx="33">
                  <c:v>42643</c:v>
                </c:pt>
                <c:pt idx="34">
                  <c:v>42674</c:v>
                </c:pt>
                <c:pt idx="35">
                  <c:v>42704</c:v>
                </c:pt>
                <c:pt idx="36">
                  <c:v>42735</c:v>
                </c:pt>
                <c:pt idx="37">
                  <c:v>42766</c:v>
                </c:pt>
                <c:pt idx="38">
                  <c:v>42794</c:v>
                </c:pt>
                <c:pt idx="39">
                  <c:v>42825</c:v>
                </c:pt>
                <c:pt idx="40">
                  <c:v>42855</c:v>
                </c:pt>
                <c:pt idx="41">
                  <c:v>42886</c:v>
                </c:pt>
                <c:pt idx="42">
                  <c:v>42916</c:v>
                </c:pt>
                <c:pt idx="43">
                  <c:v>42947</c:v>
                </c:pt>
                <c:pt idx="44">
                  <c:v>42978</c:v>
                </c:pt>
                <c:pt idx="45">
                  <c:v>43008</c:v>
                </c:pt>
                <c:pt idx="46">
                  <c:v>43039</c:v>
                </c:pt>
                <c:pt idx="47">
                  <c:v>43069</c:v>
                </c:pt>
                <c:pt idx="48">
                  <c:v>43100</c:v>
                </c:pt>
                <c:pt idx="49">
                  <c:v>43131</c:v>
                </c:pt>
              </c:numCache>
            </c:numRef>
          </c:cat>
          <c:val>
            <c:numRef>
              <c:f>'Inflation and PE'!$I$59:$I$108</c:f>
              <c:numCache>
                <c:formatCode>General</c:formatCode>
                <c:ptCount val="50"/>
                <c:pt idx="0">
                  <c:v>24.86</c:v>
                </c:pt>
                <c:pt idx="1">
                  <c:v>24.86</c:v>
                </c:pt>
                <c:pt idx="2">
                  <c:v>24.59</c:v>
                </c:pt>
                <c:pt idx="3">
                  <c:v>24.96</c:v>
                </c:pt>
                <c:pt idx="4">
                  <c:v>24.79</c:v>
                </c:pt>
                <c:pt idx="5">
                  <c:v>24.94</c:v>
                </c:pt>
                <c:pt idx="6">
                  <c:v>25.56</c:v>
                </c:pt>
                <c:pt idx="7">
                  <c:v>25.82</c:v>
                </c:pt>
                <c:pt idx="8">
                  <c:v>25.62</c:v>
                </c:pt>
                <c:pt idx="9">
                  <c:v>25.92</c:v>
                </c:pt>
                <c:pt idx="10">
                  <c:v>25.16</c:v>
                </c:pt>
                <c:pt idx="11">
                  <c:v>26.61</c:v>
                </c:pt>
                <c:pt idx="12">
                  <c:v>26.79</c:v>
                </c:pt>
                <c:pt idx="13">
                  <c:v>26.49</c:v>
                </c:pt>
                <c:pt idx="14">
                  <c:v>27</c:v>
                </c:pt>
                <c:pt idx="15">
                  <c:v>26.73</c:v>
                </c:pt>
                <c:pt idx="16">
                  <c:v>26.79</c:v>
                </c:pt>
                <c:pt idx="17">
                  <c:v>26.81</c:v>
                </c:pt>
                <c:pt idx="18">
                  <c:v>26.5</c:v>
                </c:pt>
                <c:pt idx="19">
                  <c:v>26.38</c:v>
                </c:pt>
                <c:pt idx="20">
                  <c:v>25.69</c:v>
                </c:pt>
                <c:pt idx="21">
                  <c:v>24.5</c:v>
                </c:pt>
                <c:pt idx="22">
                  <c:v>25.49</c:v>
                </c:pt>
                <c:pt idx="23">
                  <c:v>26.23</c:v>
                </c:pt>
                <c:pt idx="24">
                  <c:v>25.97</c:v>
                </c:pt>
                <c:pt idx="25">
                  <c:v>24.21</c:v>
                </c:pt>
                <c:pt idx="26">
                  <c:v>24</c:v>
                </c:pt>
                <c:pt idx="27">
                  <c:v>25.37</c:v>
                </c:pt>
                <c:pt idx="28">
                  <c:v>25.92</c:v>
                </c:pt>
                <c:pt idx="29">
                  <c:v>25.69</c:v>
                </c:pt>
                <c:pt idx="30">
                  <c:v>25.84</c:v>
                </c:pt>
                <c:pt idx="31">
                  <c:v>26.69</c:v>
                </c:pt>
                <c:pt idx="32">
                  <c:v>26.95</c:v>
                </c:pt>
                <c:pt idx="33">
                  <c:v>26.73</c:v>
                </c:pt>
                <c:pt idx="34">
                  <c:v>26.53</c:v>
                </c:pt>
                <c:pt idx="35">
                  <c:v>26.85</c:v>
                </c:pt>
                <c:pt idx="36">
                  <c:v>27.87</c:v>
                </c:pt>
                <c:pt idx="37">
                  <c:v>28.06</c:v>
                </c:pt>
                <c:pt idx="38">
                  <c:v>28.66</c:v>
                </c:pt>
                <c:pt idx="39">
                  <c:v>29.09</c:v>
                </c:pt>
                <c:pt idx="40">
                  <c:v>28.9</c:v>
                </c:pt>
                <c:pt idx="41">
                  <c:v>29.31</c:v>
                </c:pt>
                <c:pt idx="42">
                  <c:v>29.75</c:v>
                </c:pt>
                <c:pt idx="43">
                  <c:v>30</c:v>
                </c:pt>
                <c:pt idx="44">
                  <c:v>29.99</c:v>
                </c:pt>
                <c:pt idx="45">
                  <c:v>30.32</c:v>
                </c:pt>
                <c:pt idx="46">
                  <c:v>31.15</c:v>
                </c:pt>
                <c:pt idx="47">
                  <c:v>31.61</c:v>
                </c:pt>
                <c:pt idx="48">
                  <c:v>32.479999999999997</c:v>
                </c:pt>
                <c:pt idx="49">
                  <c:v>33.19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3-4350-853F-3CFE6FD4C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01632"/>
        <c:axId val="93703168"/>
      </c:lineChart>
      <c:dateAx>
        <c:axId val="93701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03168"/>
        <c:crosses val="autoZero"/>
        <c:auto val="1"/>
        <c:lblOffset val="100"/>
        <c:baseTimeUnit val="months"/>
      </c:dateAx>
      <c:valAx>
        <c:axId val="9370316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0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and Actual'!$B$9</c:f>
          <c:strCache>
            <c:ptCount val="1"/>
            <c:pt idx="0">
              <c:v>COGS Percent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'Forecast and Actual'!$D$12:$E$12</c:f>
              <c:strCache>
                <c:ptCount val="2"/>
                <c:pt idx="0">
                  <c:v>History</c:v>
                </c:pt>
              </c:strCache>
            </c:strRef>
          </c:tx>
          <c:invertIfNegative val="0"/>
          <c:cat>
            <c:numRef>
              <c:f>'Forecast and Actual'!$F$11:$P$11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cat>
          <c:val>
            <c:numRef>
              <c:f>'Forecast and Actual'!$F$12:$P$12</c:f>
              <c:numCache>
                <c:formatCode>0.00%</c:formatCode>
                <c:ptCount val="11"/>
                <c:pt idx="0">
                  <c:v>0.72254051399574404</c:v>
                </c:pt>
                <c:pt idx="1">
                  <c:v>0.69012760241772997</c:v>
                </c:pt>
                <c:pt idx="2">
                  <c:v>0.65816383863355432</c:v>
                </c:pt>
                <c:pt idx="3">
                  <c:v>0.61676478833753856</c:v>
                </c:pt>
                <c:pt idx="4">
                  <c:v>0.59401426575483496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E-49AA-B185-5C8A2813A768}"/>
            </c:ext>
          </c:extLst>
        </c:ser>
        <c:ser>
          <c:idx val="1"/>
          <c:order val="1"/>
          <c:tx>
            <c:strRef>
              <c:f>'Forecast and Actual'!$D$13:$E$13</c:f>
              <c:strCache>
                <c:ptCount val="2"/>
                <c:pt idx="0">
                  <c:v>Projection</c:v>
                </c:pt>
              </c:strCache>
            </c:strRef>
          </c:tx>
          <c:invertIfNegative val="0"/>
          <c:cat>
            <c:numRef>
              <c:f>'Forecast and Actual'!$F$11:$P$11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cat>
          <c:val>
            <c:numRef>
              <c:f>'Forecast and Actual'!$F$13:$P$13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0.58300346351110344</c:v>
                </c:pt>
                <c:pt idx="6">
                  <c:v>0.61</c:v>
                </c:pt>
                <c:pt idx="7">
                  <c:v>0.60235757282057845</c:v>
                </c:pt>
                <c:pt idx="8">
                  <c:v>0.59481089431852208</c:v>
                </c:pt>
                <c:pt idx="9">
                  <c:v>0.58735876489990568</c:v>
                </c:pt>
                <c:pt idx="1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4E-49AA-B185-5C8A2813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647360"/>
        <c:axId val="149649664"/>
      </c:barChart>
      <c:catAx>
        <c:axId val="14964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649664"/>
        <c:crosses val="autoZero"/>
        <c:auto val="1"/>
        <c:lblAlgn val="ctr"/>
        <c:lblOffset val="100"/>
        <c:noMultiLvlLbl val="0"/>
      </c:catAx>
      <c:valAx>
        <c:axId val="1496496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964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'Amazon Model'!$D$341</c:f>
          <c:strCache>
            <c:ptCount val="1"/>
            <c:pt idx="0">
              <c:v>ROIC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28438409715654"/>
          <c:y val="0.21546070762546926"/>
          <c:w val="0.83163588799296495"/>
          <c:h val="0.622376227750909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'Amazon Model'!$D$338:$G$338</c:f>
              <c:strCache>
                <c:ptCount val="4"/>
                <c:pt idx="0">
                  <c:v>History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'Amazon Model'!$H$337:$AB$337</c:f>
              <c:numCache>
                <c:formatCode>d\-mmm\-yy</c:formatCode>
                <c:ptCount val="21"/>
                <c:pt idx="0">
                  <c:v>41274</c:v>
                </c:pt>
                <c:pt idx="1">
                  <c:v>41639</c:v>
                </c:pt>
                <c:pt idx="2">
                  <c:v>42004</c:v>
                </c:pt>
                <c:pt idx="3">
                  <c:v>42369</c:v>
                </c:pt>
                <c:pt idx="4">
                  <c:v>42735</c:v>
                </c:pt>
                <c:pt idx="5">
                  <c:v>43100</c:v>
                </c:pt>
                <c:pt idx="6">
                  <c:v>43465</c:v>
                </c:pt>
                <c:pt idx="7">
                  <c:v>43830</c:v>
                </c:pt>
                <c:pt idx="8">
                  <c:v>44196</c:v>
                </c:pt>
                <c:pt idx="9">
                  <c:v>44561</c:v>
                </c:pt>
                <c:pt idx="10">
                  <c:v>44926</c:v>
                </c:pt>
                <c:pt idx="11">
                  <c:v>45291</c:v>
                </c:pt>
                <c:pt idx="12">
                  <c:v>45657</c:v>
                </c:pt>
                <c:pt idx="13">
                  <c:v>46022</c:v>
                </c:pt>
                <c:pt idx="14">
                  <c:v>46387</c:v>
                </c:pt>
                <c:pt idx="15">
                  <c:v>46752</c:v>
                </c:pt>
                <c:pt idx="16">
                  <c:v>47118</c:v>
                </c:pt>
                <c:pt idx="17">
                  <c:v>47483</c:v>
                </c:pt>
                <c:pt idx="18">
                  <c:v>47848</c:v>
                </c:pt>
                <c:pt idx="19">
                  <c:v>48213</c:v>
                </c:pt>
                <c:pt idx="20">
                  <c:v>48579</c:v>
                </c:pt>
              </c:numCache>
            </c:numRef>
          </c:cat>
          <c:val>
            <c:numRef>
              <c:f>'Amazon Model'!$H$338:$AB$338</c:f>
              <c:numCache>
                <c:formatCode>0.00%</c:formatCode>
                <c:ptCount val="21"/>
                <c:pt idx="0">
                  <c:v>0.14438503919139548</c:v>
                </c:pt>
                <c:pt idx="1">
                  <c:v>0.10975138830836624</c:v>
                </c:pt>
                <c:pt idx="2">
                  <c:v>2.3158528060540005E-2</c:v>
                </c:pt>
                <c:pt idx="3">
                  <c:v>0.13427306090025715</c:v>
                </c:pt>
                <c:pt idx="4">
                  <c:v>0.19723777862067426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237-AC42-7ECE6C515542}"/>
            </c:ext>
          </c:extLst>
        </c:ser>
        <c:ser>
          <c:idx val="1"/>
          <c:order val="1"/>
          <c:tx>
            <c:strRef>
              <c:f>'Amazon Model'!$D$339:$G$339</c:f>
              <c:strCache>
                <c:ptCount val="4"/>
                <c:pt idx="0">
                  <c:v>Forecast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'Amazon Model'!$H$337:$AB$337</c:f>
              <c:numCache>
                <c:formatCode>d\-mmm\-yy</c:formatCode>
                <c:ptCount val="21"/>
                <c:pt idx="0">
                  <c:v>41274</c:v>
                </c:pt>
                <c:pt idx="1">
                  <c:v>41639</c:v>
                </c:pt>
                <c:pt idx="2">
                  <c:v>42004</c:v>
                </c:pt>
                <c:pt idx="3">
                  <c:v>42369</c:v>
                </c:pt>
                <c:pt idx="4">
                  <c:v>42735</c:v>
                </c:pt>
                <c:pt idx="5">
                  <c:v>43100</c:v>
                </c:pt>
                <c:pt idx="6">
                  <c:v>43465</c:v>
                </c:pt>
                <c:pt idx="7">
                  <c:v>43830</c:v>
                </c:pt>
                <c:pt idx="8">
                  <c:v>44196</c:v>
                </c:pt>
                <c:pt idx="9">
                  <c:v>44561</c:v>
                </c:pt>
                <c:pt idx="10">
                  <c:v>44926</c:v>
                </c:pt>
                <c:pt idx="11">
                  <c:v>45291</c:v>
                </c:pt>
                <c:pt idx="12">
                  <c:v>45657</c:v>
                </c:pt>
                <c:pt idx="13">
                  <c:v>46022</c:v>
                </c:pt>
                <c:pt idx="14">
                  <c:v>46387</c:v>
                </c:pt>
                <c:pt idx="15">
                  <c:v>46752</c:v>
                </c:pt>
                <c:pt idx="16">
                  <c:v>47118</c:v>
                </c:pt>
                <c:pt idx="17">
                  <c:v>47483</c:v>
                </c:pt>
                <c:pt idx="18">
                  <c:v>47848</c:v>
                </c:pt>
                <c:pt idx="19">
                  <c:v>48213</c:v>
                </c:pt>
                <c:pt idx="20">
                  <c:v>48579</c:v>
                </c:pt>
              </c:numCache>
            </c:numRef>
          </c:cat>
          <c:val>
            <c:numRef>
              <c:f>'Amazon Model'!$H$339:$AB$339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0.28487909356159347</c:v>
                </c:pt>
                <c:pt idx="6">
                  <c:v>0.31180846933879414</c:v>
                </c:pt>
                <c:pt idx="7">
                  <c:v>0.40028834769998911</c:v>
                </c:pt>
                <c:pt idx="8">
                  <c:v>0.42578347872859812</c:v>
                </c:pt>
                <c:pt idx="9">
                  <c:v>0.44964930985861501</c:v>
                </c:pt>
                <c:pt idx="10">
                  <c:v>0.44352110523877764</c:v>
                </c:pt>
                <c:pt idx="11">
                  <c:v>0.36456042537164501</c:v>
                </c:pt>
                <c:pt idx="12">
                  <c:v>0.30563258069387739</c:v>
                </c:pt>
                <c:pt idx="13">
                  <c:v>0.25955707158139241</c:v>
                </c:pt>
                <c:pt idx="14">
                  <c:v>0.3091831171305931</c:v>
                </c:pt>
                <c:pt idx="15">
                  <c:v>0.29048090472908256</c:v>
                </c:pt>
                <c:pt idx="16">
                  <c:v>0.27832941245278719</c:v>
                </c:pt>
                <c:pt idx="17">
                  <c:v>0.26927035742804423</c:v>
                </c:pt>
                <c:pt idx="18">
                  <c:v>0.26236388679172545</c:v>
                </c:pt>
                <c:pt idx="19">
                  <c:v>0.25699042934420369</c:v>
                </c:pt>
                <c:pt idx="20">
                  <c:v>0.25273085458214933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3-4237-AC42-7ECE6C515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7548047"/>
        <c:axId val="688074655"/>
      </c:barChart>
      <c:dateAx>
        <c:axId val="697548047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74655"/>
        <c:crosses val="autoZero"/>
        <c:auto val="1"/>
        <c:lblOffset val="100"/>
        <c:baseTimeUnit val="years"/>
      </c:dateAx>
      <c:valAx>
        <c:axId val="6880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4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071924993163595"/>
          <c:y val="0.10030998809356635"/>
          <c:w val="0.29500795634344185"/>
          <c:h val="9.8029789412102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'Sensitivity and Presentation'!$F$34</c:f>
              <c:strCache>
                <c:ptCount val="1"/>
                <c:pt idx="0">
                  <c:v>Best Vs Base</c:v>
                </c:pt>
              </c:strCache>
            </c:strRef>
          </c:tx>
          <c:invertIfNegative val="0"/>
          <c:cat>
            <c:strRef>
              <c:f>'Sensitivity and Presentation'!$D$35:$E$39</c:f>
              <c:strCache>
                <c:ptCount val="5"/>
                <c:pt idx="0">
                  <c:v>Sales Growth</c:v>
                </c:pt>
                <c:pt idx="1">
                  <c:v>COGS Percent</c:v>
                </c:pt>
                <c:pt idx="2">
                  <c:v>R&amp;D Growth</c:v>
                </c:pt>
                <c:pt idx="3">
                  <c:v>SG&amp;A to Sales</c:v>
                </c:pt>
                <c:pt idx="4">
                  <c:v>Cap Exp to Sales</c:v>
                </c:pt>
              </c:strCache>
            </c:strRef>
          </c:cat>
          <c:val>
            <c:numRef>
              <c:f>'Sensitivity and Presentation'!$F$35:$F$39</c:f>
              <c:numCache>
                <c:formatCode>#,##0.00</c:formatCode>
                <c:ptCount val="5"/>
                <c:pt idx="0">
                  <c:v>252.49252756530075</c:v>
                </c:pt>
                <c:pt idx="1">
                  <c:v>894.88189779598088</c:v>
                </c:pt>
                <c:pt idx="2">
                  <c:v>161.7332305175911</c:v>
                </c:pt>
                <c:pt idx="3">
                  <c:v>485.19969155277113</c:v>
                </c:pt>
                <c:pt idx="4">
                  <c:v>735.31320088025791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BA-480C-92F9-203D5477AB03}"/>
            </c:ext>
          </c:extLst>
        </c:ser>
        <c:ser>
          <c:idx val="1"/>
          <c:order val="1"/>
          <c:tx>
            <c:strRef>
              <c:f>'Sensitivity and Presentation'!$G$34</c:f>
              <c:strCache>
                <c:ptCount val="1"/>
              </c:strCache>
            </c:strRef>
          </c:tx>
          <c:invertIfNegative val="0"/>
          <c:cat>
            <c:strRef>
              <c:f>'Sensitivity and Presentation'!$D$35:$E$39</c:f>
              <c:strCache>
                <c:ptCount val="5"/>
                <c:pt idx="0">
                  <c:v>Sales Growth</c:v>
                </c:pt>
                <c:pt idx="1">
                  <c:v>COGS Percent</c:v>
                </c:pt>
                <c:pt idx="2">
                  <c:v>R&amp;D Growth</c:v>
                </c:pt>
                <c:pt idx="3">
                  <c:v>SG&amp;A to Sales</c:v>
                </c:pt>
                <c:pt idx="4">
                  <c:v>Cap Exp to Sales</c:v>
                </c:pt>
              </c:strCache>
            </c:strRef>
          </c:cat>
          <c:val>
            <c:numRef>
              <c:f>'Sensitivity and Presentation'!$G$35:$G$39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66BA-480C-92F9-203D5477AB03}"/>
            </c:ext>
          </c:extLst>
        </c:ser>
        <c:ser>
          <c:idx val="2"/>
          <c:order val="2"/>
          <c:tx>
            <c:strRef>
              <c:f>'Sensitivity and Presentation'!$H$34</c:f>
              <c:strCache>
                <c:ptCount val="1"/>
                <c:pt idx="0">
                  <c:v>Worst Versus Base</c:v>
                </c:pt>
              </c:strCache>
            </c:strRef>
          </c:tx>
          <c:invertIfNegative val="0"/>
          <c:cat>
            <c:strRef>
              <c:f>'Sensitivity and Presentation'!$D$35:$E$39</c:f>
              <c:strCache>
                <c:ptCount val="5"/>
                <c:pt idx="0">
                  <c:v>Sales Growth</c:v>
                </c:pt>
                <c:pt idx="1">
                  <c:v>COGS Percent</c:v>
                </c:pt>
                <c:pt idx="2">
                  <c:v>R&amp;D Growth</c:v>
                </c:pt>
                <c:pt idx="3">
                  <c:v>SG&amp;A to Sales</c:v>
                </c:pt>
                <c:pt idx="4">
                  <c:v>Cap Exp to Sales</c:v>
                </c:pt>
              </c:strCache>
            </c:strRef>
          </c:cat>
          <c:val>
            <c:numRef>
              <c:f>'Sensitivity and Presentation'!$H$35:$H$39</c:f>
              <c:numCache>
                <c:formatCode>#,##0.00</c:formatCode>
                <c:ptCount val="5"/>
                <c:pt idx="0">
                  <c:v>-835.98451901387466</c:v>
                </c:pt>
                <c:pt idx="1">
                  <c:v>-950.89050488126259</c:v>
                </c:pt>
                <c:pt idx="2">
                  <c:v>-658.40073301143434</c:v>
                </c:pt>
                <c:pt idx="3">
                  <c:v>-718.04238912418941</c:v>
                </c:pt>
                <c:pt idx="4">
                  <c:v>-666.4673658384678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BA-480C-92F9-203D5477A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6346368"/>
        <c:axId val="51168000"/>
      </c:barChart>
      <c:catAx>
        <c:axId val="5563463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51168000"/>
        <c:crosses val="autoZero"/>
        <c:auto val="1"/>
        <c:lblAlgn val="ctr"/>
        <c:lblOffset val="100"/>
        <c:noMultiLvlLbl val="0"/>
      </c:catAx>
      <c:valAx>
        <c:axId val="51168000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556346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'Forecast and Actual'!$B$9</c:f>
          <c:strCache>
            <c:ptCount val="1"/>
            <c:pt idx="0">
              <c:v>COGS Percent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'Forecast and Actual'!$D$12:$E$12</c:f>
              <c:strCache>
                <c:ptCount val="2"/>
                <c:pt idx="0">
                  <c:v>History</c:v>
                </c:pt>
              </c:strCache>
            </c:strRef>
          </c:tx>
          <c:invertIfNegative val="0"/>
          <c:cat>
            <c:numRef>
              <c:f>'Forecast and Actual'!$F$11:$P$11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cat>
          <c:val>
            <c:numRef>
              <c:f>'Forecast and Actual'!$F$12:$P$12</c:f>
              <c:numCache>
                <c:formatCode>0.00%</c:formatCode>
                <c:ptCount val="11"/>
                <c:pt idx="0">
                  <c:v>0.72254051399574404</c:v>
                </c:pt>
                <c:pt idx="1">
                  <c:v>0.69012760241772997</c:v>
                </c:pt>
                <c:pt idx="2">
                  <c:v>0.65816383863355432</c:v>
                </c:pt>
                <c:pt idx="3">
                  <c:v>0.61676478833753856</c:v>
                </c:pt>
                <c:pt idx="4">
                  <c:v>0.59401426575483496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F-47F0-AFD4-3863C2064D47}"/>
            </c:ext>
          </c:extLst>
        </c:ser>
        <c:ser>
          <c:idx val="1"/>
          <c:order val="1"/>
          <c:tx>
            <c:strRef>
              <c:f>'Forecast and Actual'!$D$13:$E$13</c:f>
              <c:strCache>
                <c:ptCount val="2"/>
                <c:pt idx="0">
                  <c:v>Projection</c:v>
                </c:pt>
              </c:strCache>
            </c:strRef>
          </c:tx>
          <c:invertIfNegative val="0"/>
          <c:cat>
            <c:numRef>
              <c:f>'Forecast and Actual'!$F$11:$P$11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cat>
          <c:val>
            <c:numRef>
              <c:f>'Forecast and Actual'!$F$13:$P$13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0.58300346351110344</c:v>
                </c:pt>
                <c:pt idx="6">
                  <c:v>0.61</c:v>
                </c:pt>
                <c:pt idx="7">
                  <c:v>0.60235757282057845</c:v>
                </c:pt>
                <c:pt idx="8">
                  <c:v>0.59481089431852208</c:v>
                </c:pt>
                <c:pt idx="9">
                  <c:v>0.58735876489990568</c:v>
                </c:pt>
                <c:pt idx="1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F-47F0-AFD4-3863C2064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647360"/>
        <c:axId val="149649664"/>
      </c:barChart>
      <c:catAx>
        <c:axId val="14964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649664"/>
        <c:crosses val="autoZero"/>
        <c:auto val="1"/>
        <c:lblAlgn val="ctr"/>
        <c:lblOffset val="100"/>
        <c:noMultiLvlLbl val="0"/>
      </c:catAx>
      <c:valAx>
        <c:axId val="1496496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964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Chart26"/>
  <sheetViews>
    <sheetView zoomScale="6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fmlaLink="'Accretion and Dilution'!$G$1" lockText="1" noThreeD="1"/>
</file>

<file path=xl/ctrlProps/ctrlProp2.xml><?xml version="1.0" encoding="utf-8"?>
<formControlPr xmlns="http://schemas.microsoft.com/office/spreadsheetml/2009/9/main" objectType="Spin" dx="31" fmlaLink="'Accretion and Dilution'!$F$9" max="70" page="10" val="37"/>
</file>

<file path=xl/ctrlProps/ctrlProp3.xml><?xml version="1.0" encoding="utf-8"?>
<formControlPr xmlns="http://schemas.microsoft.com/office/spreadsheetml/2009/9/main" objectType="Spin" dx="31" fmlaLink="'Accretion and Dilution'!$F$12" inc="10" max="300" page="10" val="180"/>
</file>

<file path=xl/ctrlProps/ctrlProp4.xml><?xml version="1.0" encoding="utf-8"?>
<formControlPr xmlns="http://schemas.microsoft.com/office/spreadsheetml/2009/9/main" objectType="CheckBox" fmlaLink="'Accretion and Dilution'!$G$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31" fmlaLink="'PE Ratio Changing Drivers'!$E$10" fmlaRange="'PE Ratio Changing Drivers'!$C$7:$C$9" noThreeD="1" sel="2" val="0"/>
</file>

<file path=xl/ctrlProps/ctrlProp7.xml><?xml version="1.0" encoding="utf-8"?>
<formControlPr xmlns="http://schemas.microsoft.com/office/spreadsheetml/2009/9/main" objectType="Drop" dropStyle="combo" dx="31" fmlaLink="'PE Ratio Changing Drivers'!$E$16" fmlaRange="'PE Ratio Changing Drivers'!$C$13:$C$15" noThreeD="1" sel="1" val="0"/>
</file>

<file path=xl/ctrlProps/ctrlProp8.xml><?xml version="1.0" encoding="utf-8"?>
<formControlPr xmlns="http://schemas.microsoft.com/office/spreadsheetml/2009/9/main" objectType="Drop" dropStyle="combo" dx="31" fmlaLink="'PE Ratio Changing Drivers'!$E$22" fmlaRange="'PE Ratio Changing Drivers'!$C$13:$C$15" noThreeD="1" sel="1" val="0"/>
</file>

<file path=xl/ctrlProps/ctrlProp9.xml><?xml version="1.0" encoding="utf-8"?>
<formControlPr xmlns="http://schemas.microsoft.com/office/spreadsheetml/2009/9/main" objectType="CheckBox" fmlaLink="'Accretion and Dilution'!$G$1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'Accretion and Dilution'!$G$1" lockText="1" noThreeD="1"/>
</file>

<file path=xl/ctrlProps/ctrlProp12.xml><?xml version="1.0" encoding="utf-8"?>
<formControlPr xmlns="http://schemas.microsoft.com/office/spreadsheetml/2009/9/main" objectType="Spin" dx="31" fmlaLink="'Simple Industrial'!$E$22" inc="50" max="600" min="50" page="10" val="150"/>
</file>

<file path=xl/ctrlProps/ctrlProp13.xml><?xml version="1.0" encoding="utf-8"?>
<formControlPr xmlns="http://schemas.microsoft.com/office/spreadsheetml/2009/9/main" objectType="CheckBox" fmlaLink="'Accretion and Dilution'!$G$1" lockText="1" noThreeD="1"/>
</file>

<file path=xl/ctrlProps/ctrlProp14.xml><?xml version="1.0" encoding="utf-8"?>
<formControlPr xmlns="http://schemas.microsoft.com/office/spreadsheetml/2009/9/main" objectType="Spin" dx="31" fmlaLink="'Simple Bank'!$E$28" inc="50" max="700" page="10" val="150"/>
</file>

<file path=xl/ctrlProps/ctrlProp15.xml><?xml version="1.0" encoding="utf-8"?>
<formControlPr xmlns="http://schemas.microsoft.com/office/spreadsheetml/2009/9/main" objectType="CheckBox" fmlaLink="'Accretion and Dilution'!$G$1" lockText="1" noThreeD="1"/>
</file>

<file path=xl/ctrlProps/ctrlProp16.xml><?xml version="1.0" encoding="utf-8"?>
<formControlPr xmlns="http://schemas.microsoft.com/office/spreadsheetml/2009/9/main" objectType="CheckBox" fmlaLink="'Accretion and Dilution'!$G$1" lockText="1" noThreeD="1"/>
</file>

<file path=xl/ctrlProps/ctrlProp17.xml><?xml version="1.0" encoding="utf-8"?>
<formControlPr xmlns="http://schemas.microsoft.com/office/spreadsheetml/2009/9/main" objectType="CheckBox" fmlaLink="'Accretion and Dilution'!$G$1" lockText="1" noThreeD="1"/>
</file>

<file path=xl/ctrlProps/ctrlProp18.xml><?xml version="1.0" encoding="utf-8"?>
<formControlPr xmlns="http://schemas.microsoft.com/office/spreadsheetml/2009/9/main" objectType="Spin" dx="31" fmlaLink="'Reserve Example Pos NPV'!$M$7" max="30" page="10"/>
</file>

<file path=xl/ctrlProps/ctrlProp19.xml><?xml version="1.0" encoding="utf-8"?>
<formControlPr xmlns="http://schemas.microsoft.com/office/spreadsheetml/2009/9/main" objectType="Spin" dx="31" fmlaLink="'Simple Insurance'!$E$27" inc="5" max="200" page="10" val="65"/>
</file>

<file path=xl/ctrlProps/ctrlProp20.xml><?xml version="1.0" encoding="utf-8"?>
<formControlPr xmlns="http://schemas.microsoft.com/office/spreadsheetml/2009/9/main" objectType="Spin" dx="31" fmlaLink="'Simple Insurance'!$E$27" inc="5" max="200" page="10" val="65"/>
</file>

<file path=xl/ctrlProps/ctrlProp21.xml><?xml version="1.0" encoding="utf-8"?>
<formControlPr xmlns="http://schemas.microsoft.com/office/spreadsheetml/2009/9/main" objectType="CheckBox" fmlaLink="'Accretion and Dilution'!$G$1" lockText="1" noThreeD="1"/>
</file>

<file path=xl/ctrlProps/ctrlProp22.xml><?xml version="1.0" encoding="utf-8"?>
<formControlPr xmlns="http://schemas.microsoft.com/office/spreadsheetml/2009/9/main" objectType="CheckBox" fmlaLink="'Accretion and Dilution'!$G$1" lockText="1" noThreeD="1"/>
</file>

<file path=xl/ctrlProps/ctrlProp23.xml><?xml version="1.0" encoding="utf-8"?>
<formControlPr xmlns="http://schemas.microsoft.com/office/spreadsheetml/2009/9/main" objectType="CheckBox" fmlaLink="'Accretion and Dilution'!$G$1" lockText="1" noThreeD="1"/>
</file>

<file path=xl/ctrlProps/ctrlProp24.xml><?xml version="1.0" encoding="utf-8"?>
<formControlPr xmlns="http://schemas.microsoft.com/office/spreadsheetml/2009/9/main" objectType="Drop" dropStyle="combo" dx="31" fmlaLink="'Sensitivity and Presentation'!$F$1" fmlaRange="'Sensitivity and Presentation'!$D$11:$D$29" noThreeD="1" sel="14" val="0"/>
</file>

<file path=xl/ctrlProps/ctrlProp25.xml><?xml version="1.0" encoding="utf-8"?>
<formControlPr xmlns="http://schemas.microsoft.com/office/spreadsheetml/2009/9/main" objectType="Drop" dropLines="20" dropStyle="combo" dx="31" fmlaLink="'Sensitivity and Presentation'!$F$1" fmlaRange="'Sensitivity and Presentation'!$D$11:$D$29" noThreeD="1" sel="14" val="0"/>
</file>

<file path=xl/ctrlProps/ctrlProp26.xml><?xml version="1.0" encoding="utf-8"?>
<formControlPr xmlns="http://schemas.microsoft.com/office/spreadsheetml/2009/9/main" objectType="Drop" dropStyle="combo" dx="31" fmlaLink="'Sensitivity and Presentation'!$F$1" fmlaRange="'Sensitivity and Presentation'!$D$11:$D$29" noThreeD="1" sel="14" val="0"/>
</file>

<file path=xl/ctrlProps/ctrlProp27.xml><?xml version="1.0" encoding="utf-8"?>
<formControlPr xmlns="http://schemas.microsoft.com/office/spreadsheetml/2009/9/main" objectType="CheckBox" fmlaLink="'Accretion and Dilution'!$G$1" lockText="1" noThreeD="1"/>
</file>

<file path=xl/ctrlProps/ctrlProp28.xml><?xml version="1.0" encoding="utf-8"?>
<formControlPr xmlns="http://schemas.microsoft.com/office/spreadsheetml/2009/9/main" objectType="Drop" dropStyle="combo" dx="31" fmlaLink="'Sensitivity and Presentation'!$F$1" fmlaRange="'Sensitivity and Presentation'!$D$11:$D$29" noThreeD="1" sel="14" val="11"/>
</file>

<file path=xl/ctrlProps/ctrlProp29.xml><?xml version="1.0" encoding="utf-8"?>
<formControlPr xmlns="http://schemas.microsoft.com/office/spreadsheetml/2009/9/main" objectType="Drop" dropStyle="combo" dx="31" fmlaLink="'Forecast and Actual'!$F$3" fmlaRange="'Amazon Assumptions'!$C:$C" noThreeD="1" sel="10" val="9"/>
</file>

<file path=xl/ctrlProps/ctrlProp30.xml><?xml version="1.0" encoding="utf-8"?>
<formControlPr xmlns="http://schemas.microsoft.com/office/spreadsheetml/2009/9/main" objectType="CheckBox" fmlaLink="'Accretion and Dilution'!$G$1" lockText="1" noThreeD="1"/>
</file>

<file path=xl/ctrlProps/ctrlProp31.xml><?xml version="1.0" encoding="utf-8"?>
<formControlPr xmlns="http://schemas.microsoft.com/office/spreadsheetml/2009/9/main" objectType="Drop" dropStyle="combo" dx="31" fmlaLink="'Sensitivity and Presentation'!$F$1" fmlaRange="'Sensitivity and Presentation'!$D$11:$D$29" noThreeD="1" sel="14" val="10"/>
</file>

<file path=xl/ctrlProps/ctrlProp32.xml><?xml version="1.0" encoding="utf-8"?>
<formControlPr xmlns="http://schemas.microsoft.com/office/spreadsheetml/2009/9/main" objectType="Spin" dx="31" fmlaLink="'Forecast and Actual'!$F$3" max="200" min="8" page="10" val="10"/>
</file>

<file path=xl/ctrlProps/ctrlProp33.xml><?xml version="1.0" encoding="utf-8"?>
<formControlPr xmlns="http://schemas.microsoft.com/office/spreadsheetml/2009/9/main" objectType="Drop" dropStyle="combo" dx="31" fmlaLink="'Forecast and Actual'!$F$3" fmlaRange="'Amazon Assumptions'!$C:$C" noThreeD="1" sel="10" val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17</xdr:row>
      <xdr:rowOff>152400</xdr:rowOff>
    </xdr:from>
    <xdr:to>
      <xdr:col>14</xdr:col>
      <xdr:colOff>565151</xdr:colOff>
      <xdr:row>27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600075</xdr:colOff>
      <xdr:row>38</xdr:row>
      <xdr:rowOff>165100</xdr:rowOff>
    </xdr:from>
    <xdr:to>
      <xdr:col>16</xdr:col>
      <xdr:colOff>377825</xdr:colOff>
      <xdr:row>53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25400</xdr:colOff>
      <xdr:row>55</xdr:row>
      <xdr:rowOff>76200</xdr:rowOff>
    </xdr:from>
    <xdr:to>
      <xdr:col>16</xdr:col>
      <xdr:colOff>412750</xdr:colOff>
      <xdr:row>70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14</xdr:row>
      <xdr:rowOff>69850</xdr:rowOff>
    </xdr:from>
    <xdr:to>
      <xdr:col>22</xdr:col>
      <xdr:colOff>19050</xdr:colOff>
      <xdr:row>27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74</xdr:row>
      <xdr:rowOff>0</xdr:rowOff>
    </xdr:from>
    <xdr:to>
      <xdr:col>16</xdr:col>
      <xdr:colOff>387350</xdr:colOff>
      <xdr:row>88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91</xdr:row>
      <xdr:rowOff>0</xdr:rowOff>
    </xdr:from>
    <xdr:to>
      <xdr:col>16</xdr:col>
      <xdr:colOff>387350</xdr:colOff>
      <xdr:row>105</xdr:row>
      <xdr:rowOff>165100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109</xdr:row>
      <xdr:rowOff>0</xdr:rowOff>
    </xdr:from>
    <xdr:to>
      <xdr:col>16</xdr:col>
      <xdr:colOff>387350</xdr:colOff>
      <xdr:row>123</xdr:row>
      <xdr:rowOff>165100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438150</xdr:colOff>
      <xdr:row>1</xdr:row>
      <xdr:rowOff>6350</xdr:rowOff>
    </xdr:from>
    <xdr:to>
      <xdr:col>15</xdr:col>
      <xdr:colOff>215900</xdr:colOff>
      <xdr:row>15</xdr:row>
      <xdr:rowOff>171450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342900</xdr:colOff>
      <xdr:row>3</xdr:row>
      <xdr:rowOff>152577</xdr:rowOff>
    </xdr:from>
    <xdr:to>
      <xdr:col>16</xdr:col>
      <xdr:colOff>501650</xdr:colOff>
      <xdr:row>23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5500" y="4388027"/>
          <a:ext cx="5340350" cy="3552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316387</xdr:colOff>
      <xdr:row>3</xdr:row>
      <xdr:rowOff>146050</xdr:rowOff>
    </xdr:from>
    <xdr:to>
      <xdr:col>23</xdr:col>
      <xdr:colOff>281576</xdr:colOff>
      <xdr:row>22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285887" y="4381500"/>
          <a:ext cx="4499089" cy="34480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603250</xdr:colOff>
      <xdr:row>37</xdr:row>
      <xdr:rowOff>13305</xdr:rowOff>
    </xdr:from>
    <xdr:to>
      <xdr:col>25</xdr:col>
      <xdr:colOff>369364</xdr:colOff>
      <xdr:row>53</xdr:row>
      <xdr:rowOff>180183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66000" y="381605"/>
          <a:ext cx="8300514" cy="3113278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53</xdr:row>
      <xdr:rowOff>128823</xdr:rowOff>
    </xdr:from>
    <xdr:to>
      <xdr:col>24</xdr:col>
      <xdr:colOff>474169</xdr:colOff>
      <xdr:row>69</xdr:row>
      <xdr:rowOff>151597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61250" y="3627673"/>
          <a:ext cx="7700469" cy="29691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146050</xdr:colOff>
          <xdr:row>0</xdr:row>
          <xdr:rowOff>76200</xdr:rowOff>
        </xdr:from>
        <xdr:to>
          <xdr:col>7</xdr:col>
          <xdr:colOff>1003300</xdr:colOff>
          <xdr:row>1</xdr:row>
          <xdr:rowOff>120650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196850</xdr:colOff>
          <xdr:row>8</xdr:row>
          <xdr:rowOff>19050</xdr:rowOff>
        </xdr:from>
        <xdr:to>
          <xdr:col>5</xdr:col>
          <xdr:colOff>457200</xdr:colOff>
          <xdr:row>8</xdr:row>
          <xdr:rowOff>158750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11</xdr:col>
      <xdr:colOff>141109</xdr:colOff>
      <xdr:row>0</xdr:row>
      <xdr:rowOff>74425</xdr:rowOff>
    </xdr:from>
    <xdr:to>
      <xdr:col>25</xdr:col>
      <xdr:colOff>50323</xdr:colOff>
      <xdr:row>17</xdr:row>
      <xdr:rowOff>49046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73998" y="74425"/>
          <a:ext cx="8404103" cy="3093177"/>
        </a:xfrm>
        <a:prstGeom prst="rect">
          <a:avLst/>
        </a:prstGeom>
      </xdr:spPr>
    </xdr:pic>
    <xdr:clientData/>
  </xdr:twoCellAnchor>
  <xdr:twoCellAnchor editAs="oneCell">
    <xdr:from>
      <xdr:col>11</xdr:col>
      <xdr:colOff>225775</xdr:colOff>
      <xdr:row>19</xdr:row>
      <xdr:rowOff>179373</xdr:rowOff>
    </xdr:from>
    <xdr:to>
      <xdr:col>25</xdr:col>
      <xdr:colOff>80315</xdr:colOff>
      <xdr:row>36</xdr:row>
      <xdr:rowOff>157697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58664" y="3481373"/>
          <a:ext cx="8349429" cy="31039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196850</xdr:colOff>
          <xdr:row>11</xdr:row>
          <xdr:rowOff>19050</xdr:rowOff>
        </xdr:from>
        <xdr:to>
          <xdr:col>5</xdr:col>
          <xdr:colOff>457200</xdr:colOff>
          <xdr:row>11</xdr:row>
          <xdr:rowOff>158750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0</xdr:row>
          <xdr:rowOff>38100</xdr:rowOff>
        </xdr:from>
        <xdr:to>
          <xdr:col>5</xdr:col>
          <xdr:colOff>457200</xdr:colOff>
          <xdr:row>1</xdr:row>
          <xdr:rowOff>82550</xdr:rowOff>
        </xdr:to>
        <xdr:sp macro="" textlink="">
          <xdr:nvSpPr>
            <xdr:cNvPr id="80898" name="Check Box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273050</xdr:colOff>
          <xdr:row>31</xdr:row>
          <xdr:rowOff>50800</xdr:rowOff>
        </xdr:from>
        <xdr:to>
          <xdr:col>16</xdr:col>
          <xdr:colOff>76200</xdr:colOff>
          <xdr:row>33</xdr:row>
          <xdr:rowOff>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12</xdr:row>
      <xdr:rowOff>31750</xdr:rowOff>
    </xdr:from>
    <xdr:to>
      <xdr:col>3</xdr:col>
      <xdr:colOff>1612900</xdr:colOff>
      <xdr:row>13</xdr:row>
      <xdr:rowOff>6350</xdr:rowOff>
    </xdr:to>
    <xdr:sp macro="" textlink="">
      <xdr:nvSpPr>
        <xdr:cNvPr id="3073" name="Drop Dow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4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590550</xdr:colOff>
      <xdr:row>18</xdr:row>
      <xdr:rowOff>31750</xdr:rowOff>
    </xdr:from>
    <xdr:to>
      <xdr:col>3</xdr:col>
      <xdr:colOff>1612900</xdr:colOff>
      <xdr:row>19</xdr:row>
      <xdr:rowOff>6351</xdr:rowOff>
    </xdr:to>
    <xdr:sp macro="" textlink="">
      <xdr:nvSpPr>
        <xdr:cNvPr id="3075" name="Drop Down 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4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5</xdr:row>
          <xdr:rowOff>184150</xdr:rowOff>
        </xdr:from>
        <xdr:to>
          <xdr:col>3</xdr:col>
          <xdr:colOff>2660650</xdr:colOff>
          <xdr:row>7</xdr:row>
          <xdr:rowOff>25400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11</xdr:row>
          <xdr:rowOff>177800</xdr:rowOff>
        </xdr:from>
        <xdr:to>
          <xdr:col>3</xdr:col>
          <xdr:colOff>2660650</xdr:colOff>
          <xdr:row>13</xdr:row>
          <xdr:rowOff>19050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17</xdr:row>
          <xdr:rowOff>165100</xdr:rowOff>
        </xdr:from>
        <xdr:to>
          <xdr:col>3</xdr:col>
          <xdr:colOff>2635250</xdr:colOff>
          <xdr:row>19</xdr:row>
          <xdr:rowOff>6350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1</xdr:row>
          <xdr:rowOff>38100</xdr:rowOff>
        </xdr:from>
        <xdr:to>
          <xdr:col>8</xdr:col>
          <xdr:colOff>425450</xdr:colOff>
          <xdr:row>2</xdr:row>
          <xdr:rowOff>82550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320675</xdr:colOff>
      <xdr:row>0</xdr:row>
      <xdr:rowOff>95250</xdr:rowOff>
    </xdr:from>
    <xdr:to>
      <xdr:col>16</xdr:col>
      <xdr:colOff>508000</xdr:colOff>
      <xdr:row>12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317500</xdr:colOff>
      <xdr:row>0</xdr:row>
      <xdr:rowOff>57150</xdr:rowOff>
    </xdr:from>
    <xdr:to>
      <xdr:col>17</xdr:col>
      <xdr:colOff>565150</xdr:colOff>
      <xdr:row>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1828800</xdr:colOff>
      <xdr:row>9</xdr:row>
      <xdr:rowOff>76200</xdr:rowOff>
    </xdr:from>
    <xdr:to>
      <xdr:col>5</xdr:col>
      <xdr:colOff>127000</xdr:colOff>
      <xdr:row>11</xdr:row>
      <xdr:rowOff>50800</xdr:rowOff>
    </xdr:to>
    <xdr:sp macro="" textlink="">
      <xdr:nvSpPr>
        <xdr:cNvPr id="8193" name="Button 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00000000-0008-0000-0900-000001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Cost of Capital</a:t>
          </a:r>
        </a:p>
      </xdr:txBody>
    </xdr:sp>
    <xdr:clientData fPrintsWithSheet="0"/>
  </xdr:twoCellAnchor>
  <xdr:twoCellAnchor>
    <xdr:from>
      <xdr:col>20</xdr:col>
      <xdr:colOff>0</xdr:colOff>
      <xdr:row>9</xdr:row>
      <xdr:rowOff>25400</xdr:rowOff>
    </xdr:from>
    <xdr:to>
      <xdr:col>21</xdr:col>
      <xdr:colOff>177800</xdr:colOff>
      <xdr:row>10</xdr:row>
      <xdr:rowOff>146050</xdr:rowOff>
    </xdr:to>
    <xdr:sp macro="" textlink="">
      <xdr:nvSpPr>
        <xdr:cNvPr id="8194" name="Button 2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9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Read PE</a:t>
          </a:r>
        </a:p>
      </xdr:txBody>
    </xdr:sp>
    <xdr:clientData fPrintsWithSheet="0"/>
  </xdr:twoCellAnchor>
  <xdr:twoCellAnchor>
    <xdr:from>
      <xdr:col>11</xdr:col>
      <xdr:colOff>311150</xdr:colOff>
      <xdr:row>9</xdr:row>
      <xdr:rowOff>101600</xdr:rowOff>
    </xdr:from>
    <xdr:to>
      <xdr:col>17</xdr:col>
      <xdr:colOff>571500</xdr:colOff>
      <xdr:row>19</xdr:row>
      <xdr:rowOff>107950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355600</xdr:colOff>
          <xdr:row>15</xdr:row>
          <xdr:rowOff>76200</xdr:rowOff>
        </xdr:from>
        <xdr:to>
          <xdr:col>6</xdr:col>
          <xdr:colOff>120650</xdr:colOff>
          <xdr:row>16</xdr:row>
          <xdr:rowOff>114300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1</xdr:row>
          <xdr:rowOff>38100</xdr:rowOff>
        </xdr:from>
        <xdr:to>
          <xdr:col>3</xdr:col>
          <xdr:colOff>1289050</xdr:colOff>
          <xdr:row>2</xdr:row>
          <xdr:rowOff>82550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1123950</xdr:colOff>
          <xdr:row>21</xdr:row>
          <xdr:rowOff>6350</xdr:rowOff>
        </xdr:from>
        <xdr:to>
          <xdr:col>4</xdr:col>
          <xdr:colOff>152400</xdr:colOff>
          <xdr:row>21</xdr:row>
          <xdr:rowOff>146050</xdr:rowOff>
        </xdr:to>
        <xdr:sp macro="" textlink="">
          <xdr:nvSpPr>
            <xdr:cNvPr id="41985" name="Spinner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450850</xdr:colOff>
          <xdr:row>0</xdr:row>
          <xdr:rowOff>88900</xdr:rowOff>
        </xdr:from>
        <xdr:to>
          <xdr:col>4</xdr:col>
          <xdr:colOff>177800</xdr:colOff>
          <xdr:row>1</xdr:row>
          <xdr:rowOff>133350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27</xdr:row>
          <xdr:rowOff>0</xdr:rowOff>
        </xdr:from>
        <xdr:to>
          <xdr:col>4</xdr:col>
          <xdr:colOff>292100</xdr:colOff>
          <xdr:row>27</xdr:row>
          <xdr:rowOff>152400</xdr:rowOff>
        </xdr:to>
        <xdr:sp macro="" textlink="">
          <xdr:nvSpPr>
            <xdr:cNvPr id="43011" name="Spinner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450850</xdr:colOff>
          <xdr:row>0</xdr:row>
          <xdr:rowOff>88900</xdr:rowOff>
        </xdr:from>
        <xdr:to>
          <xdr:col>4</xdr:col>
          <xdr:colOff>6350</xdr:colOff>
          <xdr:row>1</xdr:row>
          <xdr:rowOff>133350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2</xdr:row>
          <xdr:rowOff>88900</xdr:rowOff>
        </xdr:from>
        <xdr:to>
          <xdr:col>11</xdr:col>
          <xdr:colOff>19050</xdr:colOff>
          <xdr:row>3</xdr:row>
          <xdr:rowOff>133350</xdr:rowOff>
        </xdr:to>
        <xdr:sp macro="" textlink="">
          <xdr:nvSpPr>
            <xdr:cNvPr id="101377" name="Check Box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C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450850</xdr:colOff>
          <xdr:row>3</xdr:row>
          <xdr:rowOff>88900</xdr:rowOff>
        </xdr:from>
        <xdr:to>
          <xdr:col>12</xdr:col>
          <xdr:colOff>57150</xdr:colOff>
          <xdr:row>4</xdr:row>
          <xdr:rowOff>133350</xdr:rowOff>
        </xdr:to>
        <xdr:sp macro="" textlink="">
          <xdr:nvSpPr>
            <xdr:cNvPr id="116738" name="Check Box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0D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</xdr:colOff>
          <xdr:row>6</xdr:row>
          <xdr:rowOff>25400</xdr:rowOff>
        </xdr:from>
        <xdr:to>
          <xdr:col>13</xdr:col>
          <xdr:colOff>285750</xdr:colOff>
          <xdr:row>7</xdr:row>
          <xdr:rowOff>31750</xdr:rowOff>
        </xdr:to>
        <xdr:sp macro="" textlink="">
          <xdr:nvSpPr>
            <xdr:cNvPr id="116739" name="Spinner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0D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26</xdr:row>
          <xdr:rowOff>12700</xdr:rowOff>
        </xdr:from>
        <xdr:to>
          <xdr:col>4</xdr:col>
          <xdr:colOff>292100</xdr:colOff>
          <xdr:row>26</xdr:row>
          <xdr:rowOff>165100</xdr:rowOff>
        </xdr:to>
        <xdr:sp macro="" textlink="">
          <xdr:nvSpPr>
            <xdr:cNvPr id="48129" name="Spinner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25400</xdr:rowOff>
        </xdr:from>
        <xdr:to>
          <xdr:col>4</xdr:col>
          <xdr:colOff>285750</xdr:colOff>
          <xdr:row>0</xdr:row>
          <xdr:rowOff>177800</xdr:rowOff>
        </xdr:to>
        <xdr:sp macro="" textlink="">
          <xdr:nvSpPr>
            <xdr:cNvPr id="48130" name="Spinner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444500</xdr:colOff>
          <xdr:row>4</xdr:row>
          <xdr:rowOff>88900</xdr:rowOff>
        </xdr:from>
        <xdr:to>
          <xdr:col>13</xdr:col>
          <xdr:colOff>63500</xdr:colOff>
          <xdr:row>5</xdr:row>
          <xdr:rowOff>133350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E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673100</xdr:colOff>
          <xdr:row>3</xdr:row>
          <xdr:rowOff>88900</xdr:rowOff>
        </xdr:from>
        <xdr:to>
          <xdr:col>7</xdr:col>
          <xdr:colOff>590550</xdr:colOff>
          <xdr:row>4</xdr:row>
          <xdr:rowOff>133350</xdr:rowOff>
        </xdr:to>
        <xdr:sp macro="" textlink="">
          <xdr:nvSpPr>
            <xdr:cNvPr id="60419" name="Check Box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406400</xdr:colOff>
          <xdr:row>1</xdr:row>
          <xdr:rowOff>88900</xdr:rowOff>
        </xdr:from>
        <xdr:to>
          <xdr:col>11</xdr:col>
          <xdr:colOff>50800</xdr:colOff>
          <xdr:row>2</xdr:row>
          <xdr:rowOff>133350</xdr:rowOff>
        </xdr:to>
        <xdr:sp macro="" textlink="">
          <xdr:nvSpPr>
            <xdr:cNvPr id="159745" name="Check Box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11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679450</xdr:colOff>
          <xdr:row>2</xdr:row>
          <xdr:rowOff>0</xdr:rowOff>
        </xdr:from>
        <xdr:to>
          <xdr:col>3</xdr:col>
          <xdr:colOff>1911350</xdr:colOff>
          <xdr:row>3</xdr:row>
          <xdr:rowOff>25400</xdr:rowOff>
        </xdr:to>
        <xdr:sp macro="" textlink="">
          <xdr:nvSpPr>
            <xdr:cNvPr id="68610" name="Drop Dow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2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717550</xdr:colOff>
          <xdr:row>0</xdr:row>
          <xdr:rowOff>0</xdr:rowOff>
        </xdr:from>
        <xdr:to>
          <xdr:col>3</xdr:col>
          <xdr:colOff>1936750</xdr:colOff>
          <xdr:row>1</xdr:row>
          <xdr:rowOff>25400</xdr:rowOff>
        </xdr:to>
        <xdr:sp macro="" textlink="">
          <xdr:nvSpPr>
            <xdr:cNvPr id="28673" name="Drop Dow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2965450</xdr:colOff>
      <xdr:row>0</xdr:row>
      <xdr:rowOff>31750</xdr:rowOff>
    </xdr:from>
    <xdr:to>
      <xdr:col>3</xdr:col>
      <xdr:colOff>3213100</xdr:colOff>
      <xdr:row>0</xdr:row>
      <xdr:rowOff>171450</xdr:rowOff>
    </xdr:to>
    <xdr:sp macro="" textlink="">
      <xdr:nvSpPr>
        <xdr:cNvPr id="14337" name="Spinner 1" hidden="1">
          <a:extLst>
            <a:ext uri="{63B3BB69-23CF-44E3-9099-C40C66FF867C}">
              <a14:compatExt xmlns:a14="http://schemas.microsoft.com/office/drawing/2010/main" spid="_x0000_s14337"/>
            </a:ext>
            <a:ext uri="{FF2B5EF4-FFF2-40B4-BE49-F238E27FC236}">
              <a16:creationId xmlns:a16="http://schemas.microsoft.com/office/drawing/2014/main" id="{00000000-0008-0000-1400-000001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717550</xdr:colOff>
          <xdr:row>3</xdr:row>
          <xdr:rowOff>0</xdr:rowOff>
        </xdr:from>
        <xdr:to>
          <xdr:col>3</xdr:col>
          <xdr:colOff>1936750</xdr:colOff>
          <xdr:row>4</xdr:row>
          <xdr:rowOff>25400</xdr:rowOff>
        </xdr:to>
        <xdr:sp macro="" textlink="">
          <xdr:nvSpPr>
            <xdr:cNvPr id="14339" name="Drop Dow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1606550</xdr:colOff>
          <xdr:row>0</xdr:row>
          <xdr:rowOff>63500</xdr:rowOff>
        </xdr:from>
        <xdr:to>
          <xdr:col>3</xdr:col>
          <xdr:colOff>2470150</xdr:colOff>
          <xdr:row>1</xdr:row>
          <xdr:rowOff>107950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1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679450</xdr:colOff>
          <xdr:row>2</xdr:row>
          <xdr:rowOff>0</xdr:rowOff>
        </xdr:from>
        <xdr:to>
          <xdr:col>3</xdr:col>
          <xdr:colOff>1898650</xdr:colOff>
          <xdr:row>3</xdr:row>
          <xdr:rowOff>25400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5424714" y="1496785"/>
    <xdr:ext cx="4575023" cy="225878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0150929" y="1487715"/>
    <xdr:ext cx="4172857" cy="225878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8</xdr:row>
          <xdr:rowOff>177800</xdr:rowOff>
        </xdr:from>
        <xdr:to>
          <xdr:col>7</xdr:col>
          <xdr:colOff>355600</xdr:colOff>
          <xdr:row>9</xdr:row>
          <xdr:rowOff>165100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5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2724150</xdr:colOff>
          <xdr:row>2</xdr:row>
          <xdr:rowOff>114300</xdr:rowOff>
        </xdr:from>
        <xdr:to>
          <xdr:col>4</xdr:col>
          <xdr:colOff>850900</xdr:colOff>
          <xdr:row>3</xdr:row>
          <xdr:rowOff>158750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15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Comments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76200</xdr:rowOff>
        </xdr:from>
        <xdr:to>
          <xdr:col>4</xdr:col>
          <xdr:colOff>0</xdr:colOff>
          <xdr:row>2</xdr:row>
          <xdr:rowOff>101600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8668712" cy="62922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2</xdr:row>
          <xdr:rowOff>0</xdr:rowOff>
        </xdr:from>
        <xdr:to>
          <xdr:col>6</xdr:col>
          <xdr:colOff>355600</xdr:colOff>
          <xdr:row>3</xdr:row>
          <xdr:rowOff>6350</xdr:rowOff>
        </xdr:to>
        <xdr:sp macro="" textlink="">
          <xdr:nvSpPr>
            <xdr:cNvPr id="23553" name="Spinner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2</xdr:row>
          <xdr:rowOff>6350</xdr:rowOff>
        </xdr:from>
        <xdr:to>
          <xdr:col>9</xdr:col>
          <xdr:colOff>171450</xdr:colOff>
          <xdr:row>2</xdr:row>
          <xdr:rowOff>171450</xdr:rowOff>
        </xdr:to>
        <xdr:sp macro="" textlink="">
          <xdr:nvSpPr>
            <xdr:cNvPr id="23554" name="Drop Dow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7485946" y="246945"/>
    <xdr:ext cx="4847166" cy="2794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hyperlink" Target="http://www.multpl.com/shiller-pe/table" TargetMode="External"/><Relationship Id="rId6" Type="http://schemas.openxmlformats.org/officeDocument/2006/relationships/comments" Target="../comments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121"/>
  <sheetViews>
    <sheetView workbookViewId="0">
      <selection activeCell="D17" sqref="D17"/>
    </sheetView>
  </sheetViews>
  <sheetFormatPr defaultRowHeight="14.5"/>
  <cols>
    <col min="1" max="3" width="1.81640625" customWidth="1"/>
    <col min="4" max="4" width="24.1796875" customWidth="1"/>
    <col min="5" max="5" width="12" bestFit="1" customWidth="1"/>
    <col min="11" max="11" width="8.81640625" customWidth="1"/>
    <col min="12" max="12" width="11.1796875" customWidth="1"/>
    <col min="14" max="14" width="13.54296875" bestFit="1" customWidth="1"/>
    <col min="17" max="17" width="12.1796875" customWidth="1"/>
  </cols>
  <sheetData>
    <row r="2" spans="2:19">
      <c r="B2" t="s">
        <v>0</v>
      </c>
      <c r="E2">
        <v>111.19</v>
      </c>
    </row>
    <row r="4" spans="2:19">
      <c r="J4" t="s">
        <v>1</v>
      </c>
      <c r="L4" s="4">
        <v>1510000</v>
      </c>
    </row>
    <row r="5" spans="2:19">
      <c r="E5" t="s">
        <v>2</v>
      </c>
      <c r="F5" t="s">
        <v>3</v>
      </c>
      <c r="G5" t="s">
        <v>498</v>
      </c>
    </row>
    <row r="6" spans="2:19">
      <c r="B6" t="s">
        <v>4</v>
      </c>
      <c r="E6" s="3">
        <f>L6*R6</f>
        <v>108.97</v>
      </c>
      <c r="F6" s="3">
        <f>S6*L6</f>
        <v>134.61000000000001</v>
      </c>
      <c r="G6">
        <v>137</v>
      </c>
      <c r="J6" t="s">
        <v>5</v>
      </c>
      <c r="L6">
        <v>6.41</v>
      </c>
      <c r="Q6" t="s">
        <v>6</v>
      </c>
      <c r="R6">
        <v>17</v>
      </c>
      <c r="S6">
        <v>21</v>
      </c>
    </row>
    <row r="7" spans="2:19">
      <c r="B7" t="s">
        <v>7</v>
      </c>
      <c r="E7" s="3">
        <f>(R7*$L$7-$N$7)/$L$4</f>
        <v>96.466821192052976</v>
      </c>
      <c r="F7" s="3">
        <f>(S7*$L$7-$N$7)/$L$4</f>
        <v>129.78470198675495</v>
      </c>
      <c r="G7">
        <v>137</v>
      </c>
      <c r="J7" t="s">
        <v>8</v>
      </c>
      <c r="L7" s="4">
        <v>16770000</v>
      </c>
      <c r="M7" t="s">
        <v>9</v>
      </c>
      <c r="N7" s="4">
        <v>22035100</v>
      </c>
      <c r="Q7" t="s">
        <v>10</v>
      </c>
      <c r="R7">
        <v>10</v>
      </c>
      <c r="S7">
        <v>13</v>
      </c>
    </row>
    <row r="8" spans="2:19">
      <c r="B8" t="s">
        <v>11</v>
      </c>
      <c r="E8" s="3">
        <f>L8*R8</f>
        <v>81.72</v>
      </c>
      <c r="F8" s="3">
        <f>L8*S8</f>
        <v>136.19999999999999</v>
      </c>
      <c r="G8">
        <v>137</v>
      </c>
      <c r="J8" t="s">
        <v>12</v>
      </c>
      <c r="L8">
        <v>27.24</v>
      </c>
      <c r="Q8" t="s">
        <v>13</v>
      </c>
      <c r="R8">
        <v>3</v>
      </c>
      <c r="S8">
        <v>5</v>
      </c>
    </row>
    <row r="9" spans="2:19">
      <c r="B9" t="s">
        <v>14</v>
      </c>
      <c r="E9" s="3">
        <v>84</v>
      </c>
      <c r="F9" s="3">
        <v>140</v>
      </c>
      <c r="G9">
        <v>137</v>
      </c>
    </row>
    <row r="10" spans="2:19">
      <c r="B10" t="s">
        <v>15</v>
      </c>
      <c r="E10" s="3">
        <v>90</v>
      </c>
      <c r="F10" s="3">
        <v>135</v>
      </c>
      <c r="G10">
        <v>137</v>
      </c>
    </row>
    <row r="11" spans="2:19">
      <c r="B11" t="s">
        <v>16</v>
      </c>
      <c r="E11" s="3">
        <v>82</v>
      </c>
      <c r="F11" s="3">
        <v>136</v>
      </c>
      <c r="G11">
        <v>137</v>
      </c>
    </row>
    <row r="12" spans="2:19">
      <c r="B12" t="s">
        <v>17</v>
      </c>
      <c r="E12" s="3">
        <v>94</v>
      </c>
      <c r="F12" s="3">
        <v>150</v>
      </c>
      <c r="G12">
        <v>137</v>
      </c>
    </row>
    <row r="13" spans="2:19">
      <c r="B13" t="s">
        <v>18</v>
      </c>
      <c r="E13" s="3">
        <v>91</v>
      </c>
      <c r="F13" s="3">
        <v>140</v>
      </c>
      <c r="G13">
        <v>137</v>
      </c>
    </row>
    <row r="15" spans="2:19">
      <c r="B15" t="s">
        <v>19</v>
      </c>
      <c r="E15" s="3">
        <v>25</v>
      </c>
    </row>
    <row r="19" spans="1:6">
      <c r="A19" t="s">
        <v>20</v>
      </c>
      <c r="E19" t="str">
        <f>E5</f>
        <v>Low</v>
      </c>
      <c r="F19" t="str">
        <f>F5</f>
        <v>High</v>
      </c>
    </row>
    <row r="20" spans="1:6">
      <c r="B20" t="s">
        <v>4</v>
      </c>
      <c r="E20" s="3">
        <f t="shared" ref="E20:E27" si="0">E6</f>
        <v>108.97</v>
      </c>
      <c r="F20" s="3">
        <f t="shared" ref="F20:F27" si="1">F6-E20</f>
        <v>25.640000000000015</v>
      </c>
    </row>
    <row r="21" spans="1:6">
      <c r="B21" t="s">
        <v>7</v>
      </c>
      <c r="E21" s="3">
        <f t="shared" si="0"/>
        <v>96.466821192052976</v>
      </c>
      <c r="F21" s="3">
        <f t="shared" si="1"/>
        <v>33.317880794701978</v>
      </c>
    </row>
    <row r="22" spans="1:6">
      <c r="B22" t="s">
        <v>11</v>
      </c>
      <c r="E22" s="3">
        <f t="shared" si="0"/>
        <v>81.72</v>
      </c>
      <c r="F22" s="3">
        <f t="shared" si="1"/>
        <v>54.47999999999999</v>
      </c>
    </row>
    <row r="23" spans="1:6">
      <c r="B23" t="s">
        <v>14</v>
      </c>
      <c r="E23" s="3">
        <f t="shared" si="0"/>
        <v>84</v>
      </c>
      <c r="F23" s="3">
        <f t="shared" si="1"/>
        <v>56</v>
      </c>
    </row>
    <row r="24" spans="1:6">
      <c r="B24" t="s">
        <v>15</v>
      </c>
      <c r="E24" s="3">
        <f t="shared" si="0"/>
        <v>90</v>
      </c>
      <c r="F24" s="3">
        <f t="shared" si="1"/>
        <v>45</v>
      </c>
    </row>
    <row r="25" spans="1:6">
      <c r="B25" t="s">
        <v>16</v>
      </c>
      <c r="E25" s="3">
        <f t="shared" si="0"/>
        <v>82</v>
      </c>
      <c r="F25" s="3">
        <f t="shared" si="1"/>
        <v>54</v>
      </c>
    </row>
    <row r="26" spans="1:6">
      <c r="B26" t="s">
        <v>17</v>
      </c>
      <c r="E26" s="3">
        <f t="shared" si="0"/>
        <v>94</v>
      </c>
      <c r="F26" s="3">
        <f t="shared" si="1"/>
        <v>56</v>
      </c>
    </row>
    <row r="27" spans="1:6">
      <c r="B27" t="s">
        <v>18</v>
      </c>
      <c r="E27" s="3">
        <f t="shared" si="0"/>
        <v>91</v>
      </c>
      <c r="F27" s="3">
        <f t="shared" si="1"/>
        <v>49</v>
      </c>
    </row>
    <row r="32" spans="1:6">
      <c r="A32" t="s">
        <v>21</v>
      </c>
    </row>
    <row r="35" spans="1:9">
      <c r="E35" t="s">
        <v>2</v>
      </c>
      <c r="F35" t="s">
        <v>20</v>
      </c>
      <c r="G35" t="s">
        <v>22</v>
      </c>
      <c r="H35" t="s">
        <v>20</v>
      </c>
    </row>
    <row r="36" spans="1:9">
      <c r="B36" t="str">
        <f t="shared" ref="B36:B43" si="2">B20</f>
        <v>P/E Multiple - Public</v>
      </c>
      <c r="E36" s="3">
        <f t="shared" ref="E36:E43" si="3">E20</f>
        <v>108.97</v>
      </c>
      <c r="F36" s="3">
        <f t="shared" ref="F36:F43" si="4">$E$15</f>
        <v>25</v>
      </c>
      <c r="G36" s="3">
        <f t="shared" ref="G36:G43" si="5">F6</f>
        <v>134.61000000000001</v>
      </c>
      <c r="H36" s="3">
        <f t="shared" ref="H36:H43" si="6">$E$15</f>
        <v>25</v>
      </c>
    </row>
    <row r="37" spans="1:9">
      <c r="B37" t="str">
        <f t="shared" si="2"/>
        <v>EV/EBITDA Multiple - Public</v>
      </c>
      <c r="E37" s="3">
        <f t="shared" si="3"/>
        <v>96.466821192052976</v>
      </c>
      <c r="F37" s="3">
        <f t="shared" si="4"/>
        <v>25</v>
      </c>
      <c r="G37" s="3">
        <f t="shared" si="5"/>
        <v>129.78470198675495</v>
      </c>
      <c r="H37" s="3">
        <f t="shared" si="6"/>
        <v>25</v>
      </c>
    </row>
    <row r="38" spans="1:9">
      <c r="B38" t="str">
        <f t="shared" si="2"/>
        <v>P/B Multiple - Public</v>
      </c>
      <c r="E38" s="3">
        <f t="shared" si="3"/>
        <v>81.72</v>
      </c>
      <c r="F38" s="3">
        <f t="shared" si="4"/>
        <v>25</v>
      </c>
      <c r="G38" s="3">
        <f t="shared" si="5"/>
        <v>136.19999999999999</v>
      </c>
      <c r="H38" s="3">
        <f t="shared" si="6"/>
        <v>25</v>
      </c>
    </row>
    <row r="39" spans="1:9">
      <c r="B39" t="str">
        <f t="shared" si="2"/>
        <v>DCF - Growth</v>
      </c>
      <c r="E39" s="3">
        <f t="shared" si="3"/>
        <v>84</v>
      </c>
      <c r="F39" s="3">
        <f t="shared" si="4"/>
        <v>25</v>
      </c>
      <c r="G39" s="3">
        <f t="shared" si="5"/>
        <v>140</v>
      </c>
      <c r="H39" s="3">
        <f t="shared" si="6"/>
        <v>25</v>
      </c>
    </row>
    <row r="40" spans="1:9">
      <c r="B40" t="str">
        <f t="shared" si="2"/>
        <v>DCF - EV/EBITDA Multiple</v>
      </c>
      <c r="E40" s="3">
        <f t="shared" si="3"/>
        <v>90</v>
      </c>
      <c r="F40" s="3">
        <f t="shared" si="4"/>
        <v>25</v>
      </c>
      <c r="G40" s="3">
        <f t="shared" si="5"/>
        <v>135</v>
      </c>
      <c r="H40" s="3">
        <f t="shared" si="6"/>
        <v>25</v>
      </c>
    </row>
    <row r="41" spans="1:9">
      <c r="B41" t="str">
        <f t="shared" si="2"/>
        <v>DCF - Value Driver</v>
      </c>
      <c r="E41" s="3">
        <f t="shared" si="3"/>
        <v>82</v>
      </c>
      <c r="F41" s="3">
        <f t="shared" si="4"/>
        <v>25</v>
      </c>
      <c r="G41" s="3">
        <f t="shared" si="5"/>
        <v>136</v>
      </c>
      <c r="H41" s="3">
        <f t="shared" si="6"/>
        <v>25</v>
      </c>
    </row>
    <row r="42" spans="1:9">
      <c r="B42" t="str">
        <f t="shared" si="2"/>
        <v>LBO Implied</v>
      </c>
      <c r="E42" s="3">
        <f t="shared" si="3"/>
        <v>94</v>
      </c>
      <c r="F42" s="3">
        <f t="shared" si="4"/>
        <v>25</v>
      </c>
      <c r="G42" s="3">
        <f t="shared" si="5"/>
        <v>150</v>
      </c>
      <c r="H42" s="3">
        <f t="shared" si="6"/>
        <v>25</v>
      </c>
    </row>
    <row r="43" spans="1:9">
      <c r="B43" t="str">
        <f t="shared" si="2"/>
        <v>Accretion</v>
      </c>
      <c r="E43" s="3">
        <f t="shared" si="3"/>
        <v>91</v>
      </c>
      <c r="F43" s="3">
        <f t="shared" si="4"/>
        <v>25</v>
      </c>
      <c r="G43" s="3">
        <f t="shared" si="5"/>
        <v>140</v>
      </c>
      <c r="H43" s="3">
        <f t="shared" si="6"/>
        <v>25</v>
      </c>
    </row>
    <row r="45" spans="1:9">
      <c r="A45" t="s">
        <v>23</v>
      </c>
    </row>
    <row r="46" spans="1:9">
      <c r="E46" t="s">
        <v>24</v>
      </c>
      <c r="F46" s="3" t="str">
        <f>F35</f>
        <v>Increment</v>
      </c>
      <c r="G46" s="3" t="str">
        <f t="shared" ref="G46:H46" si="7">G35</f>
        <v>Hig vs Low</v>
      </c>
      <c r="H46" s="3" t="str">
        <f t="shared" si="7"/>
        <v>Increment</v>
      </c>
      <c r="I46" t="s">
        <v>498</v>
      </c>
    </row>
    <row r="47" spans="1:9">
      <c r="B47" t="str">
        <f>B36</f>
        <v>P/E Multiple - Public</v>
      </c>
      <c r="E47" s="3">
        <f>E36-F36</f>
        <v>83.97</v>
      </c>
      <c r="F47" s="3">
        <f>F36</f>
        <v>25</v>
      </c>
      <c r="G47" s="3">
        <f t="shared" ref="G47:G54" si="8">F6-E6</f>
        <v>25.640000000000015</v>
      </c>
      <c r="H47" s="3">
        <f>H36</f>
        <v>25</v>
      </c>
      <c r="I47">
        <f>G6</f>
        <v>137</v>
      </c>
    </row>
    <row r="48" spans="1:9">
      <c r="B48" t="str">
        <f t="shared" ref="B48:B54" si="9">B37</f>
        <v>EV/EBITDA Multiple - Public</v>
      </c>
      <c r="E48" s="3">
        <f t="shared" ref="E48:E54" si="10">E37-F37</f>
        <v>71.466821192052976</v>
      </c>
      <c r="F48" s="3">
        <f t="shared" ref="F48:H54" si="11">F37</f>
        <v>25</v>
      </c>
      <c r="G48" s="3">
        <f t="shared" si="8"/>
        <v>33.317880794701978</v>
      </c>
      <c r="H48" s="3">
        <f t="shared" si="11"/>
        <v>25</v>
      </c>
      <c r="I48">
        <f t="shared" ref="I48:I54" si="12">G7</f>
        <v>137</v>
      </c>
    </row>
    <row r="49" spans="2:9">
      <c r="B49" t="str">
        <f t="shared" si="9"/>
        <v>P/B Multiple - Public</v>
      </c>
      <c r="E49" s="3">
        <f t="shared" si="10"/>
        <v>56.72</v>
      </c>
      <c r="F49" s="3">
        <f t="shared" si="11"/>
        <v>25</v>
      </c>
      <c r="G49" s="3">
        <f t="shared" si="8"/>
        <v>54.47999999999999</v>
      </c>
      <c r="H49" s="3">
        <f t="shared" si="11"/>
        <v>25</v>
      </c>
      <c r="I49">
        <f t="shared" si="12"/>
        <v>137</v>
      </c>
    </row>
    <row r="50" spans="2:9">
      <c r="B50" t="str">
        <f t="shared" si="9"/>
        <v>DCF - Growth</v>
      </c>
      <c r="E50" s="3">
        <f t="shared" si="10"/>
        <v>59</v>
      </c>
      <c r="F50" s="3">
        <f t="shared" si="11"/>
        <v>25</v>
      </c>
      <c r="G50" s="3">
        <f t="shared" si="8"/>
        <v>56</v>
      </c>
      <c r="H50" s="3">
        <f t="shared" si="11"/>
        <v>25</v>
      </c>
      <c r="I50">
        <f t="shared" si="12"/>
        <v>137</v>
      </c>
    </row>
    <row r="51" spans="2:9">
      <c r="B51" t="str">
        <f t="shared" si="9"/>
        <v>DCF - EV/EBITDA Multiple</v>
      </c>
      <c r="E51" s="3">
        <f t="shared" si="10"/>
        <v>65</v>
      </c>
      <c r="F51" s="3">
        <f t="shared" si="11"/>
        <v>25</v>
      </c>
      <c r="G51" s="3">
        <f t="shared" si="8"/>
        <v>45</v>
      </c>
      <c r="H51" s="3">
        <f t="shared" si="11"/>
        <v>25</v>
      </c>
      <c r="I51">
        <f t="shared" si="12"/>
        <v>137</v>
      </c>
    </row>
    <row r="52" spans="2:9">
      <c r="B52" t="str">
        <f t="shared" si="9"/>
        <v>DCF - Value Driver</v>
      </c>
      <c r="E52" s="3">
        <f t="shared" si="10"/>
        <v>57</v>
      </c>
      <c r="F52" s="3">
        <f t="shared" si="11"/>
        <v>25</v>
      </c>
      <c r="G52" s="3">
        <f t="shared" si="8"/>
        <v>54</v>
      </c>
      <c r="H52" s="3">
        <f t="shared" si="11"/>
        <v>25</v>
      </c>
      <c r="I52">
        <f t="shared" si="12"/>
        <v>137</v>
      </c>
    </row>
    <row r="53" spans="2:9">
      <c r="B53" t="str">
        <f t="shared" si="9"/>
        <v>LBO Implied</v>
      </c>
      <c r="E53" s="3">
        <f t="shared" si="10"/>
        <v>69</v>
      </c>
      <c r="F53" s="3">
        <f t="shared" si="11"/>
        <v>25</v>
      </c>
      <c r="G53" s="3">
        <f t="shared" si="8"/>
        <v>56</v>
      </c>
      <c r="H53" s="3">
        <f t="shared" si="11"/>
        <v>25</v>
      </c>
      <c r="I53">
        <f t="shared" si="12"/>
        <v>137</v>
      </c>
    </row>
    <row r="54" spans="2:9">
      <c r="B54" t="str">
        <f t="shared" si="9"/>
        <v>Accretion</v>
      </c>
      <c r="E54" s="3">
        <f t="shared" si="10"/>
        <v>66</v>
      </c>
      <c r="F54" s="3">
        <f t="shared" si="11"/>
        <v>25</v>
      </c>
      <c r="G54" s="3">
        <f t="shared" si="8"/>
        <v>49</v>
      </c>
      <c r="H54" s="3">
        <f t="shared" si="11"/>
        <v>25</v>
      </c>
      <c r="I54">
        <f t="shared" si="12"/>
        <v>137</v>
      </c>
    </row>
    <row r="57" spans="2:9">
      <c r="D57" t="s">
        <v>25</v>
      </c>
    </row>
    <row r="75" spans="4:4">
      <c r="D75" t="s">
        <v>26</v>
      </c>
    </row>
    <row r="92" spans="4:4">
      <c r="D92" t="s">
        <v>27</v>
      </c>
    </row>
    <row r="94" spans="4:4">
      <c r="D94" t="s">
        <v>28</v>
      </c>
    </row>
    <row r="96" spans="4:4">
      <c r="D96" t="s">
        <v>29</v>
      </c>
    </row>
    <row r="112" spans="4:7">
      <c r="D112" t="str">
        <f>B6</f>
        <v>P/E Multiple - Public</v>
      </c>
      <c r="F112" s="3">
        <f>E6</f>
        <v>108.97</v>
      </c>
      <c r="G112" s="3">
        <f>F6</f>
        <v>134.61000000000001</v>
      </c>
    </row>
    <row r="113" spans="4:7">
      <c r="D113" t="str">
        <f t="shared" ref="D113:D119" si="13">B7</f>
        <v>EV/EBITDA Multiple - Public</v>
      </c>
      <c r="F113" s="3">
        <f t="shared" ref="F113:G119" si="14">E7</f>
        <v>96.466821192052976</v>
      </c>
      <c r="G113" s="3">
        <f t="shared" si="14"/>
        <v>129.78470198675495</v>
      </c>
    </row>
    <row r="114" spans="4:7">
      <c r="D114" t="str">
        <f t="shared" si="13"/>
        <v>P/B Multiple - Public</v>
      </c>
      <c r="F114" s="3">
        <f t="shared" si="14"/>
        <v>81.72</v>
      </c>
      <c r="G114" s="3">
        <f t="shared" si="14"/>
        <v>136.19999999999999</v>
      </c>
    </row>
    <row r="115" spans="4:7">
      <c r="D115" t="str">
        <f t="shared" si="13"/>
        <v>DCF - Growth</v>
      </c>
      <c r="F115" s="3">
        <f t="shared" si="14"/>
        <v>84</v>
      </c>
      <c r="G115" s="3">
        <f t="shared" si="14"/>
        <v>140</v>
      </c>
    </row>
    <row r="116" spans="4:7">
      <c r="D116" t="str">
        <f t="shared" si="13"/>
        <v>DCF - EV/EBITDA Multiple</v>
      </c>
      <c r="F116" s="3">
        <f t="shared" si="14"/>
        <v>90</v>
      </c>
      <c r="G116" s="3">
        <f t="shared" si="14"/>
        <v>135</v>
      </c>
    </row>
    <row r="117" spans="4:7">
      <c r="D117" t="str">
        <f t="shared" si="13"/>
        <v>DCF - Value Driver</v>
      </c>
      <c r="F117" s="3">
        <f t="shared" si="14"/>
        <v>82</v>
      </c>
      <c r="G117" s="3">
        <f t="shared" si="14"/>
        <v>136</v>
      </c>
    </row>
    <row r="118" spans="4:7">
      <c r="D118" t="str">
        <f t="shared" si="13"/>
        <v>LBO Implied</v>
      </c>
      <c r="F118" s="3">
        <f t="shared" si="14"/>
        <v>94</v>
      </c>
      <c r="G118" s="3">
        <f t="shared" si="14"/>
        <v>150</v>
      </c>
    </row>
    <row r="119" spans="4:7">
      <c r="D119" t="str">
        <f t="shared" si="13"/>
        <v>Accretion</v>
      </c>
      <c r="F119" s="3">
        <f t="shared" si="14"/>
        <v>91</v>
      </c>
      <c r="G119" s="3">
        <f t="shared" si="14"/>
        <v>140</v>
      </c>
    </row>
    <row r="120" spans="4:7">
      <c r="F120" s="3"/>
    </row>
    <row r="121" spans="4:7">
      <c r="F121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4:KT60"/>
  <sheetViews>
    <sheetView topLeftCell="A8" zoomScale="80" zoomScaleNormal="80" workbookViewId="0">
      <selection activeCell="A21" sqref="A21"/>
    </sheetView>
  </sheetViews>
  <sheetFormatPr defaultColWidth="9.26953125" defaultRowHeight="14.5"/>
  <cols>
    <col min="1" max="3" width="2" style="18" customWidth="1"/>
    <col min="4" max="4" width="26.54296875" style="18" customWidth="1"/>
    <col min="5" max="5" width="8.7265625" style="18" customWidth="1"/>
    <col min="6" max="6" width="11.08984375" style="18" customWidth="1"/>
    <col min="7" max="7" width="8.7265625" style="18" customWidth="1"/>
    <col min="8" max="16384" width="9.26953125" style="18"/>
  </cols>
  <sheetData>
    <row r="4" spans="1:7" s="31" customFormat="1">
      <c r="A4" s="31" t="s">
        <v>747</v>
      </c>
    </row>
    <row r="6" spans="1:7">
      <c r="D6" s="18" t="s">
        <v>505</v>
      </c>
      <c r="E6" s="37">
        <v>4289</v>
      </c>
    </row>
    <row r="7" spans="1:7">
      <c r="D7" s="18" t="s">
        <v>506</v>
      </c>
      <c r="E7" s="37">
        <v>950</v>
      </c>
    </row>
    <row r="8" spans="1:7">
      <c r="D8" s="18" t="s">
        <v>507</v>
      </c>
      <c r="E8" s="37">
        <v>309</v>
      </c>
    </row>
    <row r="9" spans="1:7">
      <c r="D9" s="18" t="s">
        <v>508</v>
      </c>
      <c r="E9" s="37">
        <v>454</v>
      </c>
    </row>
    <row r="10" spans="1:7" ht="15" thickBot="1">
      <c r="D10" s="35" t="s">
        <v>509</v>
      </c>
      <c r="E10" s="36">
        <f>SUM(E6:E9)</f>
        <v>6002</v>
      </c>
      <c r="F10" s="50"/>
    </row>
    <row r="12" spans="1:7">
      <c r="D12" s="18" t="s">
        <v>510</v>
      </c>
      <c r="E12" s="34">
        <f>E10*G12</f>
        <v>180.06</v>
      </c>
      <c r="F12" s="34"/>
      <c r="G12" s="30">
        <v>0.03</v>
      </c>
    </row>
    <row r="13" spans="1:7">
      <c r="D13" s="18" t="s">
        <v>511</v>
      </c>
      <c r="E13" s="34">
        <f>G13*E10</f>
        <v>300.10000000000002</v>
      </c>
      <c r="F13" s="34"/>
      <c r="G13" s="30">
        <v>0.05</v>
      </c>
    </row>
    <row r="15" spans="1:7">
      <c r="D15" s="18" t="s">
        <v>512</v>
      </c>
      <c r="E15" s="30">
        <v>0.12</v>
      </c>
      <c r="F15" s="22"/>
    </row>
    <row r="16" spans="1:7">
      <c r="D16" s="18" t="s">
        <v>513</v>
      </c>
      <c r="E16" s="30">
        <v>0</v>
      </c>
      <c r="F16" s="22"/>
    </row>
    <row r="18" spans="4:11">
      <c r="D18" s="18" t="s">
        <v>514</v>
      </c>
      <c r="E18" s="34">
        <f>E12*(1+E16)/(E15-E16)</f>
        <v>1500.5</v>
      </c>
      <c r="F18" s="34"/>
    </row>
    <row r="19" spans="4:11">
      <c r="D19" s="18" t="s">
        <v>515</v>
      </c>
      <c r="E19" s="34">
        <f>E13*(1+E16)/(E15-E16)</f>
        <v>2500.8333333333335</v>
      </c>
      <c r="F19" s="34"/>
    </row>
    <row r="22" spans="4:11">
      <c r="D22" s="18" t="s">
        <v>122</v>
      </c>
      <c r="E22" s="28">
        <v>22</v>
      </c>
    </row>
    <row r="23" spans="4:11">
      <c r="D23" s="18" t="s">
        <v>1</v>
      </c>
      <c r="E23" s="28">
        <v>264</v>
      </c>
    </row>
    <row r="24" spans="4:11">
      <c r="D24" s="18" t="s">
        <v>409</v>
      </c>
      <c r="E24" s="30">
        <v>0.37</v>
      </c>
      <c r="F24" s="22"/>
    </row>
    <row r="26" spans="4:11">
      <c r="D26" s="18" t="s">
        <v>516</v>
      </c>
      <c r="E26" s="34">
        <f>E22*E23*E24</f>
        <v>2148.96</v>
      </c>
      <c r="F26" s="34"/>
    </row>
    <row r="27" spans="4:11">
      <c r="K27" s="18" t="s">
        <v>790</v>
      </c>
    </row>
    <row r="28" spans="4:11">
      <c r="D28" s="18" t="s">
        <v>85</v>
      </c>
      <c r="E28" s="30">
        <v>0.4</v>
      </c>
      <c r="F28" s="22"/>
      <c r="K28" s="18" t="s">
        <v>791</v>
      </c>
    </row>
    <row r="30" spans="4:11">
      <c r="D30" s="18" t="s">
        <v>517</v>
      </c>
    </row>
    <row r="31" spans="4:11">
      <c r="D31" s="18" t="s">
        <v>514</v>
      </c>
      <c r="E31" s="18">
        <f>E18*(1-$E$28)</f>
        <v>900.3</v>
      </c>
    </row>
    <row r="32" spans="4:11">
      <c r="D32" s="18" t="s">
        <v>515</v>
      </c>
      <c r="E32" s="18">
        <f>E19*(1-$E$28)</f>
        <v>1500.5</v>
      </c>
    </row>
    <row r="35" spans="1:11" s="31" customFormat="1">
      <c r="A35" s="31" t="s">
        <v>748</v>
      </c>
    </row>
    <row r="37" spans="1:11">
      <c r="E37" s="18" t="s">
        <v>792</v>
      </c>
      <c r="G37" s="18">
        <v>3</v>
      </c>
    </row>
    <row r="39" spans="1:11">
      <c r="G39" s="28">
        <v>1</v>
      </c>
      <c r="H39" s="28">
        <v>3</v>
      </c>
      <c r="I39" s="28">
        <v>5</v>
      </c>
      <c r="J39" s="28">
        <v>9</v>
      </c>
      <c r="K39" s="28">
        <v>15</v>
      </c>
    </row>
    <row r="40" spans="1:11">
      <c r="B40" s="18" t="s">
        <v>749</v>
      </c>
      <c r="E40" s="18" t="s">
        <v>785</v>
      </c>
      <c r="G40" s="30">
        <v>0.25</v>
      </c>
      <c r="H40" s="30">
        <v>0.35</v>
      </c>
      <c r="I40" s="30">
        <v>0.6</v>
      </c>
      <c r="J40" s="30">
        <v>0.8</v>
      </c>
      <c r="K40" s="30">
        <v>1</v>
      </c>
    </row>
    <row r="41" spans="1:11">
      <c r="E41" s="18" t="s">
        <v>786</v>
      </c>
      <c r="G41" s="30">
        <v>1</v>
      </c>
      <c r="H41" s="30">
        <v>1</v>
      </c>
      <c r="I41" s="30">
        <v>1</v>
      </c>
      <c r="J41" s="30">
        <v>1</v>
      </c>
      <c r="K41" s="30">
        <v>1</v>
      </c>
    </row>
    <row r="42" spans="1:11">
      <c r="E42" s="18" t="s">
        <v>787</v>
      </c>
      <c r="G42" s="30">
        <v>0.1</v>
      </c>
      <c r="H42" s="30">
        <v>0.15</v>
      </c>
      <c r="I42" s="30">
        <v>0.5</v>
      </c>
      <c r="J42" s="30">
        <v>0.75</v>
      </c>
      <c r="K42" s="30">
        <v>1</v>
      </c>
    </row>
    <row r="43" spans="1:11">
      <c r="G43" s="30"/>
      <c r="H43" s="30"/>
      <c r="I43" s="30"/>
      <c r="J43" s="30"/>
      <c r="K43" s="30"/>
    </row>
    <row r="44" spans="1:11">
      <c r="G44" s="22"/>
      <c r="H44" s="22"/>
      <c r="I44" s="22"/>
      <c r="J44" s="22"/>
      <c r="K44" s="22"/>
    </row>
    <row r="46" spans="1:11">
      <c r="B46" s="18" t="s">
        <v>115</v>
      </c>
      <c r="E46" s="29">
        <v>0.02</v>
      </c>
      <c r="F46" s="20"/>
    </row>
    <row r="47" spans="1:11">
      <c r="B47" s="18" t="s">
        <v>750</v>
      </c>
      <c r="E47" s="29">
        <v>0.05</v>
      </c>
      <c r="F47" s="20"/>
      <c r="G47" s="28">
        <v>4</v>
      </c>
    </row>
    <row r="49" spans="1:306" s="31" customFormat="1">
      <c r="A49" s="31" t="s">
        <v>758</v>
      </c>
    </row>
    <row r="50" spans="1:306">
      <c r="B50" s="18" t="s">
        <v>751</v>
      </c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</row>
    <row r="51" spans="1:306">
      <c r="B51" s="18" t="s">
        <v>754</v>
      </c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  <c r="HW51" s="20"/>
      <c r="HX51" s="20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20"/>
      <c r="IY51" s="20"/>
      <c r="IZ51" s="20"/>
      <c r="JA51" s="20"/>
      <c r="JB51" s="20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</row>
    <row r="52" spans="1:306">
      <c r="B52" s="18" t="s">
        <v>752</v>
      </c>
      <c r="E52" s="20"/>
      <c r="F52" s="19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52"/>
      <c r="CE52" s="52"/>
      <c r="CF52" s="52"/>
      <c r="CG52" s="52"/>
      <c r="CH52" s="52"/>
      <c r="CI52" s="52"/>
      <c r="CJ52" s="52"/>
      <c r="CK52" s="52"/>
      <c r="CL52" s="52"/>
      <c r="CM52" s="52"/>
      <c r="CN52" s="52"/>
      <c r="CO52" s="52"/>
      <c r="CP52" s="52"/>
      <c r="CQ52" s="52"/>
      <c r="CR52" s="52"/>
      <c r="CS52" s="52"/>
      <c r="CT52" s="52"/>
      <c r="CU52" s="52"/>
      <c r="CV52" s="52"/>
      <c r="CW52" s="52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52"/>
      <c r="DS52" s="52"/>
      <c r="DT52" s="52"/>
      <c r="DU52" s="52"/>
      <c r="DV52" s="52"/>
      <c r="DW52" s="52"/>
      <c r="DX52" s="52"/>
      <c r="DY52" s="52"/>
      <c r="DZ52" s="52"/>
      <c r="EA52" s="52"/>
      <c r="EB52" s="52"/>
      <c r="EC52" s="52"/>
      <c r="ED52" s="52"/>
      <c r="EE52" s="52"/>
      <c r="EF52" s="52"/>
      <c r="EG52" s="52"/>
      <c r="EH52" s="52"/>
      <c r="EI52" s="52"/>
      <c r="EJ52" s="52"/>
      <c r="EK52" s="52"/>
      <c r="EL52" s="52"/>
      <c r="EM52" s="52"/>
      <c r="EN52" s="52"/>
      <c r="EO52" s="52"/>
      <c r="EP52" s="52"/>
      <c r="EQ52" s="52"/>
      <c r="ER52" s="52"/>
      <c r="ES52" s="52"/>
      <c r="ET52" s="52"/>
      <c r="EU52" s="52"/>
      <c r="EV52" s="52"/>
      <c r="EW52" s="52"/>
      <c r="EX52" s="52"/>
      <c r="EY52" s="52"/>
      <c r="EZ52" s="52"/>
      <c r="FA52" s="52"/>
      <c r="FB52" s="52"/>
      <c r="FC52" s="52"/>
      <c r="FD52" s="52"/>
      <c r="FE52" s="52"/>
      <c r="FF52" s="52"/>
      <c r="FG52" s="52"/>
      <c r="FH52" s="52"/>
      <c r="FI52" s="52"/>
      <c r="FJ52" s="52"/>
      <c r="FK52" s="52"/>
      <c r="FL52" s="52"/>
      <c r="FM52" s="52"/>
      <c r="FN52" s="52"/>
      <c r="FO52" s="52"/>
      <c r="FP52" s="52"/>
      <c r="FQ52" s="52"/>
      <c r="FR52" s="52"/>
      <c r="FS52" s="52"/>
      <c r="FT52" s="52"/>
      <c r="FU52" s="52"/>
      <c r="FV52" s="52"/>
      <c r="FW52" s="52"/>
      <c r="FX52" s="52"/>
      <c r="FY52" s="52"/>
      <c r="FZ52" s="52"/>
      <c r="GA52" s="52"/>
      <c r="GB52" s="52"/>
      <c r="GC52" s="52"/>
      <c r="GD52" s="52"/>
      <c r="GE52" s="52"/>
      <c r="GF52" s="52"/>
      <c r="GG52" s="52"/>
      <c r="GH52" s="52"/>
      <c r="GI52" s="52"/>
      <c r="GJ52" s="52"/>
      <c r="GK52" s="52"/>
      <c r="GL52" s="52"/>
      <c r="GM52" s="52"/>
      <c r="GN52" s="52"/>
      <c r="GO52" s="52"/>
      <c r="GP52" s="52"/>
      <c r="GQ52" s="52"/>
      <c r="GR52" s="52"/>
      <c r="GS52" s="52"/>
      <c r="GT52" s="52"/>
      <c r="GU52" s="52"/>
      <c r="GV52" s="52"/>
      <c r="GW52" s="52"/>
      <c r="GX52" s="52"/>
      <c r="GY52" s="52"/>
      <c r="GZ52" s="52"/>
      <c r="HA52" s="52"/>
      <c r="HB52" s="52"/>
      <c r="HC52" s="52"/>
      <c r="HD52" s="52"/>
      <c r="HE52" s="52"/>
      <c r="HF52" s="52"/>
      <c r="HG52" s="52"/>
      <c r="HH52" s="52"/>
      <c r="HI52" s="52"/>
      <c r="HJ52" s="52"/>
      <c r="HK52" s="52"/>
      <c r="HL52" s="52"/>
      <c r="HM52" s="52"/>
      <c r="HN52" s="52"/>
      <c r="HO52" s="52"/>
      <c r="HP52" s="52"/>
      <c r="HQ52" s="52"/>
      <c r="HR52" s="52"/>
      <c r="HS52" s="52"/>
      <c r="HT52" s="52"/>
      <c r="HU52" s="52"/>
      <c r="HV52" s="52"/>
      <c r="HW52" s="52"/>
      <c r="HX52" s="52"/>
      <c r="HY52" s="52"/>
      <c r="HZ52" s="52"/>
      <c r="IA52" s="52"/>
      <c r="IB52" s="52"/>
      <c r="IC52" s="52"/>
      <c r="ID52" s="52"/>
      <c r="IE52" s="52"/>
      <c r="IF52" s="52"/>
      <c r="IG52" s="52"/>
      <c r="IH52" s="52"/>
      <c r="II52" s="52"/>
      <c r="IJ52" s="52"/>
      <c r="IK52" s="52"/>
      <c r="IL52" s="52"/>
      <c r="IM52" s="52"/>
      <c r="IN52" s="52"/>
      <c r="IO52" s="52"/>
      <c r="IP52" s="52"/>
      <c r="IQ52" s="52"/>
      <c r="IR52" s="52"/>
      <c r="IS52" s="52"/>
      <c r="IT52" s="52"/>
      <c r="IU52" s="52"/>
      <c r="IV52" s="52"/>
      <c r="IW52" s="52"/>
      <c r="IX52" s="52"/>
      <c r="IY52" s="52"/>
      <c r="IZ52" s="52"/>
      <c r="JA52" s="52"/>
      <c r="JB52" s="52"/>
      <c r="JC52" s="52"/>
      <c r="JD52" s="52"/>
      <c r="JE52" s="52"/>
      <c r="JF52" s="52"/>
      <c r="JG52" s="52"/>
      <c r="JH52" s="52"/>
      <c r="JI52" s="52"/>
      <c r="JJ52" s="52"/>
      <c r="JK52" s="52"/>
      <c r="JL52" s="52"/>
      <c r="JM52" s="52"/>
      <c r="JN52" s="52"/>
      <c r="JO52" s="52"/>
      <c r="JP52" s="52"/>
      <c r="JQ52" s="52"/>
      <c r="JR52" s="52"/>
      <c r="JS52" s="52"/>
      <c r="JT52" s="52"/>
      <c r="JU52" s="52"/>
      <c r="JV52" s="52"/>
      <c r="JW52" s="52"/>
      <c r="JX52" s="52"/>
      <c r="JY52" s="52"/>
      <c r="JZ52" s="52"/>
      <c r="KA52" s="52"/>
      <c r="KB52" s="52"/>
      <c r="KC52" s="52"/>
      <c r="KD52" s="52"/>
      <c r="KE52" s="52"/>
      <c r="KF52" s="52"/>
      <c r="KG52" s="52"/>
      <c r="KH52" s="52"/>
      <c r="KI52" s="52"/>
      <c r="KJ52" s="52"/>
      <c r="KK52" s="52"/>
      <c r="KL52" s="52"/>
      <c r="KM52" s="52"/>
      <c r="KN52" s="52"/>
      <c r="KO52" s="52"/>
      <c r="KP52" s="52"/>
      <c r="KQ52" s="52"/>
      <c r="KR52" s="52"/>
      <c r="KS52" s="52"/>
      <c r="KT52" s="52"/>
    </row>
    <row r="53" spans="1:306">
      <c r="B53" s="18" t="s">
        <v>131</v>
      </c>
      <c r="E53" s="20"/>
      <c r="F53" s="37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</row>
    <row r="54" spans="1:306">
      <c r="B54" s="18" t="s">
        <v>755</v>
      </c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I54" s="52"/>
      <c r="CJ54" s="52"/>
      <c r="CK54" s="52"/>
      <c r="CL54" s="52"/>
      <c r="CM54" s="52"/>
      <c r="CN54" s="52"/>
      <c r="CO54" s="52"/>
      <c r="CP54" s="52"/>
      <c r="CQ54" s="52"/>
      <c r="CR54" s="52"/>
      <c r="CS54" s="52"/>
      <c r="CT54" s="52"/>
      <c r="CU54" s="52"/>
      <c r="CV54" s="52"/>
      <c r="CW54" s="52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52"/>
      <c r="DS54" s="52"/>
      <c r="DT54" s="52"/>
      <c r="DU54" s="52"/>
      <c r="DV54" s="52"/>
      <c r="DW54" s="52"/>
      <c r="DX54" s="52"/>
      <c r="DY54" s="52"/>
      <c r="DZ54" s="52"/>
      <c r="EA54" s="52"/>
      <c r="EB54" s="52"/>
      <c r="EC54" s="52"/>
      <c r="ED54" s="52"/>
      <c r="EE54" s="52"/>
      <c r="EF54" s="52"/>
      <c r="EG54" s="52"/>
      <c r="EH54" s="52"/>
      <c r="EI54" s="52"/>
      <c r="EJ54" s="52"/>
      <c r="EK54" s="52"/>
      <c r="EL54" s="52"/>
      <c r="EM54" s="52"/>
      <c r="EN54" s="52"/>
      <c r="EO54" s="52"/>
      <c r="EP54" s="52"/>
      <c r="EQ54" s="52"/>
      <c r="ER54" s="52"/>
      <c r="ES54" s="52"/>
      <c r="ET54" s="52"/>
      <c r="EU54" s="52"/>
      <c r="EV54" s="52"/>
      <c r="EW54" s="52"/>
      <c r="EX54" s="52"/>
      <c r="EY54" s="52"/>
      <c r="EZ54" s="52"/>
      <c r="FA54" s="52"/>
      <c r="FB54" s="52"/>
      <c r="FC54" s="52"/>
      <c r="FD54" s="52"/>
      <c r="FE54" s="52"/>
      <c r="FF54" s="52"/>
      <c r="FG54" s="52"/>
      <c r="FH54" s="52"/>
      <c r="FI54" s="52"/>
      <c r="FJ54" s="52"/>
      <c r="FK54" s="52"/>
      <c r="FL54" s="52"/>
      <c r="FM54" s="52"/>
      <c r="FN54" s="52"/>
      <c r="FO54" s="52"/>
      <c r="FP54" s="52"/>
      <c r="FQ54" s="52"/>
      <c r="FR54" s="52"/>
      <c r="FS54" s="52"/>
      <c r="FT54" s="52"/>
      <c r="FU54" s="52"/>
      <c r="FV54" s="52"/>
      <c r="FW54" s="52"/>
      <c r="FX54" s="52"/>
      <c r="FY54" s="52"/>
      <c r="FZ54" s="52"/>
      <c r="GA54" s="52"/>
      <c r="GB54" s="52"/>
      <c r="GC54" s="52"/>
      <c r="GD54" s="52"/>
      <c r="GE54" s="52"/>
      <c r="GF54" s="52"/>
      <c r="GG54" s="52"/>
      <c r="GH54" s="52"/>
      <c r="GI54" s="52"/>
      <c r="GJ54" s="52"/>
      <c r="GK54" s="52"/>
      <c r="GL54" s="52"/>
      <c r="GM54" s="52"/>
      <c r="GN54" s="52"/>
      <c r="GO54" s="52"/>
      <c r="GP54" s="52"/>
      <c r="GQ54" s="52"/>
      <c r="GR54" s="52"/>
      <c r="GS54" s="52"/>
      <c r="GT54" s="52"/>
      <c r="GU54" s="52"/>
      <c r="GV54" s="52"/>
      <c r="GW54" s="52"/>
      <c r="GX54" s="52"/>
      <c r="GY54" s="52"/>
      <c r="GZ54" s="52"/>
      <c r="HA54" s="52"/>
      <c r="HB54" s="52"/>
      <c r="HC54" s="52"/>
      <c r="HD54" s="52"/>
      <c r="HE54" s="52"/>
      <c r="HF54" s="52"/>
      <c r="HG54" s="52"/>
      <c r="HH54" s="52"/>
      <c r="HI54" s="52"/>
      <c r="HJ54" s="52"/>
      <c r="HK54" s="52"/>
      <c r="HL54" s="52"/>
      <c r="HM54" s="52"/>
      <c r="HN54" s="52"/>
      <c r="HO54" s="52"/>
      <c r="HP54" s="52"/>
      <c r="HQ54" s="52"/>
      <c r="HR54" s="52"/>
      <c r="HS54" s="52"/>
      <c r="HT54" s="52"/>
      <c r="HU54" s="52"/>
      <c r="HV54" s="52"/>
      <c r="HW54" s="52"/>
      <c r="HX54" s="52"/>
      <c r="HY54" s="52"/>
      <c r="HZ54" s="52"/>
      <c r="IA54" s="52"/>
      <c r="IB54" s="52"/>
      <c r="IC54" s="52"/>
      <c r="ID54" s="52"/>
      <c r="IE54" s="52"/>
      <c r="IF54" s="52"/>
      <c r="IG54" s="52"/>
      <c r="IH54" s="52"/>
      <c r="II54" s="52"/>
      <c r="IJ54" s="52"/>
      <c r="IK54" s="52"/>
      <c r="IL54" s="52"/>
      <c r="IM54" s="52"/>
      <c r="IN54" s="52"/>
      <c r="IO54" s="52"/>
      <c r="IP54" s="52"/>
      <c r="IQ54" s="52"/>
      <c r="IR54" s="52"/>
      <c r="IS54" s="52"/>
      <c r="IT54" s="52"/>
      <c r="IU54" s="52"/>
      <c r="IV54" s="52"/>
      <c r="IW54" s="52"/>
      <c r="IX54" s="52"/>
      <c r="IY54" s="52"/>
      <c r="IZ54" s="52"/>
      <c r="JA54" s="52"/>
      <c r="JB54" s="52"/>
      <c r="JC54" s="52"/>
      <c r="JD54" s="52"/>
      <c r="JE54" s="52"/>
      <c r="JF54" s="52"/>
      <c r="JG54" s="52"/>
      <c r="JH54" s="52"/>
      <c r="JI54" s="52"/>
      <c r="JJ54" s="52"/>
      <c r="JK54" s="52"/>
      <c r="JL54" s="52"/>
      <c r="JM54" s="52"/>
      <c r="JN54" s="52"/>
      <c r="JO54" s="52"/>
      <c r="JP54" s="52"/>
      <c r="JQ54" s="52"/>
      <c r="JR54" s="52"/>
      <c r="JS54" s="52"/>
      <c r="JT54" s="52"/>
      <c r="JU54" s="52"/>
      <c r="JV54" s="52"/>
      <c r="JW54" s="52"/>
      <c r="JX54" s="52"/>
      <c r="JY54" s="52"/>
      <c r="JZ54" s="52"/>
      <c r="KA54" s="52"/>
      <c r="KB54" s="52"/>
      <c r="KC54" s="52"/>
      <c r="KD54" s="52"/>
      <c r="KE54" s="52"/>
      <c r="KF54" s="52"/>
      <c r="KG54" s="52"/>
      <c r="KH54" s="52"/>
      <c r="KI54" s="52"/>
      <c r="KJ54" s="52"/>
      <c r="KK54" s="52"/>
      <c r="KL54" s="52"/>
      <c r="KM54" s="52"/>
      <c r="KN54" s="52"/>
      <c r="KO54" s="52"/>
      <c r="KP54" s="52"/>
      <c r="KQ54" s="52"/>
      <c r="KR54" s="52"/>
      <c r="KS54" s="52"/>
      <c r="KT54" s="52"/>
    </row>
    <row r="55" spans="1:306">
      <c r="B55" s="18" t="s">
        <v>85</v>
      </c>
      <c r="E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22"/>
      <c r="DN55" s="22"/>
      <c r="DO55" s="22"/>
      <c r="DP55" s="22"/>
      <c r="DQ55" s="22"/>
      <c r="DR55" s="22"/>
      <c r="DS55" s="22"/>
      <c r="DT55" s="22"/>
      <c r="DU55" s="22"/>
      <c r="DV55" s="22"/>
      <c r="DW55" s="22"/>
      <c r="DX55" s="22"/>
      <c r="DY55" s="22"/>
      <c r="DZ55" s="22"/>
      <c r="EA55" s="22"/>
      <c r="EB55" s="22"/>
      <c r="EC55" s="22"/>
      <c r="ED55" s="22"/>
      <c r="EE55" s="22"/>
      <c r="EF55" s="22"/>
      <c r="EG55" s="22"/>
      <c r="EH55" s="22"/>
      <c r="EI55" s="22"/>
      <c r="EJ55" s="22"/>
      <c r="EK55" s="22"/>
      <c r="EL55" s="22"/>
      <c r="EM55" s="22"/>
      <c r="EN55" s="22"/>
      <c r="EO55" s="22"/>
      <c r="EP55" s="22"/>
      <c r="EQ55" s="22"/>
      <c r="ER55" s="22"/>
      <c r="ES55" s="22"/>
      <c r="ET55" s="22"/>
      <c r="EU55" s="22"/>
      <c r="EV55" s="22"/>
      <c r="EW55" s="22"/>
      <c r="EX55" s="22"/>
      <c r="EY55" s="22"/>
      <c r="EZ55" s="22"/>
      <c r="FA55" s="22"/>
      <c r="FB55" s="22"/>
      <c r="FC55" s="22"/>
      <c r="FD55" s="22"/>
      <c r="FE55" s="22"/>
      <c r="FF55" s="22"/>
      <c r="FG55" s="22"/>
      <c r="FH55" s="22"/>
      <c r="FI55" s="22"/>
      <c r="FJ55" s="22"/>
      <c r="FK55" s="22"/>
      <c r="FL55" s="22"/>
      <c r="FM55" s="22"/>
      <c r="FN55" s="22"/>
      <c r="FO55" s="22"/>
      <c r="FP55" s="22"/>
      <c r="FQ55" s="22"/>
      <c r="FR55" s="22"/>
      <c r="FS55" s="22"/>
      <c r="FT55" s="22"/>
      <c r="FU55" s="22"/>
      <c r="FV55" s="22"/>
      <c r="FW55" s="22"/>
      <c r="FX55" s="22"/>
      <c r="FY55" s="22"/>
      <c r="FZ55" s="22"/>
      <c r="GA55" s="22"/>
      <c r="GB55" s="22"/>
      <c r="GC55" s="22"/>
      <c r="GD55" s="22"/>
      <c r="GE55" s="22"/>
      <c r="GF55" s="22"/>
      <c r="GG55" s="22"/>
      <c r="GH55" s="22"/>
      <c r="GI55" s="22"/>
      <c r="GJ55" s="22"/>
      <c r="GK55" s="22"/>
      <c r="GL55" s="22"/>
      <c r="GM55" s="22"/>
      <c r="GN55" s="22"/>
      <c r="GO55" s="22"/>
      <c r="GP55" s="22"/>
      <c r="GQ55" s="22"/>
      <c r="GR55" s="22"/>
      <c r="GS55" s="22"/>
      <c r="GT55" s="22"/>
      <c r="GU55" s="22"/>
      <c r="GV55" s="22"/>
      <c r="GW55" s="22"/>
      <c r="GX55" s="22"/>
      <c r="GY55" s="22"/>
      <c r="GZ55" s="22"/>
      <c r="HA55" s="22"/>
      <c r="HB55" s="22"/>
      <c r="HC55" s="22"/>
      <c r="HD55" s="22"/>
      <c r="HE55" s="22"/>
      <c r="HF55" s="22"/>
      <c r="HG55" s="22"/>
      <c r="HH55" s="22"/>
      <c r="HI55" s="22"/>
      <c r="HJ55" s="22"/>
      <c r="HK55" s="22"/>
      <c r="HL55" s="22"/>
      <c r="HM55" s="22"/>
      <c r="HN55" s="22"/>
      <c r="HO55" s="22"/>
      <c r="HP55" s="22"/>
      <c r="HQ55" s="22"/>
      <c r="HR55" s="22"/>
      <c r="HS55" s="22"/>
      <c r="HT55" s="22"/>
      <c r="HU55" s="22"/>
      <c r="HV55" s="22"/>
      <c r="HW55" s="22"/>
      <c r="HX55" s="22"/>
      <c r="HY55" s="22"/>
      <c r="HZ55" s="22"/>
      <c r="IA55" s="22"/>
      <c r="IB55" s="22"/>
      <c r="IC55" s="22"/>
      <c r="ID55" s="22"/>
      <c r="IE55" s="22"/>
      <c r="IF55" s="22"/>
      <c r="IG55" s="22"/>
      <c r="IH55" s="22"/>
      <c r="II55" s="22"/>
      <c r="IJ55" s="22"/>
      <c r="IK55" s="22"/>
      <c r="IL55" s="22"/>
      <c r="IM55" s="22"/>
      <c r="IN55" s="22"/>
      <c r="IO55" s="22"/>
      <c r="IP55" s="22"/>
      <c r="IQ55" s="22"/>
      <c r="IR55" s="22"/>
      <c r="IS55" s="22"/>
      <c r="IT55" s="22"/>
      <c r="IU55" s="22"/>
      <c r="IV55" s="22"/>
      <c r="IW55" s="22"/>
      <c r="IX55" s="22"/>
      <c r="IY55" s="22"/>
      <c r="IZ55" s="22"/>
      <c r="JA55" s="22"/>
      <c r="JB55" s="22"/>
      <c r="JC55" s="22"/>
      <c r="JD55" s="22"/>
      <c r="JE55" s="22"/>
      <c r="JF55" s="22"/>
      <c r="JG55" s="22"/>
      <c r="JH55" s="22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</row>
    <row r="56" spans="1:306" ht="15" thickBot="1">
      <c r="B56" s="35" t="s">
        <v>756</v>
      </c>
      <c r="C56" s="35"/>
      <c r="D56" s="35"/>
      <c r="E56" s="35"/>
      <c r="F56" s="35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</row>
    <row r="58" spans="1:306">
      <c r="B58" s="18" t="s">
        <v>757</v>
      </c>
      <c r="E58" s="29"/>
      <c r="F58" s="47"/>
    </row>
    <row r="59" spans="1:306">
      <c r="B59" s="18" t="s">
        <v>360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</row>
    <row r="60" spans="1:306">
      <c r="B60" s="18" t="s">
        <v>759</v>
      </c>
      <c r="E60" s="20"/>
    </row>
  </sheetData>
  <conditionalFormatting sqref="A1:XFD35 A36:F38 L36:XFD38 A39:XFD1048576">
    <cfRule type="containsText" dxfId="73" priority="1" operator="containsText" text="FALSE">
      <formula>NOT(ISERROR(SEARCH("FALSE",A1)))</formula>
    </cfRule>
    <cfRule type="cellIs" dxfId="72" priority="2" operator="equal">
      <formula>TRUE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A1:J51"/>
  <sheetViews>
    <sheetView zoomScale="90" zoomScaleNormal="90" workbookViewId="0">
      <pane xSplit="4" ySplit="6" topLeftCell="E16" activePane="bottomRight" state="frozen"/>
      <selection pane="topRight" activeCell="E1" sqref="E1"/>
      <selection pane="bottomLeft" activeCell="A7" sqref="A7"/>
      <selection pane="bottomRight" activeCell="C30" sqref="C30"/>
    </sheetView>
  </sheetViews>
  <sheetFormatPr defaultRowHeight="14.5"/>
  <cols>
    <col min="1" max="3" width="1.54296875" style="18" customWidth="1"/>
    <col min="4" max="4" width="31.1796875" style="18" customWidth="1"/>
    <col min="5" max="5" width="13.90625" style="18" customWidth="1"/>
    <col min="6" max="10" width="14.54296875" style="18" customWidth="1"/>
    <col min="11" max="16384" width="8.7265625" style="18"/>
  </cols>
  <sheetData>
    <row r="1" spans="1:10">
      <c r="G1" s="28" t="b">
        <v>0</v>
      </c>
    </row>
    <row r="2" spans="1:10">
      <c r="A2" s="18" t="s">
        <v>795</v>
      </c>
    </row>
    <row r="3" spans="1:10">
      <c r="E3" s="43" t="s">
        <v>788</v>
      </c>
      <c r="F3" s="43" t="s">
        <v>789</v>
      </c>
    </row>
    <row r="4" spans="1:10">
      <c r="E4" s="43" t="s">
        <v>418</v>
      </c>
      <c r="F4" s="43" t="s">
        <v>419</v>
      </c>
    </row>
    <row r="5" spans="1:10">
      <c r="B5" s="18" t="s">
        <v>420</v>
      </c>
      <c r="E5" s="28"/>
      <c r="F5" s="37"/>
    </row>
    <row r="6" spans="1:10">
      <c r="B6" s="18" t="s">
        <v>1</v>
      </c>
      <c r="E6" s="55"/>
      <c r="F6" s="55"/>
    </row>
    <row r="7" spans="1:10">
      <c r="E7" s="55"/>
      <c r="F7" s="55"/>
    </row>
    <row r="9" spans="1:10">
      <c r="B9" s="18" t="s">
        <v>421</v>
      </c>
      <c r="E9" s="30">
        <f ca="1">F9/100</f>
        <v>0.39</v>
      </c>
      <c r="F9" s="28">
        <v>37</v>
      </c>
    </row>
    <row r="10" spans="1:10">
      <c r="B10" s="18" t="s">
        <v>422</v>
      </c>
      <c r="E10" s="34"/>
      <c r="F10" s="18" t="s">
        <v>710</v>
      </c>
    </row>
    <row r="11" spans="1:10">
      <c r="B11" s="18" t="s">
        <v>423</v>
      </c>
      <c r="E11" s="34"/>
      <c r="F11" s="18" t="s">
        <v>753</v>
      </c>
    </row>
    <row r="12" spans="1:10">
      <c r="B12" s="18" t="s">
        <v>760</v>
      </c>
      <c r="E12" s="55"/>
      <c r="F12" s="28">
        <v>180</v>
      </c>
    </row>
    <row r="14" spans="1:10">
      <c r="F14" s="28">
        <v>1</v>
      </c>
      <c r="G14" s="28">
        <v>2</v>
      </c>
      <c r="H14" s="28">
        <v>3</v>
      </c>
      <c r="I14" s="28">
        <v>4</v>
      </c>
      <c r="J14" s="28">
        <v>5</v>
      </c>
    </row>
    <row r="15" spans="1:10">
      <c r="B15" s="18" t="s">
        <v>424</v>
      </c>
      <c r="E15" s="29"/>
      <c r="F15" s="28"/>
      <c r="G15" s="28"/>
      <c r="H15" s="34"/>
      <c r="I15" s="34"/>
      <c r="J15" s="34"/>
    </row>
    <row r="16" spans="1:10">
      <c r="B16" s="18" t="s">
        <v>425</v>
      </c>
      <c r="E16" s="29"/>
      <c r="F16" s="28"/>
      <c r="G16" s="28"/>
      <c r="H16" s="34"/>
      <c r="I16" s="34"/>
      <c r="J16" s="34"/>
    </row>
    <row r="17" spans="2:10">
      <c r="B17" s="18" t="s">
        <v>426</v>
      </c>
    </row>
    <row r="18" spans="2:10">
      <c r="I18" s="18" t="s">
        <v>762</v>
      </c>
    </row>
    <row r="19" spans="2:10">
      <c r="B19" s="18" t="s">
        <v>711</v>
      </c>
      <c r="E19" s="18" t="s">
        <v>1</v>
      </c>
    </row>
    <row r="20" spans="2:10">
      <c r="C20" s="18" t="s">
        <v>418</v>
      </c>
      <c r="E20" s="21"/>
      <c r="F20" s="19"/>
      <c r="G20" s="19"/>
      <c r="H20" s="19"/>
      <c r="I20" s="19"/>
      <c r="J20" s="19"/>
    </row>
    <row r="21" spans="2:10">
      <c r="C21" s="18" t="s">
        <v>419</v>
      </c>
      <c r="E21" s="21"/>
      <c r="F21" s="21"/>
      <c r="G21" s="21"/>
      <c r="H21" s="21"/>
      <c r="I21" s="21"/>
      <c r="J21" s="21"/>
    </row>
    <row r="22" spans="2:10" ht="15" thickBot="1">
      <c r="C22" s="35" t="s">
        <v>761</v>
      </c>
      <c r="D22" s="35"/>
      <c r="E22" s="48"/>
      <c r="F22" s="48"/>
      <c r="G22" s="48"/>
      <c r="H22" s="48"/>
      <c r="I22" s="48"/>
      <c r="J22" s="48"/>
    </row>
    <row r="23" spans="2:10">
      <c r="E23" s="21"/>
      <c r="F23" s="21"/>
      <c r="G23" s="21"/>
      <c r="H23" s="21"/>
      <c r="I23" s="21"/>
      <c r="J23" s="21"/>
    </row>
    <row r="24" spans="2:10">
      <c r="C24" s="18" t="s">
        <v>760</v>
      </c>
      <c r="E24" s="56"/>
      <c r="F24" s="21"/>
      <c r="G24" s="21"/>
      <c r="H24" s="21"/>
      <c r="I24" s="21"/>
      <c r="J24" s="21"/>
    </row>
    <row r="25" spans="2:10">
      <c r="C25" s="18" t="s">
        <v>446</v>
      </c>
      <c r="E25" s="52"/>
      <c r="F25" s="21"/>
      <c r="G25" s="21"/>
      <c r="H25" s="21"/>
      <c r="I25" s="21"/>
      <c r="J25" s="21"/>
    </row>
    <row r="28" spans="2:10">
      <c r="C28" s="18" t="s">
        <v>793</v>
      </c>
      <c r="F28" s="34"/>
      <c r="G28" s="34"/>
      <c r="H28" s="34"/>
      <c r="I28" s="34"/>
      <c r="J28" s="34"/>
    </row>
    <row r="29" spans="2:10">
      <c r="C29" s="18" t="s">
        <v>794</v>
      </c>
      <c r="F29" s="34"/>
      <c r="G29" s="34"/>
      <c r="H29" s="34"/>
      <c r="I29" s="34"/>
      <c r="J29" s="34"/>
    </row>
    <row r="30" spans="2:10">
      <c r="F30" s="20"/>
      <c r="G30" s="20"/>
      <c r="H30" s="20"/>
      <c r="I30" s="20"/>
      <c r="J30" s="20"/>
    </row>
    <row r="31" spans="2:10">
      <c r="E31" s="22"/>
      <c r="G31" s="21"/>
    </row>
    <row r="38" spans="1:10">
      <c r="A38" s="18" t="s">
        <v>417</v>
      </c>
    </row>
    <row r="40" spans="1:10">
      <c r="E40" s="43" t="s">
        <v>418</v>
      </c>
      <c r="F40" s="43" t="s">
        <v>419</v>
      </c>
    </row>
    <row r="41" spans="1:10">
      <c r="B41" s="18" t="s">
        <v>420</v>
      </c>
    </row>
    <row r="42" spans="1:10">
      <c r="B42" s="18" t="s">
        <v>1</v>
      </c>
    </row>
    <row r="44" spans="1:10">
      <c r="B44" s="18" t="s">
        <v>421</v>
      </c>
    </row>
    <row r="45" spans="1:10">
      <c r="B45" s="18" t="s">
        <v>422</v>
      </c>
    </row>
    <row r="46" spans="1:10">
      <c r="B46" s="18" t="s">
        <v>423</v>
      </c>
    </row>
    <row r="48" spans="1:10">
      <c r="F48" s="28">
        <v>1</v>
      </c>
      <c r="G48" s="28">
        <v>2</v>
      </c>
      <c r="H48" s="28">
        <v>3</v>
      </c>
      <c r="I48" s="28">
        <v>4</v>
      </c>
      <c r="J48" s="28">
        <v>5</v>
      </c>
    </row>
    <row r="49" spans="2:2">
      <c r="B49" s="18" t="s">
        <v>424</v>
      </c>
    </row>
    <row r="50" spans="2:2">
      <c r="B50" s="18" t="s">
        <v>425</v>
      </c>
    </row>
    <row r="51" spans="2:2">
      <c r="B51" s="18" t="s">
        <v>426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CheckBox2_Click">
                <anchor moveWithCells="1">
                  <from>
                    <xdr:col>7</xdr:col>
                    <xdr:colOff>146050</xdr:colOff>
                    <xdr:row>0</xdr:row>
                    <xdr:rowOff>76200</xdr:rowOff>
                  </from>
                  <to>
                    <xdr:col>7</xdr:col>
                    <xdr:colOff>1003300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Spinner 3">
              <controlPr defaultSize="0" autoPict="0">
                <anchor moveWithCells="1" sizeWithCells="1">
                  <from>
                    <xdr:col>5</xdr:col>
                    <xdr:colOff>196850</xdr:colOff>
                    <xdr:row>8</xdr:row>
                    <xdr:rowOff>19050</xdr:rowOff>
                  </from>
                  <to>
                    <xdr:col>5</xdr:col>
                    <xdr:colOff>457200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Spinner 4">
              <controlPr defaultSize="0" autoPict="0">
                <anchor moveWithCells="1" sizeWithCells="1">
                  <from>
                    <xdr:col>5</xdr:col>
                    <xdr:colOff>196850</xdr:colOff>
                    <xdr:row>11</xdr:row>
                    <xdr:rowOff>19050</xdr:rowOff>
                  </from>
                  <to>
                    <xdr:col>5</xdr:col>
                    <xdr:colOff>457200</xdr:colOff>
                    <xdr:row>11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44"/>
  <sheetViews>
    <sheetView tabSelected="1" zoomScale="90" zoomScaleNormal="90" workbookViewId="0">
      <selection activeCell="G19" sqref="G19"/>
    </sheetView>
  </sheetViews>
  <sheetFormatPr defaultRowHeight="14.5"/>
  <cols>
    <col min="1" max="3" width="1.81640625" style="18" customWidth="1"/>
    <col min="4" max="4" width="31" style="18" customWidth="1"/>
    <col min="5" max="57" width="8.7265625" style="18"/>
    <col min="58" max="16383" width="8.81640625" style="18" customWidth="1"/>
    <col min="16384" max="16384" width="0.1796875" style="18" customWidth="1"/>
  </cols>
  <sheetData>
    <row r="1" spans="1:16384"/>
    <row r="2" spans="1:16384" s="31" customFormat="1">
      <c r="A2" s="31" t="s">
        <v>30</v>
      </c>
      <c r="H2" s="31" t="s">
        <v>31</v>
      </c>
      <c r="M2" s="31" t="s">
        <v>32</v>
      </c>
    </row>
    <row r="3" spans="1:16384">
      <c r="B3" s="18" t="s">
        <v>33</v>
      </c>
      <c r="E3" s="30">
        <v>0.15</v>
      </c>
      <c r="F3" s="18" t="s">
        <v>365</v>
      </c>
      <c r="H3" s="18" t="s">
        <v>34</v>
      </c>
      <c r="M3" s="18" t="s">
        <v>35</v>
      </c>
      <c r="P3" s="96">
        <f ca="1">(1-E5/E3)/(E4-E5)</f>
        <v>14.285714285714285</v>
      </c>
      <c r="R3" s="18" t="s">
        <v>41</v>
      </c>
    </row>
    <row r="4" spans="1:16384">
      <c r="B4" s="18" t="s">
        <v>36</v>
      </c>
      <c r="E4" s="30">
        <v>7.0000000000000007E-2</v>
      </c>
      <c r="F4" s="18" t="s">
        <v>37</v>
      </c>
      <c r="R4" s="18" t="s">
        <v>44</v>
      </c>
    </row>
    <row r="5" spans="1:16384">
      <c r="B5" s="18" t="s">
        <v>38</v>
      </c>
      <c r="E5" s="30">
        <v>0</v>
      </c>
      <c r="F5" s="18" t="s">
        <v>39</v>
      </c>
      <c r="H5" s="18" t="s">
        <v>40</v>
      </c>
      <c r="M5" s="18" t="s">
        <v>763</v>
      </c>
      <c r="P5" s="34">
        <f ca="1">E19</f>
        <v>14.285714276640672</v>
      </c>
      <c r="R5" s="18" t="s">
        <v>47</v>
      </c>
    </row>
    <row r="6" spans="1:16384">
      <c r="B6" s="18" t="s">
        <v>42</v>
      </c>
      <c r="E6" s="38"/>
      <c r="F6" s="18" t="s">
        <v>42</v>
      </c>
      <c r="H6" s="18" t="s">
        <v>43</v>
      </c>
    </row>
    <row r="7" spans="1:16384">
      <c r="B7" s="18" t="s">
        <v>45</v>
      </c>
      <c r="E7" s="37">
        <v>27.24</v>
      </c>
      <c r="H7" s="18" t="s">
        <v>46</v>
      </c>
    </row>
    <row r="9" spans="1:16384" s="31" customFormat="1">
      <c r="A9" s="31" t="s">
        <v>48</v>
      </c>
    </row>
    <row r="10" spans="1:16384">
      <c r="B10" s="18" t="s">
        <v>49</v>
      </c>
      <c r="G10" s="28">
        <v>1</v>
      </c>
      <c r="H10" s="18">
        <f>G10+1</f>
        <v>2</v>
      </c>
      <c r="I10" s="18">
        <f>H10+1</f>
        <v>3</v>
      </c>
      <c r="J10" s="18">
        <f t="shared" ref="J10:BT10" si="0">I10+1</f>
        <v>4</v>
      </c>
      <c r="K10" s="18">
        <f t="shared" si="0"/>
        <v>5</v>
      </c>
      <c r="L10" s="18">
        <f t="shared" si="0"/>
        <v>6</v>
      </c>
      <c r="M10" s="18">
        <f t="shared" si="0"/>
        <v>7</v>
      </c>
      <c r="N10" s="18">
        <f t="shared" si="0"/>
        <v>8</v>
      </c>
      <c r="O10" s="18">
        <f t="shared" si="0"/>
        <v>9</v>
      </c>
      <c r="P10" s="18">
        <f t="shared" si="0"/>
        <v>10</v>
      </c>
      <c r="Q10" s="18">
        <f t="shared" si="0"/>
        <v>11</v>
      </c>
      <c r="R10" s="18">
        <f t="shared" si="0"/>
        <v>12</v>
      </c>
      <c r="S10" s="18">
        <f t="shared" si="0"/>
        <v>13</v>
      </c>
      <c r="T10" s="18">
        <f t="shared" si="0"/>
        <v>14</v>
      </c>
      <c r="U10" s="18">
        <f t="shared" si="0"/>
        <v>15</v>
      </c>
      <c r="V10" s="18">
        <f t="shared" si="0"/>
        <v>16</v>
      </c>
      <c r="W10" s="18">
        <f t="shared" si="0"/>
        <v>17</v>
      </c>
      <c r="X10" s="18">
        <f t="shared" si="0"/>
        <v>18</v>
      </c>
      <c r="Y10" s="18">
        <f t="shared" si="0"/>
        <v>19</v>
      </c>
      <c r="Z10" s="18">
        <f t="shared" si="0"/>
        <v>20</v>
      </c>
      <c r="AA10" s="18">
        <f t="shared" si="0"/>
        <v>21</v>
      </c>
      <c r="AB10" s="18">
        <f t="shared" si="0"/>
        <v>22</v>
      </c>
      <c r="AC10" s="18">
        <f t="shared" si="0"/>
        <v>23</v>
      </c>
      <c r="AD10" s="18">
        <f t="shared" si="0"/>
        <v>24</v>
      </c>
      <c r="AE10" s="18">
        <f t="shared" si="0"/>
        <v>25</v>
      </c>
      <c r="AF10" s="18">
        <f t="shared" si="0"/>
        <v>26</v>
      </c>
      <c r="AG10" s="18">
        <f t="shared" si="0"/>
        <v>27</v>
      </c>
      <c r="AH10" s="18">
        <f t="shared" si="0"/>
        <v>28</v>
      </c>
      <c r="AI10" s="18">
        <f t="shared" si="0"/>
        <v>29</v>
      </c>
      <c r="AJ10" s="18">
        <f t="shared" si="0"/>
        <v>30</v>
      </c>
      <c r="AK10" s="18">
        <f t="shared" si="0"/>
        <v>31</v>
      </c>
      <c r="AL10" s="18">
        <f t="shared" si="0"/>
        <v>32</v>
      </c>
      <c r="AM10" s="18">
        <f t="shared" si="0"/>
        <v>33</v>
      </c>
      <c r="AN10" s="18">
        <f t="shared" si="0"/>
        <v>34</v>
      </c>
      <c r="AO10" s="18">
        <f t="shared" si="0"/>
        <v>35</v>
      </c>
      <c r="AP10" s="18">
        <f t="shared" si="0"/>
        <v>36</v>
      </c>
      <c r="AQ10" s="18">
        <f t="shared" si="0"/>
        <v>37</v>
      </c>
      <c r="AR10" s="18">
        <f t="shared" si="0"/>
        <v>38</v>
      </c>
      <c r="AS10" s="18">
        <f t="shared" si="0"/>
        <v>39</v>
      </c>
      <c r="AT10" s="18">
        <f t="shared" si="0"/>
        <v>40</v>
      </c>
      <c r="AU10" s="18">
        <f t="shared" si="0"/>
        <v>41</v>
      </c>
      <c r="AV10" s="18">
        <f t="shared" si="0"/>
        <v>42</v>
      </c>
      <c r="AW10" s="18">
        <f t="shared" si="0"/>
        <v>43</v>
      </c>
      <c r="AX10" s="18">
        <f t="shared" si="0"/>
        <v>44</v>
      </c>
      <c r="AY10" s="18">
        <f t="shared" si="0"/>
        <v>45</v>
      </c>
      <c r="AZ10" s="18">
        <f t="shared" si="0"/>
        <v>46</v>
      </c>
      <c r="BA10" s="18">
        <f t="shared" si="0"/>
        <v>47</v>
      </c>
      <c r="BB10" s="18">
        <f t="shared" si="0"/>
        <v>48</v>
      </c>
      <c r="BC10" s="18">
        <f t="shared" si="0"/>
        <v>49</v>
      </c>
      <c r="BD10" s="18">
        <f t="shared" si="0"/>
        <v>50</v>
      </c>
      <c r="BE10" s="18">
        <f t="shared" si="0"/>
        <v>51</v>
      </c>
      <c r="BF10" s="18">
        <f t="shared" si="0"/>
        <v>52</v>
      </c>
      <c r="BG10" s="18">
        <f t="shared" si="0"/>
        <v>53</v>
      </c>
      <c r="BH10" s="18">
        <f t="shared" si="0"/>
        <v>54</v>
      </c>
      <c r="BI10" s="18">
        <f t="shared" si="0"/>
        <v>55</v>
      </c>
      <c r="BJ10" s="18">
        <f t="shared" si="0"/>
        <v>56</v>
      </c>
      <c r="BK10" s="18">
        <f t="shared" si="0"/>
        <v>57</v>
      </c>
      <c r="BL10" s="18">
        <f t="shared" si="0"/>
        <v>58</v>
      </c>
      <c r="BM10" s="18">
        <f t="shared" si="0"/>
        <v>59</v>
      </c>
      <c r="BN10" s="18">
        <f t="shared" si="0"/>
        <v>60</v>
      </c>
      <c r="BO10" s="18">
        <f t="shared" si="0"/>
        <v>61</v>
      </c>
      <c r="BP10" s="18">
        <f t="shared" si="0"/>
        <v>62</v>
      </c>
      <c r="BQ10" s="18">
        <f t="shared" si="0"/>
        <v>63</v>
      </c>
      <c r="BR10" s="18">
        <f t="shared" si="0"/>
        <v>64</v>
      </c>
      <c r="BS10" s="18">
        <f t="shared" si="0"/>
        <v>65</v>
      </c>
      <c r="BT10" s="18">
        <f t="shared" si="0"/>
        <v>66</v>
      </c>
      <c r="BU10" s="18">
        <f t="shared" ref="BU10:EF10" si="1">BT10+1</f>
        <v>67</v>
      </c>
      <c r="BV10" s="18">
        <f t="shared" si="1"/>
        <v>68</v>
      </c>
      <c r="BW10" s="18">
        <f t="shared" si="1"/>
        <v>69</v>
      </c>
      <c r="BX10" s="18">
        <f t="shared" si="1"/>
        <v>70</v>
      </c>
      <c r="BY10" s="18">
        <f t="shared" si="1"/>
        <v>71</v>
      </c>
      <c r="BZ10" s="18">
        <f t="shared" si="1"/>
        <v>72</v>
      </c>
      <c r="CA10" s="18">
        <f t="shared" si="1"/>
        <v>73</v>
      </c>
      <c r="CB10" s="18">
        <f t="shared" si="1"/>
        <v>74</v>
      </c>
      <c r="CC10" s="18">
        <f t="shared" si="1"/>
        <v>75</v>
      </c>
      <c r="CD10" s="18">
        <f t="shared" si="1"/>
        <v>76</v>
      </c>
      <c r="CE10" s="18">
        <f t="shared" si="1"/>
        <v>77</v>
      </c>
      <c r="CF10" s="18">
        <f t="shared" si="1"/>
        <v>78</v>
      </c>
      <c r="CG10" s="18">
        <f t="shared" si="1"/>
        <v>79</v>
      </c>
      <c r="CH10" s="18">
        <f t="shared" si="1"/>
        <v>80</v>
      </c>
      <c r="CI10" s="18">
        <f t="shared" si="1"/>
        <v>81</v>
      </c>
      <c r="CJ10" s="18">
        <f t="shared" si="1"/>
        <v>82</v>
      </c>
      <c r="CK10" s="18">
        <f t="shared" si="1"/>
        <v>83</v>
      </c>
      <c r="CL10" s="18">
        <f t="shared" si="1"/>
        <v>84</v>
      </c>
      <c r="CM10" s="18">
        <f t="shared" si="1"/>
        <v>85</v>
      </c>
      <c r="CN10" s="18">
        <f t="shared" si="1"/>
        <v>86</v>
      </c>
      <c r="CO10" s="18">
        <f t="shared" si="1"/>
        <v>87</v>
      </c>
      <c r="CP10" s="18">
        <f t="shared" si="1"/>
        <v>88</v>
      </c>
      <c r="CQ10" s="18">
        <f t="shared" si="1"/>
        <v>89</v>
      </c>
      <c r="CR10" s="18">
        <f t="shared" si="1"/>
        <v>90</v>
      </c>
      <c r="CS10" s="18">
        <f t="shared" si="1"/>
        <v>91</v>
      </c>
      <c r="CT10" s="18">
        <f t="shared" si="1"/>
        <v>92</v>
      </c>
      <c r="CU10" s="18">
        <f t="shared" si="1"/>
        <v>93</v>
      </c>
      <c r="CV10" s="18">
        <f t="shared" si="1"/>
        <v>94</v>
      </c>
      <c r="CW10" s="18">
        <f t="shared" si="1"/>
        <v>95</v>
      </c>
      <c r="CX10" s="18">
        <f t="shared" si="1"/>
        <v>96</v>
      </c>
      <c r="CY10" s="18">
        <f t="shared" si="1"/>
        <v>97</v>
      </c>
      <c r="CZ10" s="18">
        <f t="shared" si="1"/>
        <v>98</v>
      </c>
      <c r="DA10" s="18">
        <f t="shared" si="1"/>
        <v>99</v>
      </c>
      <c r="DB10" s="18">
        <f t="shared" si="1"/>
        <v>100</v>
      </c>
      <c r="DC10" s="18">
        <f t="shared" si="1"/>
        <v>101</v>
      </c>
      <c r="DD10" s="18">
        <f t="shared" si="1"/>
        <v>102</v>
      </c>
      <c r="DE10" s="18">
        <f t="shared" si="1"/>
        <v>103</v>
      </c>
      <c r="DF10" s="18">
        <f t="shared" si="1"/>
        <v>104</v>
      </c>
      <c r="DG10" s="18">
        <f t="shared" si="1"/>
        <v>105</v>
      </c>
      <c r="DH10" s="18">
        <f t="shared" si="1"/>
        <v>106</v>
      </c>
      <c r="DI10" s="18">
        <f t="shared" si="1"/>
        <v>107</v>
      </c>
      <c r="DJ10" s="18">
        <f t="shared" si="1"/>
        <v>108</v>
      </c>
      <c r="DK10" s="18">
        <f t="shared" si="1"/>
        <v>109</v>
      </c>
      <c r="DL10" s="18">
        <f t="shared" si="1"/>
        <v>110</v>
      </c>
      <c r="DM10" s="18">
        <f t="shared" si="1"/>
        <v>111</v>
      </c>
      <c r="DN10" s="18">
        <f t="shared" si="1"/>
        <v>112</v>
      </c>
      <c r="DO10" s="18">
        <f t="shared" si="1"/>
        <v>113</v>
      </c>
      <c r="DP10" s="18">
        <f t="shared" si="1"/>
        <v>114</v>
      </c>
      <c r="DQ10" s="18">
        <f t="shared" si="1"/>
        <v>115</v>
      </c>
      <c r="DR10" s="18">
        <f t="shared" si="1"/>
        <v>116</v>
      </c>
      <c r="DS10" s="18">
        <f t="shared" si="1"/>
        <v>117</v>
      </c>
      <c r="DT10" s="18">
        <f t="shared" si="1"/>
        <v>118</v>
      </c>
      <c r="DU10" s="18">
        <f t="shared" si="1"/>
        <v>119</v>
      </c>
      <c r="DV10" s="18">
        <f t="shared" si="1"/>
        <v>120</v>
      </c>
      <c r="DW10" s="18">
        <f t="shared" si="1"/>
        <v>121</v>
      </c>
      <c r="DX10" s="18">
        <f t="shared" si="1"/>
        <v>122</v>
      </c>
      <c r="DY10" s="18">
        <f t="shared" si="1"/>
        <v>123</v>
      </c>
      <c r="DZ10" s="18">
        <f t="shared" si="1"/>
        <v>124</v>
      </c>
      <c r="EA10" s="18">
        <f t="shared" si="1"/>
        <v>125</v>
      </c>
      <c r="EB10" s="18">
        <f t="shared" si="1"/>
        <v>126</v>
      </c>
      <c r="EC10" s="18">
        <f t="shared" si="1"/>
        <v>127</v>
      </c>
      <c r="ED10" s="18">
        <f t="shared" si="1"/>
        <v>128</v>
      </c>
      <c r="EE10" s="18">
        <f t="shared" si="1"/>
        <v>129</v>
      </c>
      <c r="EF10" s="18">
        <f t="shared" si="1"/>
        <v>130</v>
      </c>
      <c r="EG10" s="18">
        <f t="shared" ref="EG10:GR10" si="2">EF10+1</f>
        <v>131</v>
      </c>
      <c r="EH10" s="18">
        <f t="shared" si="2"/>
        <v>132</v>
      </c>
      <c r="EI10" s="18">
        <f t="shared" si="2"/>
        <v>133</v>
      </c>
      <c r="EJ10" s="18">
        <f t="shared" si="2"/>
        <v>134</v>
      </c>
      <c r="EK10" s="18">
        <f t="shared" si="2"/>
        <v>135</v>
      </c>
      <c r="EL10" s="18">
        <f t="shared" si="2"/>
        <v>136</v>
      </c>
      <c r="EM10" s="18">
        <f t="shared" si="2"/>
        <v>137</v>
      </c>
      <c r="EN10" s="18">
        <f t="shared" si="2"/>
        <v>138</v>
      </c>
      <c r="EO10" s="18">
        <f t="shared" si="2"/>
        <v>139</v>
      </c>
      <c r="EP10" s="18">
        <f t="shared" si="2"/>
        <v>140</v>
      </c>
      <c r="EQ10" s="18">
        <f t="shared" si="2"/>
        <v>141</v>
      </c>
      <c r="ER10" s="18">
        <f t="shared" si="2"/>
        <v>142</v>
      </c>
      <c r="ES10" s="18">
        <f t="shared" si="2"/>
        <v>143</v>
      </c>
      <c r="ET10" s="18">
        <f t="shared" si="2"/>
        <v>144</v>
      </c>
      <c r="EU10" s="18">
        <f t="shared" si="2"/>
        <v>145</v>
      </c>
      <c r="EV10" s="18">
        <f t="shared" si="2"/>
        <v>146</v>
      </c>
      <c r="EW10" s="18">
        <f t="shared" si="2"/>
        <v>147</v>
      </c>
      <c r="EX10" s="18">
        <f t="shared" si="2"/>
        <v>148</v>
      </c>
      <c r="EY10" s="18">
        <f t="shared" si="2"/>
        <v>149</v>
      </c>
      <c r="EZ10" s="18">
        <f t="shared" si="2"/>
        <v>150</v>
      </c>
      <c r="FA10" s="18">
        <f t="shared" si="2"/>
        <v>151</v>
      </c>
      <c r="FB10" s="18">
        <f t="shared" si="2"/>
        <v>152</v>
      </c>
      <c r="FC10" s="18">
        <f t="shared" si="2"/>
        <v>153</v>
      </c>
      <c r="FD10" s="18">
        <f t="shared" si="2"/>
        <v>154</v>
      </c>
      <c r="FE10" s="18">
        <f t="shared" si="2"/>
        <v>155</v>
      </c>
      <c r="FF10" s="18">
        <f t="shared" si="2"/>
        <v>156</v>
      </c>
      <c r="FG10" s="18">
        <f t="shared" si="2"/>
        <v>157</v>
      </c>
      <c r="FH10" s="18">
        <f t="shared" si="2"/>
        <v>158</v>
      </c>
      <c r="FI10" s="18">
        <f t="shared" si="2"/>
        <v>159</v>
      </c>
      <c r="FJ10" s="18">
        <f t="shared" si="2"/>
        <v>160</v>
      </c>
      <c r="FK10" s="18">
        <f t="shared" si="2"/>
        <v>161</v>
      </c>
      <c r="FL10" s="18">
        <f t="shared" si="2"/>
        <v>162</v>
      </c>
      <c r="FM10" s="18">
        <f t="shared" si="2"/>
        <v>163</v>
      </c>
      <c r="FN10" s="18">
        <f t="shared" si="2"/>
        <v>164</v>
      </c>
      <c r="FO10" s="18">
        <f t="shared" si="2"/>
        <v>165</v>
      </c>
      <c r="FP10" s="18">
        <f t="shared" si="2"/>
        <v>166</v>
      </c>
      <c r="FQ10" s="18">
        <f t="shared" si="2"/>
        <v>167</v>
      </c>
      <c r="FR10" s="18">
        <f t="shared" si="2"/>
        <v>168</v>
      </c>
      <c r="FS10" s="18">
        <f t="shared" si="2"/>
        <v>169</v>
      </c>
      <c r="FT10" s="18">
        <f t="shared" si="2"/>
        <v>170</v>
      </c>
      <c r="FU10" s="18">
        <f t="shared" si="2"/>
        <v>171</v>
      </c>
      <c r="FV10" s="18">
        <f t="shared" si="2"/>
        <v>172</v>
      </c>
      <c r="FW10" s="18">
        <f t="shared" si="2"/>
        <v>173</v>
      </c>
      <c r="FX10" s="18">
        <f t="shared" si="2"/>
        <v>174</v>
      </c>
      <c r="FY10" s="18">
        <f t="shared" si="2"/>
        <v>175</v>
      </c>
      <c r="FZ10" s="18">
        <f t="shared" si="2"/>
        <v>176</v>
      </c>
      <c r="GA10" s="18">
        <f t="shared" si="2"/>
        <v>177</v>
      </c>
      <c r="GB10" s="18">
        <f t="shared" si="2"/>
        <v>178</v>
      </c>
      <c r="GC10" s="18">
        <f t="shared" si="2"/>
        <v>179</v>
      </c>
      <c r="GD10" s="18">
        <f t="shared" si="2"/>
        <v>180</v>
      </c>
      <c r="GE10" s="18">
        <f t="shared" si="2"/>
        <v>181</v>
      </c>
      <c r="GF10" s="18">
        <f t="shared" si="2"/>
        <v>182</v>
      </c>
      <c r="GG10" s="18">
        <f t="shared" si="2"/>
        <v>183</v>
      </c>
      <c r="GH10" s="18">
        <f t="shared" si="2"/>
        <v>184</v>
      </c>
      <c r="GI10" s="18">
        <f t="shared" si="2"/>
        <v>185</v>
      </c>
      <c r="GJ10" s="18">
        <f t="shared" si="2"/>
        <v>186</v>
      </c>
      <c r="GK10" s="18">
        <f t="shared" si="2"/>
        <v>187</v>
      </c>
      <c r="GL10" s="18">
        <f t="shared" si="2"/>
        <v>188</v>
      </c>
      <c r="GM10" s="18">
        <f t="shared" si="2"/>
        <v>189</v>
      </c>
      <c r="GN10" s="18">
        <f t="shared" si="2"/>
        <v>190</v>
      </c>
      <c r="GO10" s="18">
        <f t="shared" si="2"/>
        <v>191</v>
      </c>
      <c r="GP10" s="18">
        <f t="shared" si="2"/>
        <v>192</v>
      </c>
      <c r="GQ10" s="18">
        <f t="shared" si="2"/>
        <v>193</v>
      </c>
      <c r="GR10" s="18">
        <f t="shared" si="2"/>
        <v>194</v>
      </c>
      <c r="GS10" s="18">
        <f t="shared" ref="GS10:JD10" si="3">GR10+1</f>
        <v>195</v>
      </c>
      <c r="GT10" s="18">
        <f t="shared" si="3"/>
        <v>196</v>
      </c>
      <c r="GU10" s="18">
        <f t="shared" si="3"/>
        <v>197</v>
      </c>
      <c r="GV10" s="18">
        <f t="shared" si="3"/>
        <v>198</v>
      </c>
      <c r="GW10" s="18">
        <f t="shared" si="3"/>
        <v>199</v>
      </c>
      <c r="GX10" s="18">
        <f t="shared" si="3"/>
        <v>200</v>
      </c>
      <c r="GY10" s="18">
        <f t="shared" si="3"/>
        <v>201</v>
      </c>
      <c r="GZ10" s="18">
        <f t="shared" si="3"/>
        <v>202</v>
      </c>
      <c r="HA10" s="18">
        <f t="shared" si="3"/>
        <v>203</v>
      </c>
      <c r="HB10" s="18">
        <f t="shared" si="3"/>
        <v>204</v>
      </c>
      <c r="HC10" s="18">
        <f t="shared" si="3"/>
        <v>205</v>
      </c>
      <c r="HD10" s="18">
        <f t="shared" si="3"/>
        <v>206</v>
      </c>
      <c r="HE10" s="18">
        <f t="shared" si="3"/>
        <v>207</v>
      </c>
      <c r="HF10" s="18">
        <f t="shared" si="3"/>
        <v>208</v>
      </c>
      <c r="HG10" s="18">
        <f t="shared" si="3"/>
        <v>209</v>
      </c>
      <c r="HH10" s="18">
        <f t="shared" si="3"/>
        <v>210</v>
      </c>
      <c r="HI10" s="18">
        <f t="shared" si="3"/>
        <v>211</v>
      </c>
      <c r="HJ10" s="18">
        <f t="shared" si="3"/>
        <v>212</v>
      </c>
      <c r="HK10" s="18">
        <f t="shared" si="3"/>
        <v>213</v>
      </c>
      <c r="HL10" s="18">
        <f t="shared" si="3"/>
        <v>214</v>
      </c>
      <c r="HM10" s="18">
        <f t="shared" si="3"/>
        <v>215</v>
      </c>
      <c r="HN10" s="18">
        <f t="shared" si="3"/>
        <v>216</v>
      </c>
      <c r="HO10" s="18">
        <f t="shared" si="3"/>
        <v>217</v>
      </c>
      <c r="HP10" s="18">
        <f t="shared" si="3"/>
        <v>218</v>
      </c>
      <c r="HQ10" s="18">
        <f t="shared" si="3"/>
        <v>219</v>
      </c>
      <c r="HR10" s="18">
        <f t="shared" si="3"/>
        <v>220</v>
      </c>
      <c r="HS10" s="18">
        <f t="shared" si="3"/>
        <v>221</v>
      </c>
      <c r="HT10" s="18">
        <f t="shared" si="3"/>
        <v>222</v>
      </c>
      <c r="HU10" s="18">
        <f t="shared" si="3"/>
        <v>223</v>
      </c>
      <c r="HV10" s="18">
        <f t="shared" si="3"/>
        <v>224</v>
      </c>
      <c r="HW10" s="18">
        <f t="shared" si="3"/>
        <v>225</v>
      </c>
      <c r="HX10" s="18">
        <f t="shared" si="3"/>
        <v>226</v>
      </c>
      <c r="HY10" s="18">
        <f t="shared" si="3"/>
        <v>227</v>
      </c>
      <c r="HZ10" s="18">
        <f t="shared" si="3"/>
        <v>228</v>
      </c>
      <c r="IA10" s="18">
        <f t="shared" si="3"/>
        <v>229</v>
      </c>
      <c r="IB10" s="18">
        <f t="shared" si="3"/>
        <v>230</v>
      </c>
      <c r="IC10" s="18">
        <f t="shared" si="3"/>
        <v>231</v>
      </c>
      <c r="ID10" s="18">
        <f t="shared" si="3"/>
        <v>232</v>
      </c>
      <c r="IE10" s="18">
        <f t="shared" si="3"/>
        <v>233</v>
      </c>
      <c r="IF10" s="18">
        <f t="shared" si="3"/>
        <v>234</v>
      </c>
      <c r="IG10" s="18">
        <f t="shared" si="3"/>
        <v>235</v>
      </c>
      <c r="IH10" s="18">
        <f t="shared" si="3"/>
        <v>236</v>
      </c>
      <c r="II10" s="18">
        <f t="shared" si="3"/>
        <v>237</v>
      </c>
      <c r="IJ10" s="18">
        <f t="shared" si="3"/>
        <v>238</v>
      </c>
      <c r="IK10" s="18">
        <f t="shared" si="3"/>
        <v>239</v>
      </c>
      <c r="IL10" s="18">
        <f t="shared" si="3"/>
        <v>240</v>
      </c>
      <c r="IM10" s="18">
        <f t="shared" si="3"/>
        <v>241</v>
      </c>
      <c r="IN10" s="18">
        <f t="shared" si="3"/>
        <v>242</v>
      </c>
      <c r="IO10" s="18">
        <f t="shared" si="3"/>
        <v>243</v>
      </c>
      <c r="IP10" s="18">
        <f t="shared" si="3"/>
        <v>244</v>
      </c>
      <c r="IQ10" s="18">
        <f t="shared" si="3"/>
        <v>245</v>
      </c>
      <c r="IR10" s="18">
        <f t="shared" si="3"/>
        <v>246</v>
      </c>
      <c r="IS10" s="18">
        <f t="shared" si="3"/>
        <v>247</v>
      </c>
      <c r="IT10" s="18">
        <f t="shared" si="3"/>
        <v>248</v>
      </c>
      <c r="IU10" s="18">
        <f t="shared" si="3"/>
        <v>249</v>
      </c>
      <c r="IV10" s="18">
        <f t="shared" si="3"/>
        <v>250</v>
      </c>
      <c r="IW10" s="18">
        <f t="shared" si="3"/>
        <v>251</v>
      </c>
      <c r="IX10" s="18">
        <f t="shared" si="3"/>
        <v>252</v>
      </c>
      <c r="IY10" s="18">
        <f t="shared" si="3"/>
        <v>253</v>
      </c>
      <c r="IZ10" s="18">
        <f t="shared" si="3"/>
        <v>254</v>
      </c>
      <c r="JA10" s="18">
        <f t="shared" si="3"/>
        <v>255</v>
      </c>
      <c r="JB10" s="18">
        <f t="shared" si="3"/>
        <v>256</v>
      </c>
      <c r="JC10" s="18">
        <f t="shared" si="3"/>
        <v>257</v>
      </c>
      <c r="JD10" s="18">
        <f t="shared" si="3"/>
        <v>258</v>
      </c>
      <c r="JE10" s="18">
        <f t="shared" ref="JE10:LG10" si="4">JD10+1</f>
        <v>259</v>
      </c>
      <c r="JF10" s="18">
        <f t="shared" si="4"/>
        <v>260</v>
      </c>
      <c r="JG10" s="18">
        <f t="shared" si="4"/>
        <v>261</v>
      </c>
      <c r="JH10" s="18">
        <f t="shared" si="4"/>
        <v>262</v>
      </c>
      <c r="JI10" s="18">
        <f t="shared" si="4"/>
        <v>263</v>
      </c>
      <c r="JJ10" s="18">
        <f t="shared" si="4"/>
        <v>264</v>
      </c>
      <c r="JK10" s="18">
        <f t="shared" si="4"/>
        <v>265</v>
      </c>
      <c r="JL10" s="18">
        <f t="shared" si="4"/>
        <v>266</v>
      </c>
      <c r="JM10" s="18">
        <f t="shared" si="4"/>
        <v>267</v>
      </c>
      <c r="JN10" s="18">
        <f t="shared" si="4"/>
        <v>268</v>
      </c>
      <c r="JO10" s="18">
        <f t="shared" si="4"/>
        <v>269</v>
      </c>
      <c r="JP10" s="18">
        <f t="shared" si="4"/>
        <v>270</v>
      </c>
      <c r="JQ10" s="18">
        <f t="shared" si="4"/>
        <v>271</v>
      </c>
      <c r="JR10" s="18">
        <f t="shared" si="4"/>
        <v>272</v>
      </c>
      <c r="JS10" s="18">
        <f t="shared" si="4"/>
        <v>273</v>
      </c>
      <c r="JT10" s="18">
        <f t="shared" si="4"/>
        <v>274</v>
      </c>
      <c r="JU10" s="18">
        <f t="shared" si="4"/>
        <v>275</v>
      </c>
      <c r="JV10" s="18">
        <f t="shared" si="4"/>
        <v>276</v>
      </c>
      <c r="JW10" s="18">
        <f t="shared" si="4"/>
        <v>277</v>
      </c>
      <c r="JX10" s="18">
        <f t="shared" si="4"/>
        <v>278</v>
      </c>
      <c r="JY10" s="18">
        <f t="shared" si="4"/>
        <v>279</v>
      </c>
      <c r="JZ10" s="18">
        <f t="shared" si="4"/>
        <v>280</v>
      </c>
      <c r="KA10" s="18">
        <f t="shared" si="4"/>
        <v>281</v>
      </c>
      <c r="KB10" s="18">
        <f t="shared" si="4"/>
        <v>282</v>
      </c>
      <c r="KC10" s="18">
        <f t="shared" si="4"/>
        <v>283</v>
      </c>
      <c r="KD10" s="18">
        <f t="shared" si="4"/>
        <v>284</v>
      </c>
      <c r="KE10" s="18">
        <f t="shared" si="4"/>
        <v>285</v>
      </c>
      <c r="KF10" s="18">
        <f t="shared" si="4"/>
        <v>286</v>
      </c>
      <c r="KG10" s="18">
        <f t="shared" si="4"/>
        <v>287</v>
      </c>
      <c r="KH10" s="18">
        <f t="shared" si="4"/>
        <v>288</v>
      </c>
      <c r="KI10" s="18">
        <f t="shared" si="4"/>
        <v>289</v>
      </c>
      <c r="KJ10" s="18">
        <f t="shared" si="4"/>
        <v>290</v>
      </c>
      <c r="KK10" s="18">
        <f t="shared" si="4"/>
        <v>291</v>
      </c>
      <c r="KL10" s="18">
        <f t="shared" si="4"/>
        <v>292</v>
      </c>
      <c r="KM10" s="18">
        <f t="shared" si="4"/>
        <v>293</v>
      </c>
      <c r="KN10" s="18">
        <f t="shared" si="4"/>
        <v>294</v>
      </c>
      <c r="KO10" s="18">
        <f t="shared" si="4"/>
        <v>295</v>
      </c>
      <c r="KP10" s="18">
        <f t="shared" si="4"/>
        <v>296</v>
      </c>
      <c r="KQ10" s="18">
        <f t="shared" si="4"/>
        <v>297</v>
      </c>
      <c r="KR10" s="18">
        <f t="shared" si="4"/>
        <v>298</v>
      </c>
      <c r="KS10" s="18">
        <f t="shared" si="4"/>
        <v>299</v>
      </c>
      <c r="KT10" s="18">
        <f t="shared" si="4"/>
        <v>300</v>
      </c>
      <c r="KU10" s="18">
        <f t="shared" si="4"/>
        <v>301</v>
      </c>
      <c r="KV10" s="18">
        <f t="shared" si="4"/>
        <v>302</v>
      </c>
      <c r="KW10" s="18">
        <f t="shared" si="4"/>
        <v>303</v>
      </c>
      <c r="KX10" s="18">
        <f t="shared" si="4"/>
        <v>304</v>
      </c>
      <c r="KY10" s="18">
        <f t="shared" si="4"/>
        <v>305</v>
      </c>
      <c r="KZ10" s="18">
        <f t="shared" si="4"/>
        <v>306</v>
      </c>
      <c r="LA10" s="18">
        <f t="shared" si="4"/>
        <v>307</v>
      </c>
      <c r="LB10" s="18">
        <f t="shared" si="4"/>
        <v>308</v>
      </c>
      <c r="LC10" s="18">
        <f t="shared" si="4"/>
        <v>309</v>
      </c>
      <c r="LD10" s="18">
        <f t="shared" si="4"/>
        <v>310</v>
      </c>
      <c r="LE10" s="18">
        <f t="shared" si="4"/>
        <v>311</v>
      </c>
      <c r="LF10" s="18">
        <f t="shared" si="4"/>
        <v>312</v>
      </c>
      <c r="LG10" s="18">
        <f t="shared" si="4"/>
        <v>313</v>
      </c>
    </row>
    <row r="12" spans="1:16384">
      <c r="B12" s="18" t="s">
        <v>50</v>
      </c>
    </row>
    <row r="13" spans="1:16384">
      <c r="C13" s="18" t="s">
        <v>51</v>
      </c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39"/>
      <c r="KU13" s="39"/>
      <c r="KV13" s="39"/>
      <c r="KW13" s="39"/>
      <c r="KX13" s="39"/>
      <c r="KY13" s="39"/>
      <c r="KZ13" s="39"/>
      <c r="LA13" s="39"/>
      <c r="LB13" s="39"/>
      <c r="LC13" s="39"/>
      <c r="LD13" s="39"/>
      <c r="LE13" s="39"/>
      <c r="LF13" s="39"/>
      <c r="LG13" s="39"/>
    </row>
    <row r="14" spans="1:16384">
      <c r="C14" s="18" t="s">
        <v>52</v>
      </c>
      <c r="E14" s="22">
        <f ca="1">E3</f>
        <v>0.15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39"/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39"/>
      <c r="KU14" s="39"/>
      <c r="KV14" s="39"/>
      <c r="KW14" s="39"/>
      <c r="KX14" s="39"/>
      <c r="KY14" s="39"/>
      <c r="KZ14" s="39"/>
      <c r="LA14" s="39"/>
      <c r="LB14" s="39"/>
      <c r="LC14" s="39"/>
      <c r="LD14" s="39"/>
      <c r="LE14" s="39"/>
      <c r="LF14" s="39"/>
      <c r="LG14" s="39"/>
    </row>
    <row r="15" spans="1:16384">
      <c r="C15" s="18" t="s">
        <v>53</v>
      </c>
      <c r="E15" s="20">
        <f ca="1">E6</f>
        <v>1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39"/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39"/>
      <c r="KU15" s="39"/>
      <c r="KV15" s="39"/>
      <c r="KW15" s="39"/>
      <c r="KX15" s="39"/>
      <c r="KY15" s="39"/>
      <c r="KZ15" s="39"/>
      <c r="LA15" s="39"/>
      <c r="LB15" s="39"/>
      <c r="LC15" s="39"/>
      <c r="LD15" s="39"/>
      <c r="LE15" s="39"/>
      <c r="LF15" s="39"/>
      <c r="LG15" s="39"/>
    </row>
    <row r="16" spans="1:16384">
      <c r="C16" s="18" t="s">
        <v>54</v>
      </c>
      <c r="F16" s="34">
        <f>E7</f>
        <v>27.24</v>
      </c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39"/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39"/>
      <c r="KU16" s="39"/>
      <c r="KV16" s="39"/>
      <c r="KW16" s="39"/>
      <c r="KX16" s="39"/>
      <c r="KY16" s="39"/>
      <c r="KZ16" s="39"/>
      <c r="LA16" s="39"/>
      <c r="LB16" s="39"/>
      <c r="LC16" s="39"/>
      <c r="LD16" s="39"/>
      <c r="LE16" s="39"/>
      <c r="LF16" s="39"/>
      <c r="LG16" s="39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  <c r="AAA16" s="34"/>
      <c r="AAB16" s="34"/>
      <c r="AAC16" s="34"/>
      <c r="AAD16" s="34"/>
      <c r="AAE16" s="34"/>
      <c r="AAF16" s="34"/>
      <c r="AAG16" s="34"/>
      <c r="AAH16" s="34"/>
      <c r="AAI16" s="34"/>
      <c r="AAJ16" s="34"/>
      <c r="AAK16" s="34"/>
      <c r="AAL16" s="34"/>
      <c r="AAM16" s="34"/>
      <c r="AAN16" s="34"/>
      <c r="AAO16" s="34"/>
      <c r="AAP16" s="34"/>
      <c r="AAQ16" s="34"/>
      <c r="AAR16" s="34"/>
      <c r="AAS16" s="34"/>
      <c r="AAT16" s="34"/>
      <c r="AAU16" s="34"/>
      <c r="AAV16" s="34"/>
      <c r="AAW16" s="34"/>
      <c r="AAX16" s="34"/>
      <c r="AAY16" s="34"/>
      <c r="AAZ16" s="34"/>
      <c r="ABA16" s="34"/>
      <c r="ABB16" s="34"/>
      <c r="ABC16" s="34"/>
      <c r="ABD16" s="34"/>
      <c r="ABE16" s="34"/>
      <c r="ABF16" s="34"/>
      <c r="ABG16" s="34"/>
      <c r="ABH16" s="34"/>
      <c r="ABI16" s="34"/>
      <c r="ABJ16" s="34"/>
      <c r="ABK16" s="34"/>
      <c r="ABL16" s="34"/>
      <c r="ABM16" s="34"/>
      <c r="ABN16" s="34"/>
      <c r="ABO16" s="34"/>
      <c r="ABP16" s="34"/>
      <c r="ABQ16" s="34"/>
      <c r="ABR16" s="34"/>
      <c r="ABS16" s="34"/>
      <c r="ABT16" s="34"/>
      <c r="ABU16" s="34"/>
      <c r="ABV16" s="34"/>
      <c r="ABW16" s="34"/>
      <c r="ABX16" s="34"/>
      <c r="ABY16" s="34"/>
      <c r="ABZ16" s="34"/>
      <c r="ACA16" s="34"/>
      <c r="ACB16" s="34"/>
      <c r="ACC16" s="34"/>
      <c r="ACD16" s="34"/>
      <c r="ACE16" s="34"/>
      <c r="ACF16" s="34"/>
      <c r="ACG16" s="34"/>
      <c r="ACH16" s="34"/>
      <c r="ACI16" s="34"/>
      <c r="ACJ16" s="34"/>
      <c r="ACK16" s="34"/>
      <c r="ACL16" s="34"/>
      <c r="ACM16" s="34"/>
      <c r="ACN16" s="34"/>
      <c r="ACO16" s="34"/>
      <c r="ACP16" s="34"/>
      <c r="ACQ16" s="34"/>
      <c r="ACR16" s="34"/>
      <c r="ACS16" s="34"/>
      <c r="ACT16" s="34"/>
      <c r="ACU16" s="34"/>
      <c r="ACV16" s="34"/>
      <c r="ACW16" s="34"/>
      <c r="ACX16" s="34"/>
      <c r="ACY16" s="34"/>
      <c r="ACZ16" s="34"/>
      <c r="ADA16" s="34"/>
      <c r="ADB16" s="34"/>
      <c r="ADC16" s="34"/>
      <c r="ADD16" s="34"/>
      <c r="ADE16" s="34"/>
      <c r="ADF16" s="34"/>
      <c r="ADG16" s="34"/>
      <c r="ADH16" s="34"/>
      <c r="ADI16" s="34"/>
      <c r="ADJ16" s="34"/>
      <c r="ADK16" s="34"/>
      <c r="ADL16" s="34"/>
      <c r="ADM16" s="34"/>
      <c r="ADN16" s="34"/>
      <c r="ADO16" s="34"/>
      <c r="ADP16" s="34"/>
      <c r="ADQ16" s="34"/>
      <c r="ADR16" s="34"/>
      <c r="ADS16" s="34"/>
      <c r="ADT16" s="34"/>
      <c r="ADU16" s="34"/>
      <c r="ADV16" s="34"/>
      <c r="ADW16" s="34"/>
      <c r="ADX16" s="34"/>
      <c r="ADY16" s="34"/>
      <c r="ADZ16" s="34"/>
      <c r="AEA16" s="34"/>
      <c r="AEB16" s="34"/>
      <c r="AEC16" s="34"/>
      <c r="AED16" s="34"/>
      <c r="AEE16" s="34"/>
      <c r="AEF16" s="34"/>
      <c r="AEG16" s="34"/>
      <c r="AEH16" s="34"/>
      <c r="AEI16" s="34"/>
      <c r="AEJ16" s="34"/>
      <c r="AEK16" s="34"/>
      <c r="AEL16" s="34"/>
      <c r="AEM16" s="34"/>
      <c r="AEN16" s="34"/>
      <c r="AEO16" s="34"/>
      <c r="AEP16" s="34"/>
      <c r="AEQ16" s="34"/>
      <c r="AER16" s="34"/>
      <c r="AES16" s="34"/>
      <c r="AET16" s="34"/>
      <c r="AEU16" s="34"/>
      <c r="AEV16" s="34"/>
      <c r="AEW16" s="34"/>
      <c r="AEX16" s="34"/>
      <c r="AEY16" s="34"/>
      <c r="AEZ16" s="34"/>
      <c r="AFA16" s="34"/>
      <c r="AFB16" s="34"/>
      <c r="AFC16" s="34"/>
      <c r="AFD16" s="34"/>
      <c r="AFE16" s="34"/>
      <c r="AFF16" s="34"/>
      <c r="AFG16" s="34"/>
      <c r="AFH16" s="34"/>
      <c r="AFI16" s="34"/>
      <c r="AFJ16" s="34"/>
      <c r="AFK16" s="34"/>
      <c r="AFL16" s="34"/>
      <c r="AFM16" s="34"/>
      <c r="AFN16" s="34"/>
      <c r="AFO16" s="34"/>
      <c r="AFP16" s="34"/>
      <c r="AFQ16" s="34"/>
      <c r="AFR16" s="34"/>
      <c r="AFS16" s="34"/>
      <c r="AFT16" s="34"/>
      <c r="AFU16" s="34"/>
      <c r="AFV16" s="34"/>
      <c r="AFW16" s="34"/>
      <c r="AFX16" s="34"/>
      <c r="AFY16" s="34"/>
      <c r="AFZ16" s="34"/>
      <c r="AGA16" s="34"/>
      <c r="AGB16" s="34"/>
      <c r="AGC16" s="34"/>
      <c r="AGD16" s="34"/>
      <c r="AGE16" s="34"/>
      <c r="AGF16" s="34"/>
      <c r="AGG16" s="34"/>
      <c r="AGH16" s="34"/>
      <c r="AGI16" s="34"/>
      <c r="AGJ16" s="34"/>
      <c r="AGK16" s="34"/>
      <c r="AGL16" s="34"/>
      <c r="AGM16" s="34"/>
      <c r="AGN16" s="34"/>
      <c r="AGO16" s="34"/>
      <c r="AGP16" s="34"/>
      <c r="AGQ16" s="34"/>
      <c r="AGR16" s="34"/>
      <c r="AGS16" s="34"/>
      <c r="AGT16" s="34"/>
      <c r="AGU16" s="34"/>
      <c r="AGV16" s="34"/>
      <c r="AGW16" s="34"/>
      <c r="AGX16" s="34"/>
      <c r="AGY16" s="34"/>
      <c r="AGZ16" s="34"/>
      <c r="AHA16" s="34"/>
      <c r="AHB16" s="34"/>
      <c r="AHC16" s="34"/>
      <c r="AHD16" s="34"/>
      <c r="AHE16" s="34"/>
      <c r="AHF16" s="34"/>
      <c r="AHG16" s="34"/>
      <c r="AHH16" s="34"/>
      <c r="AHI16" s="34"/>
      <c r="AHJ16" s="34"/>
      <c r="AHK16" s="34"/>
      <c r="AHL16" s="34"/>
      <c r="AHM16" s="34"/>
      <c r="AHN16" s="34"/>
      <c r="AHO16" s="34"/>
      <c r="AHP16" s="34"/>
      <c r="AHQ16" s="34"/>
      <c r="AHR16" s="34"/>
      <c r="AHS16" s="34"/>
      <c r="AHT16" s="34"/>
      <c r="AHU16" s="34"/>
      <c r="AHV16" s="34"/>
      <c r="AHW16" s="34"/>
      <c r="AHX16" s="34"/>
      <c r="AHY16" s="34"/>
      <c r="AHZ16" s="34"/>
      <c r="AIA16" s="34"/>
      <c r="AIB16" s="34"/>
      <c r="AIC16" s="34"/>
      <c r="AID16" s="34"/>
      <c r="AIE16" s="34"/>
      <c r="AIF16" s="34"/>
      <c r="AIG16" s="34"/>
      <c r="AIH16" s="34"/>
      <c r="AII16" s="34"/>
      <c r="AIJ16" s="34"/>
      <c r="AIK16" s="34"/>
      <c r="AIL16" s="34"/>
      <c r="AIM16" s="34"/>
      <c r="AIN16" s="34"/>
      <c r="AIO16" s="34"/>
      <c r="AIP16" s="34"/>
      <c r="AIQ16" s="34"/>
      <c r="AIR16" s="34"/>
      <c r="AIS16" s="34"/>
      <c r="AIT16" s="34"/>
      <c r="AIU16" s="34"/>
      <c r="AIV16" s="34"/>
      <c r="AIW16" s="34"/>
      <c r="AIX16" s="34"/>
      <c r="AIY16" s="34"/>
      <c r="AIZ16" s="34"/>
      <c r="AJA16" s="34"/>
      <c r="AJB16" s="34"/>
      <c r="AJC16" s="34"/>
      <c r="AJD16" s="34"/>
      <c r="AJE16" s="34"/>
      <c r="AJF16" s="34"/>
      <c r="AJG16" s="34"/>
      <c r="AJH16" s="34"/>
      <c r="AJI16" s="34"/>
      <c r="AJJ16" s="34"/>
      <c r="AJK16" s="34"/>
      <c r="AJL16" s="34"/>
      <c r="AJM16" s="34"/>
      <c r="AJN16" s="34"/>
      <c r="AJO16" s="34"/>
      <c r="AJP16" s="34"/>
      <c r="AJQ16" s="34"/>
      <c r="AJR16" s="34"/>
      <c r="AJS16" s="34"/>
      <c r="AJT16" s="34"/>
      <c r="AJU16" s="34"/>
      <c r="AJV16" s="34"/>
      <c r="AJW16" s="34"/>
      <c r="AJX16" s="34"/>
      <c r="AJY16" s="34"/>
      <c r="AJZ16" s="34"/>
      <c r="AKA16" s="34"/>
      <c r="AKB16" s="34"/>
      <c r="AKC16" s="34"/>
      <c r="AKD16" s="34"/>
      <c r="AKE16" s="34"/>
      <c r="AKF16" s="34"/>
      <c r="AKG16" s="34"/>
      <c r="AKH16" s="34"/>
      <c r="AKI16" s="34"/>
      <c r="AKJ16" s="34"/>
      <c r="AKK16" s="34"/>
      <c r="AKL16" s="34"/>
      <c r="AKM16" s="34"/>
      <c r="AKN16" s="34"/>
      <c r="AKO16" s="34"/>
      <c r="AKP16" s="34"/>
      <c r="AKQ16" s="34"/>
      <c r="AKR16" s="34"/>
      <c r="AKS16" s="34"/>
      <c r="AKT16" s="34"/>
      <c r="AKU16" s="34"/>
      <c r="AKV16" s="34"/>
      <c r="AKW16" s="34"/>
      <c r="AKX16" s="34"/>
      <c r="AKY16" s="34"/>
      <c r="AKZ16" s="34"/>
      <c r="ALA16" s="34"/>
      <c r="ALB16" s="34"/>
      <c r="ALC16" s="34"/>
      <c r="ALD16" s="34"/>
      <c r="ALE16" s="34"/>
      <c r="ALF16" s="34"/>
      <c r="ALG16" s="34"/>
      <c r="ALH16" s="34"/>
      <c r="ALI16" s="34"/>
      <c r="ALJ16" s="34"/>
      <c r="ALK16" s="34"/>
      <c r="ALL16" s="34"/>
      <c r="ALM16" s="34"/>
      <c r="ALN16" s="34"/>
      <c r="ALO16" s="34"/>
      <c r="ALP16" s="34"/>
      <c r="ALQ16" s="34"/>
      <c r="ALR16" s="34"/>
      <c r="ALS16" s="34"/>
      <c r="ALT16" s="34"/>
      <c r="ALU16" s="34"/>
      <c r="ALV16" s="34"/>
      <c r="ALW16" s="34"/>
      <c r="ALX16" s="34"/>
      <c r="ALY16" s="34"/>
      <c r="ALZ16" s="34"/>
      <c r="AMA16" s="34"/>
      <c r="AMB16" s="34"/>
      <c r="AMC16" s="34"/>
      <c r="AMD16" s="34"/>
      <c r="AME16" s="34"/>
      <c r="AMF16" s="34"/>
      <c r="AMG16" s="34"/>
      <c r="AMH16" s="34"/>
      <c r="AMI16" s="34"/>
      <c r="AMJ16" s="34"/>
      <c r="AMK16" s="34"/>
      <c r="AML16" s="34"/>
      <c r="AMM16" s="34"/>
      <c r="AMN16" s="34"/>
      <c r="AMO16" s="34"/>
      <c r="AMP16" s="34"/>
      <c r="AMQ16" s="34"/>
      <c r="AMR16" s="34"/>
      <c r="AMS16" s="34"/>
      <c r="AMT16" s="34"/>
      <c r="AMU16" s="34"/>
      <c r="AMV16" s="34"/>
      <c r="AMW16" s="34"/>
      <c r="AMX16" s="34"/>
      <c r="AMY16" s="34"/>
      <c r="AMZ16" s="34"/>
      <c r="ANA16" s="34"/>
      <c r="ANB16" s="34"/>
      <c r="ANC16" s="34"/>
      <c r="AND16" s="34"/>
      <c r="ANE16" s="34"/>
      <c r="ANF16" s="34"/>
      <c r="ANG16" s="34"/>
      <c r="ANH16" s="34"/>
      <c r="ANI16" s="34"/>
      <c r="ANJ16" s="34"/>
      <c r="ANK16" s="34"/>
      <c r="ANL16" s="34"/>
      <c r="ANM16" s="34"/>
      <c r="ANN16" s="34"/>
      <c r="ANO16" s="34"/>
      <c r="ANP16" s="34"/>
      <c r="ANQ16" s="34"/>
      <c r="ANR16" s="34"/>
      <c r="ANS16" s="34"/>
      <c r="ANT16" s="34"/>
      <c r="ANU16" s="34"/>
      <c r="ANV16" s="34"/>
      <c r="ANW16" s="34"/>
      <c r="ANX16" s="34"/>
      <c r="ANY16" s="34"/>
      <c r="ANZ16" s="34"/>
      <c r="AOA16" s="34"/>
      <c r="AOB16" s="34"/>
      <c r="AOC16" s="34"/>
      <c r="AOD16" s="34"/>
      <c r="AOE16" s="34"/>
      <c r="AOF16" s="34"/>
      <c r="AOG16" s="34"/>
      <c r="AOH16" s="34"/>
      <c r="AOI16" s="34"/>
      <c r="AOJ16" s="34"/>
      <c r="AOK16" s="34"/>
      <c r="AOL16" s="34"/>
      <c r="AOM16" s="34"/>
      <c r="AON16" s="34"/>
      <c r="AOO16" s="34"/>
      <c r="AOP16" s="34"/>
      <c r="AOQ16" s="34"/>
      <c r="AOR16" s="34"/>
      <c r="AOS16" s="34"/>
      <c r="AOT16" s="34"/>
      <c r="AOU16" s="34"/>
      <c r="AOV16" s="34"/>
      <c r="AOW16" s="34"/>
      <c r="AOX16" s="34"/>
      <c r="AOY16" s="34"/>
      <c r="AOZ16" s="34"/>
      <c r="APA16" s="34"/>
      <c r="APB16" s="34"/>
      <c r="APC16" s="34"/>
      <c r="APD16" s="34"/>
      <c r="APE16" s="34"/>
      <c r="APF16" s="34"/>
      <c r="APG16" s="34"/>
      <c r="APH16" s="34"/>
      <c r="API16" s="34"/>
      <c r="APJ16" s="34"/>
      <c r="APK16" s="34"/>
      <c r="APL16" s="34"/>
      <c r="APM16" s="34"/>
      <c r="APN16" s="34"/>
      <c r="APO16" s="34"/>
      <c r="APP16" s="34"/>
      <c r="APQ16" s="34"/>
      <c r="APR16" s="34"/>
      <c r="APS16" s="34"/>
      <c r="APT16" s="34"/>
      <c r="APU16" s="34"/>
      <c r="APV16" s="34"/>
      <c r="APW16" s="34"/>
      <c r="APX16" s="34"/>
      <c r="APY16" s="34"/>
      <c r="APZ16" s="34"/>
      <c r="AQA16" s="34"/>
      <c r="AQB16" s="34"/>
      <c r="AQC16" s="34"/>
      <c r="AQD16" s="34"/>
      <c r="AQE16" s="34"/>
      <c r="AQF16" s="34"/>
      <c r="AQG16" s="34"/>
      <c r="AQH16" s="34"/>
      <c r="AQI16" s="34"/>
      <c r="AQJ16" s="34"/>
      <c r="AQK16" s="34"/>
      <c r="AQL16" s="34"/>
      <c r="AQM16" s="34"/>
      <c r="AQN16" s="34"/>
      <c r="AQO16" s="34"/>
      <c r="AQP16" s="34"/>
      <c r="AQQ16" s="34"/>
      <c r="AQR16" s="34"/>
      <c r="AQS16" s="34"/>
      <c r="AQT16" s="34"/>
      <c r="AQU16" s="34"/>
      <c r="AQV16" s="34"/>
      <c r="AQW16" s="34"/>
      <c r="AQX16" s="34"/>
      <c r="AQY16" s="34"/>
      <c r="AQZ16" s="34"/>
      <c r="ARA16" s="34"/>
      <c r="ARB16" s="34"/>
      <c r="ARC16" s="34"/>
      <c r="ARD16" s="34"/>
      <c r="ARE16" s="34"/>
      <c r="ARF16" s="34"/>
      <c r="ARG16" s="34"/>
      <c r="ARH16" s="34"/>
      <c r="ARI16" s="34"/>
      <c r="ARJ16" s="34"/>
      <c r="ARK16" s="34"/>
      <c r="ARL16" s="34"/>
      <c r="ARM16" s="34"/>
      <c r="ARN16" s="34"/>
      <c r="ARO16" s="34"/>
      <c r="ARP16" s="34"/>
      <c r="ARQ16" s="34"/>
      <c r="ARR16" s="34"/>
      <c r="ARS16" s="34"/>
      <c r="ART16" s="34"/>
      <c r="ARU16" s="34"/>
      <c r="ARV16" s="34"/>
      <c r="ARW16" s="34"/>
      <c r="ARX16" s="34"/>
      <c r="ARY16" s="34"/>
      <c r="ARZ16" s="34"/>
      <c r="ASA16" s="34"/>
      <c r="ASB16" s="34"/>
      <c r="ASC16" s="34"/>
      <c r="ASD16" s="34"/>
      <c r="ASE16" s="34"/>
      <c r="ASF16" s="34"/>
      <c r="ASG16" s="34"/>
      <c r="ASH16" s="34"/>
      <c r="ASI16" s="34"/>
      <c r="ASJ16" s="34"/>
      <c r="ASK16" s="34"/>
      <c r="ASL16" s="34"/>
      <c r="ASM16" s="34"/>
      <c r="ASN16" s="34"/>
      <c r="ASO16" s="34"/>
      <c r="ASP16" s="34"/>
      <c r="ASQ16" s="34"/>
      <c r="ASR16" s="34"/>
      <c r="ASS16" s="34"/>
      <c r="AST16" s="34"/>
      <c r="ASU16" s="34"/>
      <c r="ASV16" s="34"/>
      <c r="ASW16" s="34"/>
      <c r="ASX16" s="34"/>
      <c r="ASY16" s="34"/>
      <c r="ASZ16" s="34"/>
      <c r="ATA16" s="34"/>
      <c r="ATB16" s="34"/>
      <c r="ATC16" s="34"/>
      <c r="ATD16" s="34"/>
      <c r="ATE16" s="34"/>
      <c r="ATF16" s="34"/>
      <c r="ATG16" s="34"/>
      <c r="ATH16" s="34"/>
      <c r="ATI16" s="34"/>
      <c r="ATJ16" s="34"/>
      <c r="ATK16" s="34"/>
      <c r="ATL16" s="34"/>
      <c r="ATM16" s="34"/>
      <c r="ATN16" s="34"/>
      <c r="ATO16" s="34"/>
      <c r="ATP16" s="34"/>
      <c r="ATQ16" s="34"/>
      <c r="ATR16" s="34"/>
      <c r="ATS16" s="34"/>
      <c r="ATT16" s="34"/>
      <c r="ATU16" s="34"/>
      <c r="ATV16" s="34"/>
      <c r="ATW16" s="34"/>
      <c r="ATX16" s="34"/>
      <c r="ATY16" s="34"/>
      <c r="ATZ16" s="34"/>
      <c r="AUA16" s="34"/>
      <c r="AUB16" s="34"/>
      <c r="AUC16" s="34"/>
      <c r="AUD16" s="34"/>
      <c r="AUE16" s="34"/>
      <c r="AUF16" s="34"/>
      <c r="AUG16" s="34"/>
      <c r="AUH16" s="34"/>
      <c r="AUI16" s="34"/>
      <c r="AUJ16" s="34"/>
      <c r="AUK16" s="34"/>
      <c r="AUL16" s="34"/>
      <c r="AUM16" s="34"/>
      <c r="AUN16" s="34"/>
      <c r="AUO16" s="34"/>
      <c r="AUP16" s="34"/>
      <c r="AUQ16" s="34"/>
      <c r="AUR16" s="34"/>
      <c r="AUS16" s="34"/>
      <c r="AUT16" s="34"/>
      <c r="AUU16" s="34"/>
      <c r="AUV16" s="34"/>
      <c r="AUW16" s="34"/>
      <c r="AUX16" s="34"/>
      <c r="AUY16" s="34"/>
      <c r="AUZ16" s="34"/>
      <c r="AVA16" s="34"/>
      <c r="AVB16" s="34"/>
      <c r="AVC16" s="34"/>
      <c r="AVD16" s="34"/>
      <c r="AVE16" s="34"/>
      <c r="AVF16" s="34"/>
      <c r="AVG16" s="34"/>
      <c r="AVH16" s="34"/>
      <c r="AVI16" s="34"/>
      <c r="AVJ16" s="34"/>
      <c r="AVK16" s="34"/>
      <c r="AVL16" s="34"/>
      <c r="AVM16" s="34"/>
      <c r="AVN16" s="34"/>
      <c r="AVO16" s="34"/>
      <c r="AVP16" s="34"/>
      <c r="AVQ16" s="34"/>
      <c r="AVR16" s="34"/>
      <c r="AVS16" s="34"/>
      <c r="AVT16" s="34"/>
      <c r="AVU16" s="34"/>
      <c r="AVV16" s="34"/>
      <c r="AVW16" s="34"/>
      <c r="AVX16" s="34"/>
      <c r="AVY16" s="34"/>
      <c r="AVZ16" s="34"/>
      <c r="AWA16" s="34"/>
      <c r="AWB16" s="34"/>
      <c r="AWC16" s="34"/>
      <c r="AWD16" s="34"/>
      <c r="AWE16" s="34"/>
      <c r="AWF16" s="34"/>
      <c r="AWG16" s="34"/>
      <c r="AWH16" s="34"/>
      <c r="AWI16" s="34"/>
      <c r="AWJ16" s="34"/>
      <c r="AWK16" s="34"/>
      <c r="AWL16" s="34"/>
      <c r="AWM16" s="34"/>
      <c r="AWN16" s="34"/>
      <c r="AWO16" s="34"/>
      <c r="AWP16" s="34"/>
      <c r="AWQ16" s="34"/>
      <c r="AWR16" s="34"/>
      <c r="AWS16" s="34"/>
      <c r="AWT16" s="34"/>
      <c r="AWU16" s="34"/>
      <c r="AWV16" s="34"/>
      <c r="AWW16" s="34"/>
      <c r="AWX16" s="34"/>
      <c r="AWY16" s="34"/>
      <c r="AWZ16" s="34"/>
      <c r="AXA16" s="34"/>
      <c r="AXB16" s="34"/>
      <c r="AXC16" s="34"/>
      <c r="AXD16" s="34"/>
      <c r="AXE16" s="34"/>
      <c r="AXF16" s="34"/>
      <c r="AXG16" s="34"/>
      <c r="AXH16" s="34"/>
      <c r="AXI16" s="34"/>
      <c r="AXJ16" s="34"/>
      <c r="AXK16" s="34"/>
      <c r="AXL16" s="34"/>
      <c r="AXM16" s="34"/>
      <c r="AXN16" s="34"/>
      <c r="AXO16" s="34"/>
      <c r="AXP16" s="34"/>
      <c r="AXQ16" s="34"/>
      <c r="AXR16" s="34"/>
      <c r="AXS16" s="34"/>
      <c r="AXT16" s="34"/>
      <c r="AXU16" s="34"/>
      <c r="AXV16" s="34"/>
      <c r="AXW16" s="34"/>
      <c r="AXX16" s="34"/>
      <c r="AXY16" s="34"/>
      <c r="AXZ16" s="34"/>
      <c r="AYA16" s="34"/>
      <c r="AYB16" s="34"/>
      <c r="AYC16" s="34"/>
      <c r="AYD16" s="34"/>
      <c r="AYE16" s="34"/>
      <c r="AYF16" s="34"/>
      <c r="AYG16" s="34"/>
      <c r="AYH16" s="34"/>
      <c r="AYI16" s="34"/>
      <c r="AYJ16" s="34"/>
      <c r="AYK16" s="34"/>
      <c r="AYL16" s="34"/>
      <c r="AYM16" s="34"/>
      <c r="AYN16" s="34"/>
      <c r="AYO16" s="34"/>
      <c r="AYP16" s="34"/>
      <c r="AYQ16" s="34"/>
      <c r="AYR16" s="34"/>
      <c r="AYS16" s="34"/>
      <c r="AYT16" s="34"/>
      <c r="AYU16" s="34"/>
      <c r="AYV16" s="34"/>
      <c r="AYW16" s="34"/>
      <c r="AYX16" s="34"/>
      <c r="AYY16" s="34"/>
      <c r="AYZ16" s="34"/>
      <c r="AZA16" s="34"/>
      <c r="AZB16" s="34"/>
      <c r="AZC16" s="34"/>
      <c r="AZD16" s="34"/>
      <c r="AZE16" s="34"/>
      <c r="AZF16" s="34"/>
      <c r="AZG16" s="34"/>
      <c r="AZH16" s="34"/>
      <c r="AZI16" s="34"/>
      <c r="AZJ16" s="34"/>
      <c r="AZK16" s="34"/>
      <c r="AZL16" s="34"/>
      <c r="AZM16" s="34"/>
      <c r="AZN16" s="34"/>
      <c r="AZO16" s="34"/>
      <c r="AZP16" s="34"/>
      <c r="AZQ16" s="34"/>
      <c r="AZR16" s="34"/>
      <c r="AZS16" s="34"/>
      <c r="AZT16" s="34"/>
      <c r="AZU16" s="34"/>
      <c r="AZV16" s="34"/>
      <c r="AZW16" s="34"/>
      <c r="AZX16" s="34"/>
      <c r="AZY16" s="34"/>
      <c r="AZZ16" s="34"/>
      <c r="BAA16" s="34"/>
      <c r="BAB16" s="34"/>
      <c r="BAC16" s="34"/>
      <c r="BAD16" s="34"/>
      <c r="BAE16" s="34"/>
      <c r="BAF16" s="34"/>
      <c r="BAG16" s="34"/>
      <c r="BAH16" s="34"/>
      <c r="BAI16" s="34"/>
      <c r="BAJ16" s="34"/>
      <c r="BAK16" s="34"/>
      <c r="BAL16" s="34"/>
      <c r="BAM16" s="34"/>
      <c r="BAN16" s="34"/>
      <c r="BAO16" s="34"/>
      <c r="BAP16" s="34"/>
      <c r="BAQ16" s="34"/>
      <c r="BAR16" s="34"/>
      <c r="BAS16" s="34"/>
      <c r="BAT16" s="34"/>
      <c r="BAU16" s="34"/>
      <c r="BAV16" s="34"/>
      <c r="BAW16" s="34"/>
      <c r="BAX16" s="34"/>
      <c r="BAY16" s="34"/>
      <c r="BAZ16" s="34"/>
      <c r="BBA16" s="34"/>
      <c r="BBB16" s="34"/>
      <c r="BBC16" s="34"/>
      <c r="BBD16" s="34"/>
      <c r="BBE16" s="34"/>
      <c r="BBF16" s="34"/>
      <c r="BBG16" s="34"/>
      <c r="BBH16" s="34"/>
      <c r="BBI16" s="34"/>
      <c r="BBJ16" s="34"/>
      <c r="BBK16" s="34"/>
      <c r="BBL16" s="34"/>
      <c r="BBM16" s="34"/>
      <c r="BBN16" s="34"/>
      <c r="BBO16" s="34"/>
      <c r="BBP16" s="34"/>
      <c r="BBQ16" s="34"/>
      <c r="BBR16" s="34"/>
      <c r="BBS16" s="34"/>
      <c r="BBT16" s="34"/>
      <c r="BBU16" s="34"/>
      <c r="BBV16" s="34"/>
      <c r="BBW16" s="34"/>
      <c r="BBX16" s="34"/>
      <c r="BBY16" s="34"/>
      <c r="BBZ16" s="34"/>
      <c r="BCA16" s="34"/>
      <c r="BCB16" s="34"/>
      <c r="BCC16" s="34"/>
      <c r="BCD16" s="34"/>
      <c r="BCE16" s="34"/>
      <c r="BCF16" s="34"/>
      <c r="BCG16" s="34"/>
      <c r="BCH16" s="34"/>
      <c r="BCI16" s="34"/>
      <c r="BCJ16" s="34"/>
      <c r="BCK16" s="34"/>
      <c r="BCL16" s="34"/>
      <c r="BCM16" s="34"/>
      <c r="BCN16" s="34"/>
      <c r="BCO16" s="34"/>
      <c r="BCP16" s="34"/>
      <c r="BCQ16" s="34"/>
      <c r="BCR16" s="34"/>
      <c r="BCS16" s="34"/>
      <c r="BCT16" s="34"/>
      <c r="BCU16" s="34"/>
      <c r="BCV16" s="34"/>
      <c r="BCW16" s="34"/>
      <c r="BCX16" s="34"/>
      <c r="BCY16" s="34"/>
      <c r="BCZ16" s="34"/>
      <c r="BDA16" s="34"/>
      <c r="BDB16" s="34"/>
      <c r="BDC16" s="34"/>
      <c r="BDD16" s="34"/>
      <c r="BDE16" s="34"/>
      <c r="BDF16" s="34"/>
      <c r="BDG16" s="34"/>
      <c r="BDH16" s="34"/>
      <c r="BDI16" s="34"/>
      <c r="BDJ16" s="34"/>
      <c r="BDK16" s="34"/>
      <c r="BDL16" s="34"/>
      <c r="BDM16" s="34"/>
      <c r="BDN16" s="34"/>
      <c r="BDO16" s="34"/>
      <c r="BDP16" s="34"/>
      <c r="BDQ16" s="34"/>
      <c r="BDR16" s="34"/>
      <c r="BDS16" s="34"/>
      <c r="BDT16" s="34"/>
      <c r="BDU16" s="34"/>
      <c r="BDV16" s="34"/>
      <c r="BDW16" s="34"/>
      <c r="BDX16" s="34"/>
      <c r="BDY16" s="34"/>
      <c r="BDZ16" s="34"/>
      <c r="BEA16" s="34"/>
      <c r="BEB16" s="34"/>
      <c r="BEC16" s="34"/>
      <c r="BED16" s="34"/>
      <c r="BEE16" s="34"/>
      <c r="BEF16" s="34"/>
      <c r="BEG16" s="34"/>
      <c r="BEH16" s="34"/>
      <c r="BEI16" s="34"/>
      <c r="BEJ16" s="34"/>
      <c r="BEK16" s="34"/>
      <c r="BEL16" s="34"/>
      <c r="BEM16" s="34"/>
      <c r="BEN16" s="34"/>
      <c r="BEO16" s="34"/>
      <c r="BEP16" s="34"/>
      <c r="BEQ16" s="34"/>
      <c r="BER16" s="34"/>
      <c r="BES16" s="34"/>
      <c r="BET16" s="34"/>
      <c r="BEU16" s="34"/>
      <c r="BEV16" s="34"/>
      <c r="BEW16" s="34"/>
      <c r="BEX16" s="34"/>
      <c r="BEY16" s="34"/>
      <c r="BEZ16" s="34"/>
      <c r="BFA16" s="34"/>
      <c r="BFB16" s="34"/>
      <c r="BFC16" s="34"/>
      <c r="BFD16" s="34"/>
      <c r="BFE16" s="34"/>
      <c r="BFF16" s="34"/>
      <c r="BFG16" s="34"/>
      <c r="BFH16" s="34"/>
      <c r="BFI16" s="34"/>
      <c r="BFJ16" s="34"/>
      <c r="BFK16" s="34"/>
      <c r="BFL16" s="34"/>
      <c r="BFM16" s="34"/>
      <c r="BFN16" s="34"/>
      <c r="BFO16" s="34"/>
      <c r="BFP16" s="34"/>
      <c r="BFQ16" s="34"/>
      <c r="BFR16" s="34"/>
      <c r="BFS16" s="34"/>
      <c r="BFT16" s="34"/>
      <c r="BFU16" s="34"/>
      <c r="BFV16" s="34"/>
      <c r="BFW16" s="34"/>
      <c r="BFX16" s="34"/>
      <c r="BFY16" s="34"/>
      <c r="BFZ16" s="34"/>
      <c r="BGA16" s="34"/>
      <c r="BGB16" s="34"/>
      <c r="BGC16" s="34"/>
      <c r="BGD16" s="34"/>
      <c r="BGE16" s="34"/>
      <c r="BGF16" s="34"/>
      <c r="BGG16" s="34"/>
      <c r="BGH16" s="34"/>
      <c r="BGI16" s="34"/>
      <c r="BGJ16" s="34"/>
      <c r="BGK16" s="34"/>
      <c r="BGL16" s="34"/>
      <c r="BGM16" s="34"/>
      <c r="BGN16" s="34"/>
      <c r="BGO16" s="34"/>
      <c r="BGP16" s="34"/>
      <c r="BGQ16" s="34"/>
      <c r="BGR16" s="34"/>
      <c r="BGS16" s="34"/>
      <c r="BGT16" s="34"/>
      <c r="BGU16" s="34"/>
      <c r="BGV16" s="34"/>
      <c r="BGW16" s="34"/>
      <c r="BGX16" s="34"/>
      <c r="BGY16" s="34"/>
      <c r="BGZ16" s="34"/>
      <c r="BHA16" s="34"/>
      <c r="BHB16" s="34"/>
      <c r="BHC16" s="34"/>
      <c r="BHD16" s="34"/>
      <c r="BHE16" s="34"/>
      <c r="BHF16" s="34"/>
      <c r="BHG16" s="34"/>
      <c r="BHH16" s="34"/>
      <c r="BHI16" s="34"/>
      <c r="BHJ16" s="34"/>
      <c r="BHK16" s="34"/>
      <c r="BHL16" s="34"/>
      <c r="BHM16" s="34"/>
      <c r="BHN16" s="34"/>
      <c r="BHO16" s="34"/>
      <c r="BHP16" s="34"/>
      <c r="BHQ16" s="34"/>
      <c r="BHR16" s="34"/>
      <c r="BHS16" s="34"/>
      <c r="BHT16" s="34"/>
      <c r="BHU16" s="34"/>
      <c r="BHV16" s="34"/>
      <c r="BHW16" s="34"/>
      <c r="BHX16" s="34"/>
      <c r="BHY16" s="34"/>
      <c r="BHZ16" s="34"/>
      <c r="BIA16" s="34"/>
      <c r="BIB16" s="34"/>
      <c r="BIC16" s="34"/>
      <c r="BID16" s="34"/>
      <c r="BIE16" s="34"/>
      <c r="BIF16" s="34"/>
      <c r="BIG16" s="34"/>
      <c r="BIH16" s="34"/>
      <c r="BII16" s="34"/>
      <c r="BIJ16" s="34"/>
      <c r="BIK16" s="34"/>
      <c r="BIL16" s="34"/>
      <c r="BIM16" s="34"/>
      <c r="BIN16" s="34"/>
      <c r="BIO16" s="34"/>
      <c r="BIP16" s="34"/>
      <c r="BIQ16" s="34"/>
      <c r="BIR16" s="34"/>
      <c r="BIS16" s="34"/>
      <c r="BIT16" s="34"/>
      <c r="BIU16" s="34"/>
      <c r="BIV16" s="34"/>
      <c r="BIW16" s="34"/>
      <c r="BIX16" s="34"/>
      <c r="BIY16" s="34"/>
      <c r="BIZ16" s="34"/>
      <c r="BJA16" s="34"/>
      <c r="BJB16" s="34"/>
      <c r="BJC16" s="34"/>
      <c r="BJD16" s="34"/>
      <c r="BJE16" s="34"/>
      <c r="BJF16" s="34"/>
      <c r="BJG16" s="34"/>
      <c r="BJH16" s="34"/>
      <c r="BJI16" s="34"/>
      <c r="BJJ16" s="34"/>
      <c r="BJK16" s="34"/>
      <c r="BJL16" s="34"/>
      <c r="BJM16" s="34"/>
      <c r="BJN16" s="34"/>
      <c r="BJO16" s="34"/>
      <c r="BJP16" s="34"/>
      <c r="BJQ16" s="34"/>
      <c r="BJR16" s="34"/>
      <c r="BJS16" s="34"/>
      <c r="BJT16" s="34"/>
      <c r="BJU16" s="34"/>
      <c r="BJV16" s="34"/>
      <c r="BJW16" s="34"/>
      <c r="BJX16" s="34"/>
      <c r="BJY16" s="34"/>
      <c r="BJZ16" s="34"/>
      <c r="BKA16" s="34"/>
      <c r="BKB16" s="34"/>
      <c r="BKC16" s="34"/>
      <c r="BKD16" s="34"/>
      <c r="BKE16" s="34"/>
      <c r="BKF16" s="34"/>
      <c r="BKG16" s="34"/>
      <c r="BKH16" s="34"/>
      <c r="BKI16" s="34"/>
      <c r="BKJ16" s="34"/>
      <c r="BKK16" s="34"/>
      <c r="BKL16" s="34"/>
      <c r="BKM16" s="34"/>
      <c r="BKN16" s="34"/>
      <c r="BKO16" s="34"/>
      <c r="BKP16" s="34"/>
      <c r="BKQ16" s="34"/>
      <c r="BKR16" s="34"/>
      <c r="BKS16" s="34"/>
      <c r="BKT16" s="34"/>
      <c r="BKU16" s="34"/>
      <c r="BKV16" s="34"/>
      <c r="BKW16" s="34"/>
      <c r="BKX16" s="34"/>
      <c r="BKY16" s="34"/>
      <c r="BKZ16" s="34"/>
      <c r="BLA16" s="34"/>
      <c r="BLB16" s="34"/>
      <c r="BLC16" s="34"/>
      <c r="BLD16" s="34"/>
      <c r="BLE16" s="34"/>
      <c r="BLF16" s="34"/>
      <c r="BLG16" s="34"/>
      <c r="BLH16" s="34"/>
      <c r="BLI16" s="34"/>
      <c r="BLJ16" s="34"/>
      <c r="BLK16" s="34"/>
      <c r="BLL16" s="34"/>
      <c r="BLM16" s="34"/>
      <c r="BLN16" s="34"/>
      <c r="BLO16" s="34"/>
      <c r="BLP16" s="34"/>
      <c r="BLQ16" s="34"/>
      <c r="BLR16" s="34"/>
      <c r="BLS16" s="34"/>
      <c r="BLT16" s="34"/>
      <c r="BLU16" s="34"/>
      <c r="BLV16" s="34"/>
      <c r="BLW16" s="34"/>
      <c r="BLX16" s="34"/>
      <c r="BLY16" s="34"/>
      <c r="BLZ16" s="34"/>
      <c r="BMA16" s="34"/>
      <c r="BMB16" s="34"/>
      <c r="BMC16" s="34"/>
      <c r="BMD16" s="34"/>
      <c r="BME16" s="34"/>
      <c r="BMF16" s="34"/>
      <c r="BMG16" s="34"/>
      <c r="BMH16" s="34"/>
      <c r="BMI16" s="34"/>
      <c r="BMJ16" s="34"/>
      <c r="BMK16" s="34"/>
      <c r="BML16" s="34"/>
      <c r="BMM16" s="34"/>
      <c r="BMN16" s="34"/>
      <c r="BMO16" s="34"/>
      <c r="BMP16" s="34"/>
      <c r="BMQ16" s="34"/>
      <c r="BMR16" s="34"/>
      <c r="BMS16" s="34"/>
      <c r="BMT16" s="34"/>
      <c r="BMU16" s="34"/>
      <c r="BMV16" s="34"/>
      <c r="BMW16" s="34"/>
      <c r="BMX16" s="34"/>
      <c r="BMY16" s="34"/>
      <c r="BMZ16" s="34"/>
      <c r="BNA16" s="34"/>
      <c r="BNB16" s="34"/>
      <c r="BNC16" s="34"/>
      <c r="BND16" s="34"/>
      <c r="BNE16" s="34"/>
      <c r="BNF16" s="34"/>
      <c r="BNG16" s="34"/>
      <c r="BNH16" s="34"/>
      <c r="BNI16" s="34"/>
      <c r="BNJ16" s="34"/>
      <c r="BNK16" s="34"/>
      <c r="BNL16" s="34"/>
      <c r="BNM16" s="34"/>
      <c r="BNN16" s="34"/>
      <c r="BNO16" s="34"/>
      <c r="BNP16" s="34"/>
      <c r="BNQ16" s="34"/>
      <c r="BNR16" s="34"/>
      <c r="BNS16" s="34"/>
      <c r="BNT16" s="34"/>
      <c r="BNU16" s="34"/>
      <c r="BNV16" s="34"/>
      <c r="BNW16" s="34"/>
      <c r="BNX16" s="34"/>
      <c r="BNY16" s="34"/>
      <c r="BNZ16" s="34"/>
      <c r="BOA16" s="34"/>
      <c r="BOB16" s="34"/>
      <c r="BOC16" s="34"/>
      <c r="BOD16" s="34"/>
      <c r="BOE16" s="34"/>
      <c r="BOF16" s="34"/>
      <c r="BOG16" s="34"/>
      <c r="BOH16" s="34"/>
      <c r="BOI16" s="34"/>
      <c r="BOJ16" s="34"/>
      <c r="BOK16" s="34"/>
      <c r="BOL16" s="34"/>
      <c r="BOM16" s="34"/>
      <c r="BON16" s="34"/>
      <c r="BOO16" s="34"/>
      <c r="BOP16" s="34"/>
      <c r="BOQ16" s="34"/>
      <c r="BOR16" s="34"/>
      <c r="BOS16" s="34"/>
      <c r="BOT16" s="34"/>
      <c r="BOU16" s="34"/>
      <c r="BOV16" s="34"/>
      <c r="BOW16" s="34"/>
      <c r="BOX16" s="34"/>
      <c r="BOY16" s="34"/>
      <c r="BOZ16" s="34"/>
      <c r="BPA16" s="34"/>
      <c r="BPB16" s="34"/>
      <c r="BPC16" s="34"/>
      <c r="BPD16" s="34"/>
      <c r="BPE16" s="34"/>
      <c r="BPF16" s="34"/>
      <c r="BPG16" s="34"/>
      <c r="BPH16" s="34"/>
      <c r="BPI16" s="34"/>
      <c r="BPJ16" s="34"/>
      <c r="BPK16" s="34"/>
      <c r="BPL16" s="34"/>
      <c r="BPM16" s="34"/>
      <c r="BPN16" s="34"/>
      <c r="BPO16" s="34"/>
      <c r="BPP16" s="34"/>
      <c r="BPQ16" s="34"/>
      <c r="BPR16" s="34"/>
      <c r="BPS16" s="34"/>
      <c r="BPT16" s="34"/>
      <c r="BPU16" s="34"/>
      <c r="BPV16" s="34"/>
      <c r="BPW16" s="34"/>
      <c r="BPX16" s="34"/>
      <c r="BPY16" s="34"/>
      <c r="BPZ16" s="34"/>
      <c r="BQA16" s="34"/>
      <c r="BQB16" s="34"/>
      <c r="BQC16" s="34"/>
      <c r="BQD16" s="34"/>
      <c r="BQE16" s="34"/>
      <c r="BQF16" s="34"/>
      <c r="BQG16" s="34"/>
      <c r="BQH16" s="34"/>
      <c r="BQI16" s="34"/>
      <c r="BQJ16" s="34"/>
      <c r="BQK16" s="34"/>
      <c r="BQL16" s="34"/>
      <c r="BQM16" s="34"/>
      <c r="BQN16" s="34"/>
      <c r="BQO16" s="34"/>
      <c r="BQP16" s="34"/>
      <c r="BQQ16" s="34"/>
      <c r="BQR16" s="34"/>
      <c r="BQS16" s="34"/>
      <c r="BQT16" s="34"/>
      <c r="BQU16" s="34"/>
      <c r="BQV16" s="34"/>
      <c r="BQW16" s="34"/>
      <c r="BQX16" s="34"/>
      <c r="BQY16" s="34"/>
      <c r="BQZ16" s="34"/>
      <c r="BRA16" s="34"/>
      <c r="BRB16" s="34"/>
      <c r="BRC16" s="34"/>
      <c r="BRD16" s="34"/>
      <c r="BRE16" s="34"/>
      <c r="BRF16" s="34"/>
      <c r="BRG16" s="34"/>
      <c r="BRH16" s="34"/>
      <c r="BRI16" s="34"/>
      <c r="BRJ16" s="34"/>
      <c r="BRK16" s="34"/>
      <c r="BRL16" s="34"/>
      <c r="BRM16" s="34"/>
      <c r="BRN16" s="34"/>
      <c r="BRO16" s="34"/>
      <c r="BRP16" s="34"/>
      <c r="BRQ16" s="34"/>
      <c r="BRR16" s="34"/>
      <c r="BRS16" s="34"/>
      <c r="BRT16" s="34"/>
      <c r="BRU16" s="34"/>
      <c r="BRV16" s="34"/>
      <c r="BRW16" s="34"/>
      <c r="BRX16" s="34"/>
      <c r="BRY16" s="34"/>
      <c r="BRZ16" s="34"/>
      <c r="BSA16" s="34"/>
      <c r="BSB16" s="34"/>
      <c r="BSC16" s="34"/>
      <c r="BSD16" s="34"/>
      <c r="BSE16" s="34"/>
      <c r="BSF16" s="34"/>
      <c r="BSG16" s="34"/>
      <c r="BSH16" s="34"/>
      <c r="BSI16" s="34"/>
      <c r="BSJ16" s="34"/>
      <c r="BSK16" s="34"/>
      <c r="BSL16" s="34"/>
      <c r="BSM16" s="34"/>
      <c r="BSN16" s="34"/>
      <c r="BSO16" s="34"/>
      <c r="BSP16" s="34"/>
      <c r="BSQ16" s="34"/>
      <c r="BSR16" s="34"/>
      <c r="BSS16" s="34"/>
      <c r="BST16" s="34"/>
      <c r="BSU16" s="34"/>
      <c r="BSV16" s="34"/>
      <c r="BSW16" s="34"/>
      <c r="BSX16" s="34"/>
      <c r="BSY16" s="34"/>
      <c r="BSZ16" s="34"/>
      <c r="BTA16" s="34"/>
      <c r="BTB16" s="34"/>
      <c r="BTC16" s="34"/>
      <c r="BTD16" s="34"/>
      <c r="BTE16" s="34"/>
      <c r="BTF16" s="34"/>
      <c r="BTG16" s="34"/>
      <c r="BTH16" s="34"/>
      <c r="BTI16" s="34"/>
      <c r="BTJ16" s="34"/>
      <c r="BTK16" s="34"/>
      <c r="BTL16" s="34"/>
      <c r="BTM16" s="34"/>
      <c r="BTN16" s="34"/>
      <c r="BTO16" s="34"/>
      <c r="BTP16" s="34"/>
      <c r="BTQ16" s="34"/>
      <c r="BTR16" s="34"/>
      <c r="BTS16" s="34"/>
      <c r="BTT16" s="34"/>
      <c r="BTU16" s="34"/>
      <c r="BTV16" s="34"/>
      <c r="BTW16" s="34"/>
      <c r="BTX16" s="34"/>
      <c r="BTY16" s="34"/>
      <c r="BTZ16" s="34"/>
      <c r="BUA16" s="34"/>
      <c r="BUB16" s="34"/>
      <c r="BUC16" s="34"/>
      <c r="BUD16" s="34"/>
      <c r="BUE16" s="34"/>
      <c r="BUF16" s="34"/>
      <c r="BUG16" s="34"/>
      <c r="BUH16" s="34"/>
      <c r="BUI16" s="34"/>
      <c r="BUJ16" s="34"/>
      <c r="BUK16" s="34"/>
      <c r="BUL16" s="34"/>
      <c r="BUM16" s="34"/>
      <c r="BUN16" s="34"/>
      <c r="BUO16" s="34"/>
      <c r="BUP16" s="34"/>
      <c r="BUQ16" s="34"/>
      <c r="BUR16" s="34"/>
      <c r="BUS16" s="34"/>
      <c r="BUT16" s="34"/>
      <c r="BUU16" s="34"/>
      <c r="BUV16" s="34"/>
      <c r="BUW16" s="34"/>
      <c r="BUX16" s="34"/>
      <c r="BUY16" s="34"/>
      <c r="BUZ16" s="34"/>
      <c r="BVA16" s="34"/>
      <c r="BVB16" s="34"/>
      <c r="BVC16" s="34"/>
      <c r="BVD16" s="34"/>
      <c r="BVE16" s="34"/>
      <c r="BVF16" s="34"/>
      <c r="BVG16" s="34"/>
      <c r="BVH16" s="34"/>
      <c r="BVI16" s="34"/>
      <c r="BVJ16" s="34"/>
      <c r="BVK16" s="34"/>
      <c r="BVL16" s="34"/>
      <c r="BVM16" s="34"/>
      <c r="BVN16" s="34"/>
      <c r="BVO16" s="34"/>
      <c r="BVP16" s="34"/>
      <c r="BVQ16" s="34"/>
      <c r="BVR16" s="34"/>
      <c r="BVS16" s="34"/>
      <c r="BVT16" s="34"/>
      <c r="BVU16" s="34"/>
      <c r="BVV16" s="34"/>
      <c r="BVW16" s="34"/>
      <c r="BVX16" s="34"/>
      <c r="BVY16" s="34"/>
      <c r="BVZ16" s="34"/>
      <c r="BWA16" s="34"/>
      <c r="BWB16" s="34"/>
      <c r="BWC16" s="34"/>
      <c r="BWD16" s="34"/>
      <c r="BWE16" s="34"/>
      <c r="BWF16" s="34"/>
      <c r="BWG16" s="34"/>
      <c r="BWH16" s="34"/>
      <c r="BWI16" s="34"/>
      <c r="BWJ16" s="34"/>
      <c r="BWK16" s="34"/>
      <c r="BWL16" s="34"/>
      <c r="BWM16" s="34"/>
      <c r="BWN16" s="34"/>
      <c r="BWO16" s="34"/>
      <c r="BWP16" s="34"/>
      <c r="BWQ16" s="34"/>
      <c r="BWR16" s="34"/>
      <c r="BWS16" s="34"/>
      <c r="BWT16" s="34"/>
      <c r="BWU16" s="34"/>
      <c r="BWV16" s="34"/>
      <c r="BWW16" s="34"/>
      <c r="BWX16" s="34"/>
      <c r="BWY16" s="34"/>
      <c r="BWZ16" s="34"/>
      <c r="BXA16" s="34"/>
      <c r="BXB16" s="34"/>
      <c r="BXC16" s="34"/>
      <c r="BXD16" s="34"/>
      <c r="BXE16" s="34"/>
      <c r="BXF16" s="34"/>
      <c r="BXG16" s="34"/>
      <c r="BXH16" s="34"/>
      <c r="BXI16" s="34"/>
      <c r="BXJ16" s="34"/>
      <c r="BXK16" s="34"/>
      <c r="BXL16" s="34"/>
      <c r="BXM16" s="34"/>
      <c r="BXN16" s="34"/>
      <c r="BXO16" s="34"/>
      <c r="BXP16" s="34"/>
      <c r="BXQ16" s="34"/>
      <c r="BXR16" s="34"/>
      <c r="BXS16" s="34"/>
      <c r="BXT16" s="34"/>
      <c r="BXU16" s="34"/>
      <c r="BXV16" s="34"/>
      <c r="BXW16" s="34"/>
      <c r="BXX16" s="34"/>
      <c r="BXY16" s="34"/>
      <c r="BXZ16" s="34"/>
      <c r="BYA16" s="34"/>
      <c r="BYB16" s="34"/>
      <c r="BYC16" s="34"/>
      <c r="BYD16" s="34"/>
      <c r="BYE16" s="34"/>
      <c r="BYF16" s="34"/>
      <c r="BYG16" s="34"/>
      <c r="BYH16" s="34"/>
      <c r="BYI16" s="34"/>
      <c r="BYJ16" s="34"/>
      <c r="BYK16" s="34"/>
      <c r="BYL16" s="34"/>
      <c r="BYM16" s="34"/>
      <c r="BYN16" s="34"/>
      <c r="BYO16" s="34"/>
      <c r="BYP16" s="34"/>
      <c r="BYQ16" s="34"/>
      <c r="BYR16" s="34"/>
      <c r="BYS16" s="34"/>
      <c r="BYT16" s="34"/>
      <c r="BYU16" s="34"/>
      <c r="BYV16" s="34"/>
      <c r="BYW16" s="34"/>
      <c r="BYX16" s="34"/>
      <c r="BYY16" s="34"/>
      <c r="BYZ16" s="34"/>
      <c r="BZA16" s="34"/>
      <c r="BZB16" s="34"/>
      <c r="BZC16" s="34"/>
      <c r="BZD16" s="34"/>
      <c r="BZE16" s="34"/>
      <c r="BZF16" s="34"/>
      <c r="BZG16" s="34"/>
      <c r="BZH16" s="34"/>
      <c r="BZI16" s="34"/>
      <c r="BZJ16" s="34"/>
      <c r="BZK16" s="34"/>
      <c r="BZL16" s="34"/>
      <c r="BZM16" s="34"/>
      <c r="BZN16" s="34"/>
      <c r="BZO16" s="34"/>
      <c r="BZP16" s="34"/>
      <c r="BZQ16" s="34"/>
      <c r="BZR16" s="34"/>
      <c r="BZS16" s="34"/>
      <c r="BZT16" s="34"/>
      <c r="BZU16" s="34"/>
      <c r="BZV16" s="34"/>
      <c r="BZW16" s="34"/>
      <c r="BZX16" s="34"/>
      <c r="BZY16" s="34"/>
      <c r="BZZ16" s="34"/>
      <c r="CAA16" s="34"/>
      <c r="CAB16" s="34"/>
      <c r="CAC16" s="34"/>
      <c r="CAD16" s="34"/>
      <c r="CAE16" s="34"/>
      <c r="CAF16" s="34"/>
      <c r="CAG16" s="34"/>
      <c r="CAH16" s="34"/>
      <c r="CAI16" s="34"/>
      <c r="CAJ16" s="34"/>
      <c r="CAK16" s="34"/>
      <c r="CAL16" s="34"/>
      <c r="CAM16" s="34"/>
      <c r="CAN16" s="34"/>
      <c r="CAO16" s="34"/>
      <c r="CAP16" s="34"/>
      <c r="CAQ16" s="34"/>
      <c r="CAR16" s="34"/>
      <c r="CAS16" s="34"/>
      <c r="CAT16" s="34"/>
      <c r="CAU16" s="34"/>
      <c r="CAV16" s="34"/>
      <c r="CAW16" s="34"/>
      <c r="CAX16" s="34"/>
      <c r="CAY16" s="34"/>
      <c r="CAZ16" s="34"/>
      <c r="CBA16" s="34"/>
      <c r="CBB16" s="34"/>
      <c r="CBC16" s="34"/>
      <c r="CBD16" s="34"/>
      <c r="CBE16" s="34"/>
      <c r="CBF16" s="34"/>
      <c r="CBG16" s="34"/>
      <c r="CBH16" s="34"/>
      <c r="CBI16" s="34"/>
      <c r="CBJ16" s="34"/>
      <c r="CBK16" s="34"/>
      <c r="CBL16" s="34"/>
      <c r="CBM16" s="34"/>
      <c r="CBN16" s="34"/>
      <c r="CBO16" s="34"/>
      <c r="CBP16" s="34"/>
      <c r="CBQ16" s="34"/>
      <c r="CBR16" s="34"/>
      <c r="CBS16" s="34"/>
      <c r="CBT16" s="34"/>
      <c r="CBU16" s="34"/>
      <c r="CBV16" s="34"/>
      <c r="CBW16" s="34"/>
      <c r="CBX16" s="34"/>
      <c r="CBY16" s="34"/>
      <c r="CBZ16" s="34"/>
      <c r="CCA16" s="34"/>
      <c r="CCB16" s="34"/>
      <c r="CCC16" s="34"/>
      <c r="CCD16" s="34"/>
      <c r="CCE16" s="34"/>
      <c r="CCF16" s="34"/>
      <c r="CCG16" s="34"/>
      <c r="CCH16" s="34"/>
      <c r="CCI16" s="34"/>
      <c r="CCJ16" s="34"/>
      <c r="CCK16" s="34"/>
      <c r="CCL16" s="34"/>
      <c r="CCM16" s="34"/>
      <c r="CCN16" s="34"/>
      <c r="CCO16" s="34"/>
      <c r="CCP16" s="34"/>
      <c r="CCQ16" s="34"/>
      <c r="CCR16" s="34"/>
      <c r="CCS16" s="34"/>
      <c r="CCT16" s="34"/>
      <c r="CCU16" s="34"/>
      <c r="CCV16" s="34"/>
      <c r="CCW16" s="34"/>
      <c r="CCX16" s="34"/>
      <c r="CCY16" s="34"/>
      <c r="CCZ16" s="34"/>
      <c r="CDA16" s="34"/>
      <c r="CDB16" s="34"/>
      <c r="CDC16" s="34"/>
      <c r="CDD16" s="34"/>
      <c r="CDE16" s="34"/>
      <c r="CDF16" s="34"/>
      <c r="CDG16" s="34"/>
      <c r="CDH16" s="34"/>
      <c r="CDI16" s="34"/>
      <c r="CDJ16" s="34"/>
      <c r="CDK16" s="34"/>
      <c r="CDL16" s="34"/>
      <c r="CDM16" s="34"/>
      <c r="CDN16" s="34"/>
      <c r="CDO16" s="34"/>
      <c r="CDP16" s="34"/>
      <c r="CDQ16" s="34"/>
      <c r="CDR16" s="34"/>
      <c r="CDS16" s="34"/>
      <c r="CDT16" s="34"/>
      <c r="CDU16" s="34"/>
      <c r="CDV16" s="34"/>
      <c r="CDW16" s="34"/>
      <c r="CDX16" s="34"/>
      <c r="CDY16" s="34"/>
      <c r="CDZ16" s="34"/>
      <c r="CEA16" s="34"/>
      <c r="CEB16" s="34"/>
      <c r="CEC16" s="34"/>
      <c r="CED16" s="34"/>
      <c r="CEE16" s="34"/>
      <c r="CEF16" s="34"/>
      <c r="CEG16" s="34"/>
      <c r="CEH16" s="34"/>
      <c r="CEI16" s="34"/>
      <c r="CEJ16" s="34"/>
      <c r="CEK16" s="34"/>
      <c r="CEL16" s="34"/>
      <c r="CEM16" s="34"/>
      <c r="CEN16" s="34"/>
      <c r="CEO16" s="34"/>
      <c r="CEP16" s="34"/>
      <c r="CEQ16" s="34"/>
      <c r="CER16" s="34"/>
      <c r="CES16" s="34"/>
      <c r="CET16" s="34"/>
      <c r="CEU16" s="34"/>
      <c r="CEV16" s="34"/>
      <c r="CEW16" s="34"/>
      <c r="CEX16" s="34"/>
      <c r="CEY16" s="34"/>
      <c r="CEZ16" s="34"/>
      <c r="CFA16" s="34"/>
      <c r="CFB16" s="34"/>
      <c r="CFC16" s="34"/>
      <c r="CFD16" s="34"/>
      <c r="CFE16" s="34"/>
      <c r="CFF16" s="34"/>
      <c r="CFG16" s="34"/>
      <c r="CFH16" s="34"/>
      <c r="CFI16" s="34"/>
      <c r="CFJ16" s="34"/>
      <c r="CFK16" s="34"/>
      <c r="CFL16" s="34"/>
      <c r="CFM16" s="34"/>
      <c r="CFN16" s="34"/>
      <c r="CFO16" s="34"/>
      <c r="CFP16" s="34"/>
      <c r="CFQ16" s="34"/>
      <c r="CFR16" s="34"/>
      <c r="CFS16" s="34"/>
      <c r="CFT16" s="34"/>
      <c r="CFU16" s="34"/>
      <c r="CFV16" s="34"/>
      <c r="CFW16" s="34"/>
      <c r="CFX16" s="34"/>
      <c r="CFY16" s="34"/>
      <c r="CFZ16" s="34"/>
      <c r="CGA16" s="34"/>
      <c r="CGB16" s="34"/>
      <c r="CGC16" s="34"/>
      <c r="CGD16" s="34"/>
      <c r="CGE16" s="34"/>
      <c r="CGF16" s="34"/>
      <c r="CGG16" s="34"/>
      <c r="CGH16" s="34"/>
      <c r="CGI16" s="34"/>
      <c r="CGJ16" s="34"/>
      <c r="CGK16" s="34"/>
      <c r="CGL16" s="34"/>
      <c r="CGM16" s="34"/>
      <c r="CGN16" s="34"/>
      <c r="CGO16" s="34"/>
      <c r="CGP16" s="34"/>
      <c r="CGQ16" s="34"/>
      <c r="CGR16" s="34"/>
      <c r="CGS16" s="34"/>
      <c r="CGT16" s="34"/>
      <c r="CGU16" s="34"/>
      <c r="CGV16" s="34"/>
      <c r="CGW16" s="34"/>
      <c r="CGX16" s="34"/>
      <c r="CGY16" s="34"/>
      <c r="CGZ16" s="34"/>
      <c r="CHA16" s="34"/>
      <c r="CHB16" s="34"/>
      <c r="CHC16" s="34"/>
      <c r="CHD16" s="34"/>
      <c r="CHE16" s="34"/>
      <c r="CHF16" s="34"/>
      <c r="CHG16" s="34"/>
      <c r="CHH16" s="34"/>
      <c r="CHI16" s="34"/>
      <c r="CHJ16" s="34"/>
      <c r="CHK16" s="34"/>
      <c r="CHL16" s="34"/>
      <c r="CHM16" s="34"/>
      <c r="CHN16" s="34"/>
      <c r="CHO16" s="34"/>
      <c r="CHP16" s="34"/>
      <c r="CHQ16" s="34"/>
      <c r="CHR16" s="34"/>
      <c r="CHS16" s="34"/>
      <c r="CHT16" s="34"/>
      <c r="CHU16" s="34"/>
      <c r="CHV16" s="34"/>
      <c r="CHW16" s="34"/>
      <c r="CHX16" s="34"/>
      <c r="CHY16" s="34"/>
      <c r="CHZ16" s="34"/>
      <c r="CIA16" s="34"/>
      <c r="CIB16" s="34"/>
      <c r="CIC16" s="34"/>
      <c r="CID16" s="34"/>
      <c r="CIE16" s="34"/>
      <c r="CIF16" s="34"/>
      <c r="CIG16" s="34"/>
      <c r="CIH16" s="34"/>
      <c r="CII16" s="34"/>
      <c r="CIJ16" s="34"/>
      <c r="CIK16" s="34"/>
      <c r="CIL16" s="34"/>
      <c r="CIM16" s="34"/>
      <c r="CIN16" s="34"/>
      <c r="CIO16" s="34"/>
      <c r="CIP16" s="34"/>
      <c r="CIQ16" s="34"/>
      <c r="CIR16" s="34"/>
      <c r="CIS16" s="34"/>
      <c r="CIT16" s="34"/>
      <c r="CIU16" s="34"/>
      <c r="CIV16" s="34"/>
      <c r="CIW16" s="34"/>
      <c r="CIX16" s="34"/>
      <c r="CIY16" s="34"/>
      <c r="CIZ16" s="34"/>
      <c r="CJA16" s="34"/>
      <c r="CJB16" s="34"/>
      <c r="CJC16" s="34"/>
      <c r="CJD16" s="34"/>
      <c r="CJE16" s="34"/>
      <c r="CJF16" s="34"/>
      <c r="CJG16" s="34"/>
      <c r="CJH16" s="34"/>
      <c r="CJI16" s="34"/>
      <c r="CJJ16" s="34"/>
      <c r="CJK16" s="34"/>
      <c r="CJL16" s="34"/>
      <c r="CJM16" s="34"/>
      <c r="CJN16" s="34"/>
      <c r="CJO16" s="34"/>
      <c r="CJP16" s="34"/>
      <c r="CJQ16" s="34"/>
      <c r="CJR16" s="34"/>
      <c r="CJS16" s="34"/>
      <c r="CJT16" s="34"/>
      <c r="CJU16" s="34"/>
      <c r="CJV16" s="34"/>
      <c r="CJW16" s="34"/>
      <c r="CJX16" s="34"/>
      <c r="CJY16" s="34"/>
      <c r="CJZ16" s="34"/>
      <c r="CKA16" s="34"/>
      <c r="CKB16" s="34"/>
      <c r="CKC16" s="34"/>
      <c r="CKD16" s="34"/>
      <c r="CKE16" s="34"/>
      <c r="CKF16" s="34"/>
      <c r="CKG16" s="34"/>
      <c r="CKH16" s="34"/>
      <c r="CKI16" s="34"/>
      <c r="CKJ16" s="34"/>
      <c r="CKK16" s="34"/>
      <c r="CKL16" s="34"/>
      <c r="CKM16" s="34"/>
      <c r="CKN16" s="34"/>
      <c r="CKO16" s="34"/>
      <c r="CKP16" s="34"/>
      <c r="CKQ16" s="34"/>
      <c r="CKR16" s="34"/>
      <c r="CKS16" s="34"/>
      <c r="CKT16" s="34"/>
      <c r="CKU16" s="34"/>
      <c r="CKV16" s="34"/>
      <c r="CKW16" s="34"/>
      <c r="CKX16" s="34"/>
      <c r="CKY16" s="34"/>
      <c r="CKZ16" s="34"/>
      <c r="CLA16" s="34"/>
      <c r="CLB16" s="34"/>
      <c r="CLC16" s="34"/>
      <c r="CLD16" s="34"/>
      <c r="CLE16" s="34"/>
      <c r="CLF16" s="34"/>
      <c r="CLG16" s="34"/>
      <c r="CLH16" s="34"/>
      <c r="CLI16" s="34"/>
      <c r="CLJ16" s="34"/>
      <c r="CLK16" s="34"/>
      <c r="CLL16" s="34"/>
      <c r="CLM16" s="34"/>
      <c r="CLN16" s="34"/>
      <c r="CLO16" s="34"/>
      <c r="CLP16" s="34"/>
      <c r="CLQ16" s="34"/>
      <c r="CLR16" s="34"/>
      <c r="CLS16" s="34"/>
      <c r="CLT16" s="34"/>
      <c r="CLU16" s="34"/>
      <c r="CLV16" s="34"/>
      <c r="CLW16" s="34"/>
      <c r="CLX16" s="34"/>
      <c r="CLY16" s="34"/>
      <c r="CLZ16" s="34"/>
      <c r="CMA16" s="34"/>
      <c r="CMB16" s="34"/>
      <c r="CMC16" s="34"/>
      <c r="CMD16" s="34"/>
      <c r="CME16" s="34"/>
      <c r="CMF16" s="34"/>
      <c r="CMG16" s="34"/>
      <c r="CMH16" s="34"/>
      <c r="CMI16" s="34"/>
      <c r="CMJ16" s="34"/>
      <c r="CMK16" s="34"/>
      <c r="CML16" s="34"/>
      <c r="CMM16" s="34"/>
      <c r="CMN16" s="34"/>
      <c r="CMO16" s="34"/>
      <c r="CMP16" s="34"/>
      <c r="CMQ16" s="34"/>
      <c r="CMR16" s="34"/>
      <c r="CMS16" s="34"/>
      <c r="CMT16" s="34"/>
      <c r="CMU16" s="34"/>
      <c r="CMV16" s="34"/>
      <c r="CMW16" s="34"/>
      <c r="CMX16" s="34"/>
      <c r="CMY16" s="34"/>
      <c r="CMZ16" s="34"/>
      <c r="CNA16" s="34"/>
      <c r="CNB16" s="34"/>
      <c r="CNC16" s="34"/>
      <c r="CND16" s="34"/>
      <c r="CNE16" s="34"/>
      <c r="CNF16" s="34"/>
      <c r="CNG16" s="34"/>
      <c r="CNH16" s="34"/>
      <c r="CNI16" s="34"/>
      <c r="CNJ16" s="34"/>
      <c r="CNK16" s="34"/>
      <c r="CNL16" s="34"/>
      <c r="CNM16" s="34"/>
      <c r="CNN16" s="34"/>
      <c r="CNO16" s="34"/>
      <c r="CNP16" s="34"/>
      <c r="CNQ16" s="34"/>
      <c r="CNR16" s="34"/>
      <c r="CNS16" s="34"/>
      <c r="CNT16" s="34"/>
      <c r="CNU16" s="34"/>
      <c r="CNV16" s="34"/>
      <c r="CNW16" s="34"/>
      <c r="CNX16" s="34"/>
      <c r="CNY16" s="34"/>
      <c r="CNZ16" s="34"/>
      <c r="COA16" s="34"/>
      <c r="COB16" s="34"/>
      <c r="COC16" s="34"/>
      <c r="COD16" s="34"/>
      <c r="COE16" s="34"/>
      <c r="COF16" s="34"/>
      <c r="COG16" s="34"/>
      <c r="COH16" s="34"/>
      <c r="COI16" s="34"/>
      <c r="COJ16" s="34"/>
      <c r="COK16" s="34"/>
      <c r="COL16" s="34"/>
      <c r="COM16" s="34"/>
      <c r="CON16" s="34"/>
      <c r="COO16" s="34"/>
      <c r="COP16" s="34"/>
      <c r="COQ16" s="34"/>
      <c r="COR16" s="34"/>
      <c r="COS16" s="34"/>
      <c r="COT16" s="34"/>
      <c r="COU16" s="34"/>
      <c r="COV16" s="34"/>
      <c r="COW16" s="34"/>
      <c r="COX16" s="34"/>
      <c r="COY16" s="34"/>
      <c r="COZ16" s="34"/>
      <c r="CPA16" s="34"/>
      <c r="CPB16" s="34"/>
      <c r="CPC16" s="34"/>
      <c r="CPD16" s="34"/>
      <c r="CPE16" s="34"/>
      <c r="CPF16" s="34"/>
      <c r="CPG16" s="34"/>
      <c r="CPH16" s="34"/>
      <c r="CPI16" s="34"/>
      <c r="CPJ16" s="34"/>
      <c r="CPK16" s="34"/>
      <c r="CPL16" s="34"/>
      <c r="CPM16" s="34"/>
      <c r="CPN16" s="34"/>
      <c r="CPO16" s="34"/>
      <c r="CPP16" s="34"/>
      <c r="CPQ16" s="34"/>
      <c r="CPR16" s="34"/>
      <c r="CPS16" s="34"/>
      <c r="CPT16" s="34"/>
      <c r="CPU16" s="34"/>
      <c r="CPV16" s="34"/>
      <c r="CPW16" s="34"/>
      <c r="CPX16" s="34"/>
      <c r="CPY16" s="34"/>
      <c r="CPZ16" s="34"/>
      <c r="CQA16" s="34"/>
      <c r="CQB16" s="34"/>
      <c r="CQC16" s="34"/>
      <c r="CQD16" s="34"/>
      <c r="CQE16" s="34"/>
      <c r="CQF16" s="34"/>
      <c r="CQG16" s="34"/>
      <c r="CQH16" s="34"/>
      <c r="CQI16" s="34"/>
      <c r="CQJ16" s="34"/>
      <c r="CQK16" s="34"/>
      <c r="CQL16" s="34"/>
      <c r="CQM16" s="34"/>
      <c r="CQN16" s="34"/>
      <c r="CQO16" s="34"/>
      <c r="CQP16" s="34"/>
      <c r="CQQ16" s="34"/>
      <c r="CQR16" s="34"/>
      <c r="CQS16" s="34"/>
      <c r="CQT16" s="34"/>
      <c r="CQU16" s="34"/>
      <c r="CQV16" s="34"/>
      <c r="CQW16" s="34"/>
      <c r="CQX16" s="34"/>
      <c r="CQY16" s="34"/>
      <c r="CQZ16" s="34"/>
      <c r="CRA16" s="34"/>
      <c r="CRB16" s="34"/>
      <c r="CRC16" s="34"/>
      <c r="CRD16" s="34"/>
      <c r="CRE16" s="34"/>
      <c r="CRF16" s="34"/>
      <c r="CRG16" s="34"/>
      <c r="CRH16" s="34"/>
      <c r="CRI16" s="34"/>
      <c r="CRJ16" s="34"/>
      <c r="CRK16" s="34"/>
      <c r="CRL16" s="34"/>
      <c r="CRM16" s="34"/>
      <c r="CRN16" s="34"/>
      <c r="CRO16" s="34"/>
      <c r="CRP16" s="34"/>
      <c r="CRQ16" s="34"/>
      <c r="CRR16" s="34"/>
      <c r="CRS16" s="34"/>
      <c r="CRT16" s="34"/>
      <c r="CRU16" s="34"/>
      <c r="CRV16" s="34"/>
      <c r="CRW16" s="34"/>
      <c r="CRX16" s="34"/>
      <c r="CRY16" s="34"/>
      <c r="CRZ16" s="34"/>
      <c r="CSA16" s="34"/>
      <c r="CSB16" s="34"/>
      <c r="CSC16" s="34"/>
      <c r="CSD16" s="34"/>
      <c r="CSE16" s="34"/>
      <c r="CSF16" s="34"/>
      <c r="CSG16" s="34"/>
      <c r="CSH16" s="34"/>
      <c r="CSI16" s="34"/>
      <c r="CSJ16" s="34"/>
      <c r="CSK16" s="34"/>
      <c r="CSL16" s="34"/>
      <c r="CSM16" s="34"/>
      <c r="CSN16" s="34"/>
      <c r="CSO16" s="34"/>
      <c r="CSP16" s="34"/>
      <c r="CSQ16" s="34"/>
      <c r="CSR16" s="34"/>
      <c r="CSS16" s="34"/>
      <c r="CST16" s="34"/>
      <c r="CSU16" s="34"/>
      <c r="CSV16" s="34"/>
      <c r="CSW16" s="34"/>
      <c r="CSX16" s="34"/>
      <c r="CSY16" s="34"/>
      <c r="CSZ16" s="34"/>
      <c r="CTA16" s="34"/>
      <c r="CTB16" s="34"/>
      <c r="CTC16" s="34"/>
      <c r="CTD16" s="34"/>
      <c r="CTE16" s="34"/>
      <c r="CTF16" s="34"/>
      <c r="CTG16" s="34"/>
      <c r="CTH16" s="34"/>
      <c r="CTI16" s="34"/>
      <c r="CTJ16" s="34"/>
      <c r="CTK16" s="34"/>
      <c r="CTL16" s="34"/>
      <c r="CTM16" s="34"/>
      <c r="CTN16" s="34"/>
      <c r="CTO16" s="34"/>
      <c r="CTP16" s="34"/>
      <c r="CTQ16" s="34"/>
      <c r="CTR16" s="34"/>
      <c r="CTS16" s="34"/>
      <c r="CTT16" s="34"/>
      <c r="CTU16" s="34"/>
      <c r="CTV16" s="34"/>
      <c r="CTW16" s="34"/>
      <c r="CTX16" s="34"/>
      <c r="CTY16" s="34"/>
      <c r="CTZ16" s="34"/>
      <c r="CUA16" s="34"/>
      <c r="CUB16" s="34"/>
      <c r="CUC16" s="34"/>
      <c r="CUD16" s="34"/>
      <c r="CUE16" s="34"/>
      <c r="CUF16" s="34"/>
      <c r="CUG16" s="34"/>
      <c r="CUH16" s="34"/>
      <c r="CUI16" s="34"/>
      <c r="CUJ16" s="34"/>
      <c r="CUK16" s="34"/>
      <c r="CUL16" s="34"/>
      <c r="CUM16" s="34"/>
      <c r="CUN16" s="34"/>
      <c r="CUO16" s="34"/>
      <c r="CUP16" s="34"/>
      <c r="CUQ16" s="34"/>
      <c r="CUR16" s="34"/>
      <c r="CUS16" s="34"/>
      <c r="CUT16" s="34"/>
      <c r="CUU16" s="34"/>
      <c r="CUV16" s="34"/>
      <c r="CUW16" s="34"/>
      <c r="CUX16" s="34"/>
      <c r="CUY16" s="34"/>
      <c r="CUZ16" s="34"/>
      <c r="CVA16" s="34"/>
      <c r="CVB16" s="34"/>
      <c r="CVC16" s="34"/>
      <c r="CVD16" s="34"/>
      <c r="CVE16" s="34"/>
      <c r="CVF16" s="34"/>
      <c r="CVG16" s="34"/>
      <c r="CVH16" s="34"/>
      <c r="CVI16" s="34"/>
      <c r="CVJ16" s="34"/>
      <c r="CVK16" s="34"/>
      <c r="CVL16" s="34"/>
      <c r="CVM16" s="34"/>
      <c r="CVN16" s="34"/>
      <c r="CVO16" s="34"/>
      <c r="CVP16" s="34"/>
      <c r="CVQ16" s="34"/>
      <c r="CVR16" s="34"/>
      <c r="CVS16" s="34"/>
      <c r="CVT16" s="34"/>
      <c r="CVU16" s="34"/>
      <c r="CVV16" s="34"/>
      <c r="CVW16" s="34"/>
      <c r="CVX16" s="34"/>
      <c r="CVY16" s="34"/>
      <c r="CVZ16" s="34"/>
      <c r="CWA16" s="34"/>
      <c r="CWB16" s="34"/>
      <c r="CWC16" s="34"/>
      <c r="CWD16" s="34"/>
      <c r="CWE16" s="34"/>
      <c r="CWF16" s="34"/>
      <c r="CWG16" s="34"/>
      <c r="CWH16" s="34"/>
      <c r="CWI16" s="34"/>
      <c r="CWJ16" s="34"/>
      <c r="CWK16" s="34"/>
      <c r="CWL16" s="34"/>
      <c r="CWM16" s="34"/>
      <c r="CWN16" s="34"/>
      <c r="CWO16" s="34"/>
      <c r="CWP16" s="34"/>
      <c r="CWQ16" s="34"/>
      <c r="CWR16" s="34"/>
      <c r="CWS16" s="34"/>
      <c r="CWT16" s="34"/>
      <c r="CWU16" s="34"/>
      <c r="CWV16" s="34"/>
      <c r="CWW16" s="34"/>
      <c r="CWX16" s="34"/>
      <c r="CWY16" s="34"/>
      <c r="CWZ16" s="34"/>
      <c r="CXA16" s="34"/>
      <c r="CXB16" s="34"/>
      <c r="CXC16" s="34"/>
      <c r="CXD16" s="34"/>
      <c r="CXE16" s="34"/>
      <c r="CXF16" s="34"/>
      <c r="CXG16" s="34"/>
      <c r="CXH16" s="34"/>
      <c r="CXI16" s="34"/>
      <c r="CXJ16" s="34"/>
      <c r="CXK16" s="34"/>
      <c r="CXL16" s="34"/>
      <c r="CXM16" s="34"/>
      <c r="CXN16" s="34"/>
      <c r="CXO16" s="34"/>
      <c r="CXP16" s="34"/>
      <c r="CXQ16" s="34"/>
      <c r="CXR16" s="34"/>
      <c r="CXS16" s="34"/>
      <c r="CXT16" s="34"/>
      <c r="CXU16" s="34"/>
      <c r="CXV16" s="34"/>
      <c r="CXW16" s="34"/>
      <c r="CXX16" s="34"/>
      <c r="CXY16" s="34"/>
      <c r="CXZ16" s="34"/>
      <c r="CYA16" s="34"/>
      <c r="CYB16" s="34"/>
      <c r="CYC16" s="34"/>
      <c r="CYD16" s="34"/>
      <c r="CYE16" s="34"/>
      <c r="CYF16" s="34"/>
      <c r="CYG16" s="34"/>
      <c r="CYH16" s="34"/>
      <c r="CYI16" s="34"/>
      <c r="CYJ16" s="34"/>
      <c r="CYK16" s="34"/>
      <c r="CYL16" s="34"/>
      <c r="CYM16" s="34"/>
      <c r="CYN16" s="34"/>
      <c r="CYO16" s="34"/>
      <c r="CYP16" s="34"/>
      <c r="CYQ16" s="34"/>
      <c r="CYR16" s="34"/>
      <c r="CYS16" s="34"/>
      <c r="CYT16" s="34"/>
      <c r="CYU16" s="34"/>
      <c r="CYV16" s="34"/>
      <c r="CYW16" s="34"/>
      <c r="CYX16" s="34"/>
      <c r="CYY16" s="34"/>
      <c r="CYZ16" s="34"/>
      <c r="CZA16" s="34"/>
      <c r="CZB16" s="34"/>
      <c r="CZC16" s="34"/>
      <c r="CZD16" s="34"/>
      <c r="CZE16" s="34"/>
      <c r="CZF16" s="34"/>
      <c r="CZG16" s="34"/>
      <c r="CZH16" s="34"/>
      <c r="CZI16" s="34"/>
      <c r="CZJ16" s="34"/>
      <c r="CZK16" s="34"/>
      <c r="CZL16" s="34"/>
      <c r="CZM16" s="34"/>
      <c r="CZN16" s="34"/>
      <c r="CZO16" s="34"/>
      <c r="CZP16" s="34"/>
      <c r="CZQ16" s="34"/>
      <c r="CZR16" s="34"/>
      <c r="CZS16" s="34"/>
      <c r="CZT16" s="34"/>
      <c r="CZU16" s="34"/>
      <c r="CZV16" s="34"/>
      <c r="CZW16" s="34"/>
      <c r="CZX16" s="34"/>
      <c r="CZY16" s="34"/>
      <c r="CZZ16" s="34"/>
      <c r="DAA16" s="34"/>
      <c r="DAB16" s="34"/>
      <c r="DAC16" s="34"/>
      <c r="DAD16" s="34"/>
      <c r="DAE16" s="34"/>
      <c r="DAF16" s="34"/>
      <c r="DAG16" s="34"/>
      <c r="DAH16" s="34"/>
      <c r="DAI16" s="34"/>
      <c r="DAJ16" s="34"/>
      <c r="DAK16" s="34"/>
      <c r="DAL16" s="34"/>
      <c r="DAM16" s="34"/>
      <c r="DAN16" s="34"/>
      <c r="DAO16" s="34"/>
      <c r="DAP16" s="34"/>
      <c r="DAQ16" s="34"/>
      <c r="DAR16" s="34"/>
      <c r="DAS16" s="34"/>
      <c r="DAT16" s="34"/>
      <c r="DAU16" s="34"/>
      <c r="DAV16" s="34"/>
      <c r="DAW16" s="34"/>
      <c r="DAX16" s="34"/>
      <c r="DAY16" s="34"/>
      <c r="DAZ16" s="34"/>
      <c r="DBA16" s="34"/>
      <c r="DBB16" s="34"/>
      <c r="DBC16" s="34"/>
      <c r="DBD16" s="34"/>
      <c r="DBE16" s="34"/>
      <c r="DBF16" s="34"/>
      <c r="DBG16" s="34"/>
      <c r="DBH16" s="34"/>
      <c r="DBI16" s="34"/>
      <c r="DBJ16" s="34"/>
      <c r="DBK16" s="34"/>
      <c r="DBL16" s="34"/>
      <c r="DBM16" s="34"/>
      <c r="DBN16" s="34"/>
      <c r="DBO16" s="34"/>
      <c r="DBP16" s="34"/>
      <c r="DBQ16" s="34"/>
      <c r="DBR16" s="34"/>
      <c r="DBS16" s="34"/>
      <c r="DBT16" s="34"/>
      <c r="DBU16" s="34"/>
      <c r="DBV16" s="34"/>
      <c r="DBW16" s="34"/>
      <c r="DBX16" s="34"/>
      <c r="DBY16" s="34"/>
      <c r="DBZ16" s="34"/>
      <c r="DCA16" s="34"/>
      <c r="DCB16" s="34"/>
      <c r="DCC16" s="34"/>
      <c r="DCD16" s="34"/>
      <c r="DCE16" s="34"/>
      <c r="DCF16" s="34"/>
      <c r="DCG16" s="34"/>
      <c r="DCH16" s="34"/>
      <c r="DCI16" s="34"/>
      <c r="DCJ16" s="34"/>
      <c r="DCK16" s="34"/>
      <c r="DCL16" s="34"/>
      <c r="DCM16" s="34"/>
      <c r="DCN16" s="34"/>
      <c r="DCO16" s="34"/>
      <c r="DCP16" s="34"/>
      <c r="DCQ16" s="34"/>
      <c r="DCR16" s="34"/>
      <c r="DCS16" s="34"/>
      <c r="DCT16" s="34"/>
      <c r="DCU16" s="34"/>
      <c r="DCV16" s="34"/>
      <c r="DCW16" s="34"/>
      <c r="DCX16" s="34"/>
      <c r="DCY16" s="34"/>
      <c r="DCZ16" s="34"/>
      <c r="DDA16" s="34"/>
      <c r="DDB16" s="34"/>
      <c r="DDC16" s="34"/>
      <c r="DDD16" s="34"/>
      <c r="DDE16" s="34"/>
      <c r="DDF16" s="34"/>
      <c r="DDG16" s="34"/>
      <c r="DDH16" s="34"/>
      <c r="DDI16" s="34"/>
      <c r="DDJ16" s="34"/>
      <c r="DDK16" s="34"/>
      <c r="DDL16" s="34"/>
      <c r="DDM16" s="34"/>
      <c r="DDN16" s="34"/>
      <c r="DDO16" s="34"/>
      <c r="DDP16" s="34"/>
      <c r="DDQ16" s="34"/>
      <c r="DDR16" s="34"/>
      <c r="DDS16" s="34"/>
      <c r="DDT16" s="34"/>
      <c r="DDU16" s="34"/>
      <c r="DDV16" s="34"/>
      <c r="DDW16" s="34"/>
      <c r="DDX16" s="34"/>
      <c r="DDY16" s="34"/>
      <c r="DDZ16" s="34"/>
      <c r="DEA16" s="34"/>
      <c r="DEB16" s="34"/>
      <c r="DEC16" s="34"/>
      <c r="DED16" s="34"/>
      <c r="DEE16" s="34"/>
      <c r="DEF16" s="34"/>
      <c r="DEG16" s="34"/>
      <c r="DEH16" s="34"/>
      <c r="DEI16" s="34"/>
      <c r="DEJ16" s="34"/>
      <c r="DEK16" s="34"/>
      <c r="DEL16" s="34"/>
      <c r="DEM16" s="34"/>
      <c r="DEN16" s="34"/>
      <c r="DEO16" s="34"/>
      <c r="DEP16" s="34"/>
      <c r="DEQ16" s="34"/>
      <c r="DER16" s="34"/>
      <c r="DES16" s="34"/>
      <c r="DET16" s="34"/>
      <c r="DEU16" s="34"/>
      <c r="DEV16" s="34"/>
      <c r="DEW16" s="34"/>
      <c r="DEX16" s="34"/>
      <c r="DEY16" s="34"/>
      <c r="DEZ16" s="34"/>
      <c r="DFA16" s="34"/>
      <c r="DFB16" s="34"/>
      <c r="DFC16" s="34"/>
      <c r="DFD16" s="34"/>
      <c r="DFE16" s="34"/>
      <c r="DFF16" s="34"/>
      <c r="DFG16" s="34"/>
      <c r="DFH16" s="34"/>
      <c r="DFI16" s="34"/>
      <c r="DFJ16" s="34"/>
      <c r="DFK16" s="34"/>
      <c r="DFL16" s="34"/>
      <c r="DFM16" s="34"/>
      <c r="DFN16" s="34"/>
      <c r="DFO16" s="34"/>
      <c r="DFP16" s="34"/>
      <c r="DFQ16" s="34"/>
      <c r="DFR16" s="34"/>
      <c r="DFS16" s="34"/>
      <c r="DFT16" s="34"/>
      <c r="DFU16" s="34"/>
      <c r="DFV16" s="34"/>
      <c r="DFW16" s="34"/>
      <c r="DFX16" s="34"/>
      <c r="DFY16" s="34"/>
      <c r="DFZ16" s="34"/>
      <c r="DGA16" s="34"/>
      <c r="DGB16" s="34"/>
      <c r="DGC16" s="34"/>
      <c r="DGD16" s="34"/>
      <c r="DGE16" s="34"/>
      <c r="DGF16" s="34"/>
      <c r="DGG16" s="34"/>
      <c r="DGH16" s="34"/>
      <c r="DGI16" s="34"/>
      <c r="DGJ16" s="34"/>
      <c r="DGK16" s="34"/>
      <c r="DGL16" s="34"/>
      <c r="DGM16" s="34"/>
      <c r="DGN16" s="34"/>
      <c r="DGO16" s="34"/>
      <c r="DGP16" s="34"/>
      <c r="DGQ16" s="34"/>
      <c r="DGR16" s="34"/>
      <c r="DGS16" s="34"/>
      <c r="DGT16" s="34"/>
      <c r="DGU16" s="34"/>
      <c r="DGV16" s="34"/>
      <c r="DGW16" s="34"/>
      <c r="DGX16" s="34"/>
      <c r="DGY16" s="34"/>
      <c r="DGZ16" s="34"/>
      <c r="DHA16" s="34"/>
      <c r="DHB16" s="34"/>
      <c r="DHC16" s="34"/>
      <c r="DHD16" s="34"/>
      <c r="DHE16" s="34"/>
      <c r="DHF16" s="34"/>
      <c r="DHG16" s="34"/>
      <c r="DHH16" s="34"/>
      <c r="DHI16" s="34"/>
      <c r="DHJ16" s="34"/>
      <c r="DHK16" s="34"/>
      <c r="DHL16" s="34"/>
      <c r="DHM16" s="34"/>
      <c r="DHN16" s="34"/>
      <c r="DHO16" s="34"/>
      <c r="DHP16" s="34"/>
      <c r="DHQ16" s="34"/>
      <c r="DHR16" s="34"/>
      <c r="DHS16" s="34"/>
      <c r="DHT16" s="34"/>
      <c r="DHU16" s="34"/>
      <c r="DHV16" s="34"/>
      <c r="DHW16" s="34"/>
      <c r="DHX16" s="34"/>
      <c r="DHY16" s="34"/>
      <c r="DHZ16" s="34"/>
      <c r="DIA16" s="34"/>
      <c r="DIB16" s="34"/>
      <c r="DIC16" s="34"/>
      <c r="DID16" s="34"/>
      <c r="DIE16" s="34"/>
      <c r="DIF16" s="34"/>
      <c r="DIG16" s="34"/>
      <c r="DIH16" s="34"/>
      <c r="DII16" s="34"/>
      <c r="DIJ16" s="34"/>
      <c r="DIK16" s="34"/>
      <c r="DIL16" s="34"/>
      <c r="DIM16" s="34"/>
      <c r="DIN16" s="34"/>
      <c r="DIO16" s="34"/>
      <c r="DIP16" s="34"/>
      <c r="DIQ16" s="34"/>
      <c r="DIR16" s="34"/>
      <c r="DIS16" s="34"/>
      <c r="DIT16" s="34"/>
      <c r="DIU16" s="34"/>
      <c r="DIV16" s="34"/>
      <c r="DIW16" s="34"/>
      <c r="DIX16" s="34"/>
      <c r="DIY16" s="34"/>
      <c r="DIZ16" s="34"/>
      <c r="DJA16" s="34"/>
      <c r="DJB16" s="34"/>
      <c r="DJC16" s="34"/>
      <c r="DJD16" s="34"/>
      <c r="DJE16" s="34"/>
      <c r="DJF16" s="34"/>
      <c r="DJG16" s="34"/>
      <c r="DJH16" s="34"/>
      <c r="DJI16" s="34"/>
      <c r="DJJ16" s="34"/>
      <c r="DJK16" s="34"/>
      <c r="DJL16" s="34"/>
      <c r="DJM16" s="34"/>
      <c r="DJN16" s="34"/>
      <c r="DJO16" s="34"/>
      <c r="DJP16" s="34"/>
      <c r="DJQ16" s="34"/>
      <c r="DJR16" s="34"/>
      <c r="DJS16" s="34"/>
      <c r="DJT16" s="34"/>
      <c r="DJU16" s="34"/>
      <c r="DJV16" s="34"/>
      <c r="DJW16" s="34"/>
      <c r="DJX16" s="34"/>
      <c r="DJY16" s="34"/>
      <c r="DJZ16" s="34"/>
      <c r="DKA16" s="34"/>
      <c r="DKB16" s="34"/>
      <c r="DKC16" s="34"/>
      <c r="DKD16" s="34"/>
      <c r="DKE16" s="34"/>
      <c r="DKF16" s="34"/>
      <c r="DKG16" s="34"/>
      <c r="DKH16" s="34"/>
      <c r="DKI16" s="34"/>
      <c r="DKJ16" s="34"/>
      <c r="DKK16" s="34"/>
      <c r="DKL16" s="34"/>
      <c r="DKM16" s="34"/>
      <c r="DKN16" s="34"/>
      <c r="DKO16" s="34"/>
      <c r="DKP16" s="34"/>
      <c r="DKQ16" s="34"/>
      <c r="DKR16" s="34"/>
      <c r="DKS16" s="34"/>
      <c r="DKT16" s="34"/>
      <c r="DKU16" s="34"/>
      <c r="DKV16" s="34"/>
      <c r="DKW16" s="34"/>
      <c r="DKX16" s="34"/>
      <c r="DKY16" s="34"/>
      <c r="DKZ16" s="34"/>
      <c r="DLA16" s="34"/>
      <c r="DLB16" s="34"/>
      <c r="DLC16" s="34"/>
      <c r="DLD16" s="34"/>
      <c r="DLE16" s="34"/>
      <c r="DLF16" s="34"/>
      <c r="DLG16" s="34"/>
      <c r="DLH16" s="34"/>
      <c r="DLI16" s="34"/>
      <c r="DLJ16" s="34"/>
      <c r="DLK16" s="34"/>
      <c r="DLL16" s="34"/>
      <c r="DLM16" s="34"/>
      <c r="DLN16" s="34"/>
      <c r="DLO16" s="34"/>
      <c r="DLP16" s="34"/>
      <c r="DLQ16" s="34"/>
      <c r="DLR16" s="34"/>
      <c r="DLS16" s="34"/>
      <c r="DLT16" s="34"/>
      <c r="DLU16" s="34"/>
      <c r="DLV16" s="34"/>
      <c r="DLW16" s="34"/>
      <c r="DLX16" s="34"/>
      <c r="DLY16" s="34"/>
      <c r="DLZ16" s="34"/>
      <c r="DMA16" s="34"/>
      <c r="DMB16" s="34"/>
      <c r="DMC16" s="34"/>
      <c r="DMD16" s="34"/>
      <c r="DME16" s="34"/>
      <c r="DMF16" s="34"/>
      <c r="DMG16" s="34"/>
      <c r="DMH16" s="34"/>
      <c r="DMI16" s="34"/>
      <c r="DMJ16" s="34"/>
      <c r="DMK16" s="34"/>
      <c r="DML16" s="34"/>
      <c r="DMM16" s="34"/>
      <c r="DMN16" s="34"/>
      <c r="DMO16" s="34"/>
      <c r="DMP16" s="34"/>
      <c r="DMQ16" s="34"/>
      <c r="DMR16" s="34"/>
      <c r="DMS16" s="34"/>
      <c r="DMT16" s="34"/>
      <c r="DMU16" s="34"/>
      <c r="DMV16" s="34"/>
      <c r="DMW16" s="34"/>
      <c r="DMX16" s="34"/>
      <c r="DMY16" s="34"/>
      <c r="DMZ16" s="34"/>
      <c r="DNA16" s="34"/>
      <c r="DNB16" s="34"/>
      <c r="DNC16" s="34"/>
      <c r="DND16" s="34"/>
      <c r="DNE16" s="34"/>
      <c r="DNF16" s="34"/>
      <c r="DNG16" s="34"/>
      <c r="DNH16" s="34"/>
      <c r="DNI16" s="34"/>
      <c r="DNJ16" s="34"/>
      <c r="DNK16" s="34"/>
      <c r="DNL16" s="34"/>
      <c r="DNM16" s="34"/>
      <c r="DNN16" s="34"/>
      <c r="DNO16" s="34"/>
      <c r="DNP16" s="34"/>
      <c r="DNQ16" s="34"/>
      <c r="DNR16" s="34"/>
      <c r="DNS16" s="34"/>
      <c r="DNT16" s="34"/>
      <c r="DNU16" s="34"/>
      <c r="DNV16" s="34"/>
      <c r="DNW16" s="34"/>
      <c r="DNX16" s="34"/>
      <c r="DNY16" s="34"/>
      <c r="DNZ16" s="34"/>
      <c r="DOA16" s="34"/>
      <c r="DOB16" s="34"/>
      <c r="DOC16" s="34"/>
      <c r="DOD16" s="34"/>
      <c r="DOE16" s="34"/>
      <c r="DOF16" s="34"/>
      <c r="DOG16" s="34"/>
      <c r="DOH16" s="34"/>
      <c r="DOI16" s="34"/>
      <c r="DOJ16" s="34"/>
      <c r="DOK16" s="34"/>
      <c r="DOL16" s="34"/>
      <c r="DOM16" s="34"/>
      <c r="DON16" s="34"/>
      <c r="DOO16" s="34"/>
      <c r="DOP16" s="34"/>
      <c r="DOQ16" s="34"/>
      <c r="DOR16" s="34"/>
      <c r="DOS16" s="34"/>
      <c r="DOT16" s="34"/>
      <c r="DOU16" s="34"/>
      <c r="DOV16" s="34"/>
      <c r="DOW16" s="34"/>
      <c r="DOX16" s="34"/>
      <c r="DOY16" s="34"/>
      <c r="DOZ16" s="34"/>
      <c r="DPA16" s="34"/>
      <c r="DPB16" s="34"/>
      <c r="DPC16" s="34"/>
      <c r="DPD16" s="34"/>
      <c r="DPE16" s="34"/>
      <c r="DPF16" s="34"/>
      <c r="DPG16" s="34"/>
      <c r="DPH16" s="34"/>
      <c r="DPI16" s="34"/>
      <c r="DPJ16" s="34"/>
      <c r="DPK16" s="34"/>
      <c r="DPL16" s="34"/>
      <c r="DPM16" s="34"/>
      <c r="DPN16" s="34"/>
      <c r="DPO16" s="34"/>
      <c r="DPP16" s="34"/>
      <c r="DPQ16" s="34"/>
      <c r="DPR16" s="34"/>
      <c r="DPS16" s="34"/>
      <c r="DPT16" s="34"/>
      <c r="DPU16" s="34"/>
      <c r="DPV16" s="34"/>
      <c r="DPW16" s="34"/>
      <c r="DPX16" s="34"/>
      <c r="DPY16" s="34"/>
      <c r="DPZ16" s="34"/>
      <c r="DQA16" s="34"/>
      <c r="DQB16" s="34"/>
      <c r="DQC16" s="34"/>
      <c r="DQD16" s="34"/>
      <c r="DQE16" s="34"/>
      <c r="DQF16" s="34"/>
      <c r="DQG16" s="34"/>
      <c r="DQH16" s="34"/>
      <c r="DQI16" s="34"/>
      <c r="DQJ16" s="34"/>
      <c r="DQK16" s="34"/>
      <c r="DQL16" s="34"/>
      <c r="DQM16" s="34"/>
      <c r="DQN16" s="34"/>
      <c r="DQO16" s="34"/>
      <c r="DQP16" s="34"/>
      <c r="DQQ16" s="34"/>
      <c r="DQR16" s="34"/>
      <c r="DQS16" s="34"/>
      <c r="DQT16" s="34"/>
      <c r="DQU16" s="34"/>
      <c r="DQV16" s="34"/>
      <c r="DQW16" s="34"/>
      <c r="DQX16" s="34"/>
      <c r="DQY16" s="34"/>
      <c r="DQZ16" s="34"/>
      <c r="DRA16" s="34"/>
      <c r="DRB16" s="34"/>
      <c r="DRC16" s="34"/>
      <c r="DRD16" s="34"/>
      <c r="DRE16" s="34"/>
      <c r="DRF16" s="34"/>
      <c r="DRG16" s="34"/>
      <c r="DRH16" s="34"/>
      <c r="DRI16" s="34"/>
      <c r="DRJ16" s="34"/>
      <c r="DRK16" s="34"/>
      <c r="DRL16" s="34"/>
      <c r="DRM16" s="34"/>
      <c r="DRN16" s="34"/>
      <c r="DRO16" s="34"/>
      <c r="DRP16" s="34"/>
      <c r="DRQ16" s="34"/>
      <c r="DRR16" s="34"/>
      <c r="DRS16" s="34"/>
      <c r="DRT16" s="34"/>
      <c r="DRU16" s="34"/>
      <c r="DRV16" s="34"/>
      <c r="DRW16" s="34"/>
      <c r="DRX16" s="34"/>
      <c r="DRY16" s="34"/>
      <c r="DRZ16" s="34"/>
      <c r="DSA16" s="34"/>
      <c r="DSB16" s="34"/>
      <c r="DSC16" s="34"/>
      <c r="DSD16" s="34"/>
      <c r="DSE16" s="34"/>
      <c r="DSF16" s="34"/>
      <c r="DSG16" s="34"/>
      <c r="DSH16" s="34"/>
      <c r="DSI16" s="34"/>
      <c r="DSJ16" s="34"/>
      <c r="DSK16" s="34"/>
      <c r="DSL16" s="34"/>
      <c r="DSM16" s="34"/>
      <c r="DSN16" s="34"/>
      <c r="DSO16" s="34"/>
      <c r="DSP16" s="34"/>
      <c r="DSQ16" s="34"/>
      <c r="DSR16" s="34"/>
      <c r="DSS16" s="34"/>
      <c r="DST16" s="34"/>
      <c r="DSU16" s="34"/>
      <c r="DSV16" s="34"/>
      <c r="DSW16" s="34"/>
      <c r="DSX16" s="34"/>
      <c r="DSY16" s="34"/>
      <c r="DSZ16" s="34"/>
      <c r="DTA16" s="34"/>
      <c r="DTB16" s="34"/>
      <c r="DTC16" s="34"/>
      <c r="DTD16" s="34"/>
      <c r="DTE16" s="34"/>
      <c r="DTF16" s="34"/>
      <c r="DTG16" s="34"/>
      <c r="DTH16" s="34"/>
      <c r="DTI16" s="34"/>
      <c r="DTJ16" s="34"/>
      <c r="DTK16" s="34"/>
      <c r="DTL16" s="34"/>
      <c r="DTM16" s="34"/>
      <c r="DTN16" s="34"/>
      <c r="DTO16" s="34"/>
      <c r="DTP16" s="34"/>
      <c r="DTQ16" s="34"/>
      <c r="DTR16" s="34"/>
      <c r="DTS16" s="34"/>
      <c r="DTT16" s="34"/>
      <c r="DTU16" s="34"/>
      <c r="DTV16" s="34"/>
      <c r="DTW16" s="34"/>
      <c r="DTX16" s="34"/>
      <c r="DTY16" s="34"/>
      <c r="DTZ16" s="34"/>
      <c r="DUA16" s="34"/>
      <c r="DUB16" s="34"/>
      <c r="DUC16" s="34"/>
      <c r="DUD16" s="34"/>
      <c r="DUE16" s="34"/>
      <c r="DUF16" s="34"/>
      <c r="DUG16" s="34"/>
      <c r="DUH16" s="34"/>
      <c r="DUI16" s="34"/>
      <c r="DUJ16" s="34"/>
      <c r="DUK16" s="34"/>
      <c r="DUL16" s="34"/>
      <c r="DUM16" s="34"/>
      <c r="DUN16" s="34"/>
      <c r="DUO16" s="34"/>
      <c r="DUP16" s="34"/>
      <c r="DUQ16" s="34"/>
      <c r="DUR16" s="34"/>
      <c r="DUS16" s="34"/>
      <c r="DUT16" s="34"/>
      <c r="DUU16" s="34"/>
      <c r="DUV16" s="34"/>
      <c r="DUW16" s="34"/>
      <c r="DUX16" s="34"/>
      <c r="DUY16" s="34"/>
      <c r="DUZ16" s="34"/>
      <c r="DVA16" s="34"/>
      <c r="DVB16" s="34"/>
      <c r="DVC16" s="34"/>
      <c r="DVD16" s="34"/>
      <c r="DVE16" s="34"/>
      <c r="DVF16" s="34"/>
      <c r="DVG16" s="34"/>
      <c r="DVH16" s="34"/>
      <c r="DVI16" s="34"/>
      <c r="DVJ16" s="34"/>
      <c r="DVK16" s="34"/>
      <c r="DVL16" s="34"/>
      <c r="DVM16" s="34"/>
      <c r="DVN16" s="34"/>
      <c r="DVO16" s="34"/>
      <c r="DVP16" s="34"/>
      <c r="DVQ16" s="34"/>
      <c r="DVR16" s="34"/>
      <c r="DVS16" s="34"/>
      <c r="DVT16" s="34"/>
      <c r="DVU16" s="34"/>
      <c r="DVV16" s="34"/>
      <c r="DVW16" s="34"/>
      <c r="DVX16" s="34"/>
      <c r="DVY16" s="34"/>
      <c r="DVZ16" s="34"/>
      <c r="DWA16" s="34"/>
      <c r="DWB16" s="34"/>
      <c r="DWC16" s="34"/>
      <c r="DWD16" s="34"/>
      <c r="DWE16" s="34"/>
      <c r="DWF16" s="34"/>
      <c r="DWG16" s="34"/>
      <c r="DWH16" s="34"/>
      <c r="DWI16" s="34"/>
      <c r="DWJ16" s="34"/>
      <c r="DWK16" s="34"/>
      <c r="DWL16" s="34"/>
      <c r="DWM16" s="34"/>
      <c r="DWN16" s="34"/>
      <c r="DWO16" s="34"/>
      <c r="DWP16" s="34"/>
      <c r="DWQ16" s="34"/>
      <c r="DWR16" s="34"/>
      <c r="DWS16" s="34"/>
      <c r="DWT16" s="34"/>
      <c r="DWU16" s="34"/>
      <c r="DWV16" s="34"/>
      <c r="DWW16" s="34"/>
      <c r="DWX16" s="34"/>
      <c r="DWY16" s="34"/>
      <c r="DWZ16" s="34"/>
      <c r="DXA16" s="34"/>
      <c r="DXB16" s="34"/>
      <c r="DXC16" s="34"/>
      <c r="DXD16" s="34"/>
      <c r="DXE16" s="34"/>
      <c r="DXF16" s="34"/>
      <c r="DXG16" s="34"/>
      <c r="DXH16" s="34"/>
      <c r="DXI16" s="34"/>
      <c r="DXJ16" s="34"/>
      <c r="DXK16" s="34"/>
      <c r="DXL16" s="34"/>
      <c r="DXM16" s="34"/>
      <c r="DXN16" s="34"/>
      <c r="DXO16" s="34"/>
      <c r="DXP16" s="34"/>
      <c r="DXQ16" s="34"/>
      <c r="DXR16" s="34"/>
      <c r="DXS16" s="34"/>
      <c r="DXT16" s="34"/>
      <c r="DXU16" s="34"/>
      <c r="DXV16" s="34"/>
      <c r="DXW16" s="34"/>
      <c r="DXX16" s="34"/>
      <c r="DXY16" s="34"/>
      <c r="DXZ16" s="34"/>
      <c r="DYA16" s="34"/>
      <c r="DYB16" s="34"/>
      <c r="DYC16" s="34"/>
      <c r="DYD16" s="34"/>
      <c r="DYE16" s="34"/>
      <c r="DYF16" s="34"/>
      <c r="DYG16" s="34"/>
      <c r="DYH16" s="34"/>
      <c r="DYI16" s="34"/>
      <c r="DYJ16" s="34"/>
      <c r="DYK16" s="34"/>
      <c r="DYL16" s="34"/>
      <c r="DYM16" s="34"/>
      <c r="DYN16" s="34"/>
      <c r="DYO16" s="34"/>
      <c r="DYP16" s="34"/>
      <c r="DYQ16" s="34"/>
      <c r="DYR16" s="34"/>
      <c r="DYS16" s="34"/>
      <c r="DYT16" s="34"/>
      <c r="DYU16" s="34"/>
      <c r="DYV16" s="34"/>
      <c r="DYW16" s="34"/>
      <c r="DYX16" s="34"/>
      <c r="DYY16" s="34"/>
      <c r="DYZ16" s="34"/>
      <c r="DZA16" s="34"/>
      <c r="DZB16" s="34"/>
      <c r="DZC16" s="34"/>
      <c r="DZD16" s="34"/>
      <c r="DZE16" s="34"/>
      <c r="DZF16" s="34"/>
      <c r="DZG16" s="34"/>
      <c r="DZH16" s="34"/>
      <c r="DZI16" s="34"/>
      <c r="DZJ16" s="34"/>
      <c r="DZK16" s="34"/>
      <c r="DZL16" s="34"/>
      <c r="DZM16" s="34"/>
      <c r="DZN16" s="34"/>
      <c r="DZO16" s="34"/>
      <c r="DZP16" s="34"/>
      <c r="DZQ16" s="34"/>
      <c r="DZR16" s="34"/>
      <c r="DZS16" s="34"/>
      <c r="DZT16" s="34"/>
      <c r="DZU16" s="34"/>
      <c r="DZV16" s="34"/>
      <c r="DZW16" s="34"/>
      <c r="DZX16" s="34"/>
      <c r="DZY16" s="34"/>
      <c r="DZZ16" s="34"/>
      <c r="EAA16" s="34"/>
      <c r="EAB16" s="34"/>
      <c r="EAC16" s="34"/>
      <c r="EAD16" s="34"/>
      <c r="EAE16" s="34"/>
      <c r="EAF16" s="34"/>
      <c r="EAG16" s="34"/>
      <c r="EAH16" s="34"/>
      <c r="EAI16" s="34"/>
      <c r="EAJ16" s="34"/>
      <c r="EAK16" s="34"/>
      <c r="EAL16" s="34"/>
      <c r="EAM16" s="34"/>
      <c r="EAN16" s="34"/>
      <c r="EAO16" s="34"/>
      <c r="EAP16" s="34"/>
      <c r="EAQ16" s="34"/>
      <c r="EAR16" s="34"/>
      <c r="EAS16" s="34"/>
      <c r="EAT16" s="34"/>
      <c r="EAU16" s="34"/>
      <c r="EAV16" s="34"/>
      <c r="EAW16" s="34"/>
      <c r="EAX16" s="34"/>
      <c r="EAY16" s="34"/>
      <c r="EAZ16" s="34"/>
      <c r="EBA16" s="34"/>
      <c r="EBB16" s="34"/>
      <c r="EBC16" s="34"/>
      <c r="EBD16" s="34"/>
      <c r="EBE16" s="34"/>
      <c r="EBF16" s="34"/>
      <c r="EBG16" s="34"/>
      <c r="EBH16" s="34"/>
      <c r="EBI16" s="34"/>
      <c r="EBJ16" s="34"/>
      <c r="EBK16" s="34"/>
      <c r="EBL16" s="34"/>
      <c r="EBM16" s="34"/>
      <c r="EBN16" s="34"/>
      <c r="EBO16" s="34"/>
      <c r="EBP16" s="34"/>
      <c r="EBQ16" s="34"/>
      <c r="EBR16" s="34"/>
      <c r="EBS16" s="34"/>
      <c r="EBT16" s="34"/>
      <c r="EBU16" s="34"/>
      <c r="EBV16" s="34"/>
      <c r="EBW16" s="34"/>
      <c r="EBX16" s="34"/>
      <c r="EBY16" s="34"/>
      <c r="EBZ16" s="34"/>
      <c r="ECA16" s="34"/>
      <c r="ECB16" s="34"/>
      <c r="ECC16" s="34"/>
      <c r="ECD16" s="34"/>
      <c r="ECE16" s="34"/>
      <c r="ECF16" s="34"/>
      <c r="ECG16" s="34"/>
      <c r="ECH16" s="34"/>
      <c r="ECI16" s="34"/>
      <c r="ECJ16" s="34"/>
      <c r="ECK16" s="34"/>
      <c r="ECL16" s="34"/>
      <c r="ECM16" s="34"/>
      <c r="ECN16" s="34"/>
      <c r="ECO16" s="34"/>
      <c r="ECP16" s="34"/>
      <c r="ECQ16" s="34"/>
      <c r="ECR16" s="34"/>
      <c r="ECS16" s="34"/>
      <c r="ECT16" s="34"/>
      <c r="ECU16" s="34"/>
      <c r="ECV16" s="34"/>
      <c r="ECW16" s="34"/>
      <c r="ECX16" s="34"/>
      <c r="ECY16" s="34"/>
      <c r="ECZ16" s="34"/>
      <c r="EDA16" s="34"/>
      <c r="EDB16" s="34"/>
      <c r="EDC16" s="34"/>
      <c r="EDD16" s="34"/>
      <c r="EDE16" s="34"/>
      <c r="EDF16" s="34"/>
      <c r="EDG16" s="34"/>
      <c r="EDH16" s="34"/>
      <c r="EDI16" s="34"/>
      <c r="EDJ16" s="34"/>
      <c r="EDK16" s="34"/>
      <c r="EDL16" s="34"/>
      <c r="EDM16" s="34"/>
      <c r="EDN16" s="34"/>
      <c r="EDO16" s="34"/>
      <c r="EDP16" s="34"/>
      <c r="EDQ16" s="34"/>
      <c r="EDR16" s="34"/>
      <c r="EDS16" s="34"/>
      <c r="EDT16" s="34"/>
      <c r="EDU16" s="34"/>
      <c r="EDV16" s="34"/>
      <c r="EDW16" s="34"/>
      <c r="EDX16" s="34"/>
      <c r="EDY16" s="34"/>
      <c r="EDZ16" s="34"/>
      <c r="EEA16" s="34"/>
      <c r="EEB16" s="34"/>
      <c r="EEC16" s="34"/>
      <c r="EED16" s="34"/>
      <c r="EEE16" s="34"/>
      <c r="EEF16" s="34"/>
      <c r="EEG16" s="34"/>
      <c r="EEH16" s="34"/>
      <c r="EEI16" s="34"/>
      <c r="EEJ16" s="34"/>
      <c r="EEK16" s="34"/>
      <c r="EEL16" s="34"/>
      <c r="EEM16" s="34"/>
      <c r="EEN16" s="34"/>
      <c r="EEO16" s="34"/>
      <c r="EEP16" s="34"/>
      <c r="EEQ16" s="34"/>
      <c r="EER16" s="34"/>
      <c r="EES16" s="34"/>
      <c r="EET16" s="34"/>
      <c r="EEU16" s="34"/>
      <c r="EEV16" s="34"/>
      <c r="EEW16" s="34"/>
      <c r="EEX16" s="34"/>
      <c r="EEY16" s="34"/>
      <c r="EEZ16" s="34"/>
      <c r="EFA16" s="34"/>
      <c r="EFB16" s="34"/>
      <c r="EFC16" s="34"/>
      <c r="EFD16" s="34"/>
      <c r="EFE16" s="34"/>
      <c r="EFF16" s="34"/>
      <c r="EFG16" s="34"/>
      <c r="EFH16" s="34"/>
      <c r="EFI16" s="34"/>
      <c r="EFJ16" s="34"/>
      <c r="EFK16" s="34"/>
      <c r="EFL16" s="34"/>
      <c r="EFM16" s="34"/>
      <c r="EFN16" s="34"/>
      <c r="EFO16" s="34"/>
      <c r="EFP16" s="34"/>
      <c r="EFQ16" s="34"/>
      <c r="EFR16" s="34"/>
      <c r="EFS16" s="34"/>
      <c r="EFT16" s="34"/>
      <c r="EFU16" s="34"/>
      <c r="EFV16" s="34"/>
      <c r="EFW16" s="34"/>
      <c r="EFX16" s="34"/>
      <c r="EFY16" s="34"/>
      <c r="EFZ16" s="34"/>
      <c r="EGA16" s="34"/>
      <c r="EGB16" s="34"/>
      <c r="EGC16" s="34"/>
      <c r="EGD16" s="34"/>
      <c r="EGE16" s="34"/>
      <c r="EGF16" s="34"/>
      <c r="EGG16" s="34"/>
      <c r="EGH16" s="34"/>
      <c r="EGI16" s="34"/>
      <c r="EGJ16" s="34"/>
      <c r="EGK16" s="34"/>
      <c r="EGL16" s="34"/>
      <c r="EGM16" s="34"/>
      <c r="EGN16" s="34"/>
      <c r="EGO16" s="34"/>
      <c r="EGP16" s="34"/>
      <c r="EGQ16" s="34"/>
      <c r="EGR16" s="34"/>
      <c r="EGS16" s="34"/>
      <c r="EGT16" s="34"/>
      <c r="EGU16" s="34"/>
      <c r="EGV16" s="34"/>
      <c r="EGW16" s="34"/>
      <c r="EGX16" s="34"/>
      <c r="EGY16" s="34"/>
      <c r="EGZ16" s="34"/>
      <c r="EHA16" s="34"/>
      <c r="EHB16" s="34"/>
      <c r="EHC16" s="34"/>
      <c r="EHD16" s="34"/>
      <c r="EHE16" s="34"/>
      <c r="EHF16" s="34"/>
      <c r="EHG16" s="34"/>
      <c r="EHH16" s="34"/>
      <c r="EHI16" s="34"/>
      <c r="EHJ16" s="34"/>
      <c r="EHK16" s="34"/>
      <c r="EHL16" s="34"/>
      <c r="EHM16" s="34"/>
      <c r="EHN16" s="34"/>
      <c r="EHO16" s="34"/>
      <c r="EHP16" s="34"/>
      <c r="EHQ16" s="34"/>
      <c r="EHR16" s="34"/>
      <c r="EHS16" s="34"/>
      <c r="EHT16" s="34"/>
      <c r="EHU16" s="34"/>
      <c r="EHV16" s="34"/>
      <c r="EHW16" s="34"/>
      <c r="EHX16" s="34"/>
      <c r="EHY16" s="34"/>
      <c r="EHZ16" s="34"/>
      <c r="EIA16" s="34"/>
      <c r="EIB16" s="34"/>
      <c r="EIC16" s="34"/>
      <c r="EID16" s="34"/>
      <c r="EIE16" s="34"/>
      <c r="EIF16" s="34"/>
      <c r="EIG16" s="34"/>
      <c r="EIH16" s="34"/>
      <c r="EII16" s="34"/>
      <c r="EIJ16" s="34"/>
      <c r="EIK16" s="34"/>
      <c r="EIL16" s="34"/>
      <c r="EIM16" s="34"/>
      <c r="EIN16" s="34"/>
      <c r="EIO16" s="34"/>
      <c r="EIP16" s="34"/>
      <c r="EIQ16" s="34"/>
      <c r="EIR16" s="34"/>
      <c r="EIS16" s="34"/>
      <c r="EIT16" s="34"/>
      <c r="EIU16" s="34"/>
      <c r="EIV16" s="34"/>
      <c r="EIW16" s="34"/>
      <c r="EIX16" s="34"/>
      <c r="EIY16" s="34"/>
      <c r="EIZ16" s="34"/>
      <c r="EJA16" s="34"/>
      <c r="EJB16" s="34"/>
      <c r="EJC16" s="34"/>
      <c r="EJD16" s="34"/>
      <c r="EJE16" s="34"/>
      <c r="EJF16" s="34"/>
      <c r="EJG16" s="34"/>
      <c r="EJH16" s="34"/>
      <c r="EJI16" s="34"/>
      <c r="EJJ16" s="34"/>
      <c r="EJK16" s="34"/>
      <c r="EJL16" s="34"/>
      <c r="EJM16" s="34"/>
      <c r="EJN16" s="34"/>
      <c r="EJO16" s="34"/>
      <c r="EJP16" s="34"/>
      <c r="EJQ16" s="34"/>
      <c r="EJR16" s="34"/>
      <c r="EJS16" s="34"/>
      <c r="EJT16" s="34"/>
      <c r="EJU16" s="34"/>
      <c r="EJV16" s="34"/>
      <c r="EJW16" s="34"/>
      <c r="EJX16" s="34"/>
      <c r="EJY16" s="34"/>
      <c r="EJZ16" s="34"/>
      <c r="EKA16" s="34"/>
      <c r="EKB16" s="34"/>
      <c r="EKC16" s="34"/>
      <c r="EKD16" s="34"/>
      <c r="EKE16" s="34"/>
      <c r="EKF16" s="34"/>
      <c r="EKG16" s="34"/>
      <c r="EKH16" s="34"/>
      <c r="EKI16" s="34"/>
      <c r="EKJ16" s="34"/>
      <c r="EKK16" s="34"/>
      <c r="EKL16" s="34"/>
      <c r="EKM16" s="34"/>
      <c r="EKN16" s="34"/>
      <c r="EKO16" s="34"/>
      <c r="EKP16" s="34"/>
      <c r="EKQ16" s="34"/>
      <c r="EKR16" s="34"/>
      <c r="EKS16" s="34"/>
      <c r="EKT16" s="34"/>
      <c r="EKU16" s="34"/>
      <c r="EKV16" s="34"/>
      <c r="EKW16" s="34"/>
      <c r="EKX16" s="34"/>
      <c r="EKY16" s="34"/>
      <c r="EKZ16" s="34"/>
      <c r="ELA16" s="34"/>
      <c r="ELB16" s="34"/>
      <c r="ELC16" s="34"/>
      <c r="ELD16" s="34"/>
      <c r="ELE16" s="34"/>
      <c r="ELF16" s="34"/>
      <c r="ELG16" s="34"/>
      <c r="ELH16" s="34"/>
      <c r="ELI16" s="34"/>
      <c r="ELJ16" s="34"/>
      <c r="ELK16" s="34"/>
      <c r="ELL16" s="34"/>
      <c r="ELM16" s="34"/>
      <c r="ELN16" s="34"/>
      <c r="ELO16" s="34"/>
      <c r="ELP16" s="34"/>
      <c r="ELQ16" s="34"/>
      <c r="ELR16" s="34"/>
      <c r="ELS16" s="34"/>
      <c r="ELT16" s="34"/>
      <c r="ELU16" s="34"/>
      <c r="ELV16" s="34"/>
      <c r="ELW16" s="34"/>
      <c r="ELX16" s="34"/>
      <c r="ELY16" s="34"/>
      <c r="ELZ16" s="34"/>
      <c r="EMA16" s="34"/>
      <c r="EMB16" s="34"/>
      <c r="EMC16" s="34"/>
      <c r="EMD16" s="34"/>
      <c r="EME16" s="34"/>
      <c r="EMF16" s="34"/>
      <c r="EMG16" s="34"/>
      <c r="EMH16" s="34"/>
      <c r="EMI16" s="34"/>
      <c r="EMJ16" s="34"/>
      <c r="EMK16" s="34"/>
      <c r="EML16" s="34"/>
      <c r="EMM16" s="34"/>
      <c r="EMN16" s="34"/>
      <c r="EMO16" s="34"/>
      <c r="EMP16" s="34"/>
      <c r="EMQ16" s="34"/>
      <c r="EMR16" s="34"/>
      <c r="EMS16" s="34"/>
      <c r="EMT16" s="34"/>
      <c r="EMU16" s="34"/>
      <c r="EMV16" s="34"/>
      <c r="EMW16" s="34"/>
      <c r="EMX16" s="34"/>
      <c r="EMY16" s="34"/>
      <c r="EMZ16" s="34"/>
      <c r="ENA16" s="34"/>
      <c r="ENB16" s="34"/>
      <c r="ENC16" s="34"/>
      <c r="END16" s="34"/>
      <c r="ENE16" s="34"/>
      <c r="ENF16" s="34"/>
      <c r="ENG16" s="34"/>
      <c r="ENH16" s="34"/>
      <c r="ENI16" s="34"/>
      <c r="ENJ16" s="34"/>
      <c r="ENK16" s="34"/>
      <c r="ENL16" s="34"/>
      <c r="ENM16" s="34"/>
      <c r="ENN16" s="34"/>
      <c r="ENO16" s="34"/>
      <c r="ENP16" s="34"/>
      <c r="ENQ16" s="34"/>
      <c r="ENR16" s="34"/>
      <c r="ENS16" s="34"/>
      <c r="ENT16" s="34"/>
      <c r="ENU16" s="34"/>
      <c r="ENV16" s="34"/>
      <c r="ENW16" s="34"/>
      <c r="ENX16" s="34"/>
      <c r="ENY16" s="34"/>
      <c r="ENZ16" s="34"/>
      <c r="EOA16" s="34"/>
      <c r="EOB16" s="34"/>
      <c r="EOC16" s="34"/>
      <c r="EOD16" s="34"/>
      <c r="EOE16" s="34"/>
      <c r="EOF16" s="34"/>
      <c r="EOG16" s="34"/>
      <c r="EOH16" s="34"/>
      <c r="EOI16" s="34"/>
      <c r="EOJ16" s="34"/>
      <c r="EOK16" s="34"/>
      <c r="EOL16" s="34"/>
      <c r="EOM16" s="34"/>
      <c r="EON16" s="34"/>
      <c r="EOO16" s="34"/>
      <c r="EOP16" s="34"/>
      <c r="EOQ16" s="34"/>
      <c r="EOR16" s="34"/>
      <c r="EOS16" s="34"/>
      <c r="EOT16" s="34"/>
      <c r="EOU16" s="34"/>
      <c r="EOV16" s="34"/>
      <c r="EOW16" s="34"/>
      <c r="EOX16" s="34"/>
      <c r="EOY16" s="34"/>
      <c r="EOZ16" s="34"/>
      <c r="EPA16" s="34"/>
      <c r="EPB16" s="34"/>
      <c r="EPC16" s="34"/>
      <c r="EPD16" s="34"/>
      <c r="EPE16" s="34"/>
      <c r="EPF16" s="34"/>
      <c r="EPG16" s="34"/>
      <c r="EPH16" s="34"/>
      <c r="EPI16" s="34"/>
      <c r="EPJ16" s="34"/>
      <c r="EPK16" s="34"/>
      <c r="EPL16" s="34"/>
      <c r="EPM16" s="34"/>
      <c r="EPN16" s="34"/>
      <c r="EPO16" s="34"/>
      <c r="EPP16" s="34"/>
      <c r="EPQ16" s="34"/>
      <c r="EPR16" s="34"/>
      <c r="EPS16" s="34"/>
      <c r="EPT16" s="34"/>
      <c r="EPU16" s="34"/>
      <c r="EPV16" s="34"/>
      <c r="EPW16" s="34"/>
      <c r="EPX16" s="34"/>
      <c r="EPY16" s="34"/>
      <c r="EPZ16" s="34"/>
      <c r="EQA16" s="34"/>
      <c r="EQB16" s="34"/>
      <c r="EQC16" s="34"/>
      <c r="EQD16" s="34"/>
      <c r="EQE16" s="34"/>
      <c r="EQF16" s="34"/>
      <c r="EQG16" s="34"/>
      <c r="EQH16" s="34"/>
      <c r="EQI16" s="34"/>
      <c r="EQJ16" s="34"/>
      <c r="EQK16" s="34"/>
      <c r="EQL16" s="34"/>
      <c r="EQM16" s="34"/>
      <c r="EQN16" s="34"/>
      <c r="EQO16" s="34"/>
      <c r="EQP16" s="34"/>
      <c r="EQQ16" s="34"/>
      <c r="EQR16" s="34"/>
      <c r="EQS16" s="34"/>
      <c r="EQT16" s="34"/>
      <c r="EQU16" s="34"/>
      <c r="EQV16" s="34"/>
      <c r="EQW16" s="34"/>
      <c r="EQX16" s="34"/>
      <c r="EQY16" s="34"/>
      <c r="EQZ16" s="34"/>
      <c r="ERA16" s="34"/>
      <c r="ERB16" s="34"/>
      <c r="ERC16" s="34"/>
      <c r="ERD16" s="34"/>
      <c r="ERE16" s="34"/>
      <c r="ERF16" s="34"/>
      <c r="ERG16" s="34"/>
      <c r="ERH16" s="34"/>
      <c r="ERI16" s="34"/>
      <c r="ERJ16" s="34"/>
      <c r="ERK16" s="34"/>
      <c r="ERL16" s="34"/>
      <c r="ERM16" s="34"/>
      <c r="ERN16" s="34"/>
      <c r="ERO16" s="34"/>
      <c r="ERP16" s="34"/>
      <c r="ERQ16" s="34"/>
      <c r="ERR16" s="34"/>
      <c r="ERS16" s="34"/>
      <c r="ERT16" s="34"/>
      <c r="ERU16" s="34"/>
      <c r="ERV16" s="34"/>
      <c r="ERW16" s="34"/>
      <c r="ERX16" s="34"/>
      <c r="ERY16" s="34"/>
      <c r="ERZ16" s="34"/>
      <c r="ESA16" s="34"/>
      <c r="ESB16" s="34"/>
      <c r="ESC16" s="34"/>
      <c r="ESD16" s="34"/>
      <c r="ESE16" s="34"/>
      <c r="ESF16" s="34"/>
      <c r="ESG16" s="34"/>
      <c r="ESH16" s="34"/>
      <c r="ESI16" s="34"/>
      <c r="ESJ16" s="34"/>
      <c r="ESK16" s="34"/>
      <c r="ESL16" s="34"/>
      <c r="ESM16" s="34"/>
      <c r="ESN16" s="34"/>
      <c r="ESO16" s="34"/>
      <c r="ESP16" s="34"/>
      <c r="ESQ16" s="34"/>
      <c r="ESR16" s="34"/>
      <c r="ESS16" s="34"/>
      <c r="EST16" s="34"/>
      <c r="ESU16" s="34"/>
      <c r="ESV16" s="34"/>
      <c r="ESW16" s="34"/>
      <c r="ESX16" s="34"/>
      <c r="ESY16" s="34"/>
      <c r="ESZ16" s="34"/>
      <c r="ETA16" s="34"/>
      <c r="ETB16" s="34"/>
      <c r="ETC16" s="34"/>
      <c r="ETD16" s="34"/>
      <c r="ETE16" s="34"/>
      <c r="ETF16" s="34"/>
      <c r="ETG16" s="34"/>
      <c r="ETH16" s="34"/>
      <c r="ETI16" s="34"/>
      <c r="ETJ16" s="34"/>
      <c r="ETK16" s="34"/>
      <c r="ETL16" s="34"/>
      <c r="ETM16" s="34"/>
      <c r="ETN16" s="34"/>
      <c r="ETO16" s="34"/>
      <c r="ETP16" s="34"/>
      <c r="ETQ16" s="34"/>
      <c r="ETR16" s="34"/>
      <c r="ETS16" s="34"/>
      <c r="ETT16" s="34"/>
      <c r="ETU16" s="34"/>
      <c r="ETV16" s="34"/>
      <c r="ETW16" s="34"/>
      <c r="ETX16" s="34"/>
      <c r="ETY16" s="34"/>
      <c r="ETZ16" s="34"/>
      <c r="EUA16" s="34"/>
      <c r="EUB16" s="34"/>
      <c r="EUC16" s="34"/>
      <c r="EUD16" s="34"/>
      <c r="EUE16" s="34"/>
      <c r="EUF16" s="34"/>
      <c r="EUG16" s="34"/>
      <c r="EUH16" s="34"/>
      <c r="EUI16" s="34"/>
      <c r="EUJ16" s="34"/>
      <c r="EUK16" s="34"/>
      <c r="EUL16" s="34"/>
      <c r="EUM16" s="34"/>
      <c r="EUN16" s="34"/>
      <c r="EUO16" s="34"/>
      <c r="EUP16" s="34"/>
      <c r="EUQ16" s="34"/>
      <c r="EUR16" s="34"/>
      <c r="EUS16" s="34"/>
      <c r="EUT16" s="34"/>
      <c r="EUU16" s="34"/>
      <c r="EUV16" s="34"/>
      <c r="EUW16" s="34"/>
      <c r="EUX16" s="34"/>
      <c r="EUY16" s="34"/>
      <c r="EUZ16" s="34"/>
      <c r="EVA16" s="34"/>
      <c r="EVB16" s="34"/>
      <c r="EVC16" s="34"/>
      <c r="EVD16" s="34"/>
      <c r="EVE16" s="34"/>
      <c r="EVF16" s="34"/>
      <c r="EVG16" s="34"/>
      <c r="EVH16" s="34"/>
      <c r="EVI16" s="34"/>
      <c r="EVJ16" s="34"/>
      <c r="EVK16" s="34"/>
      <c r="EVL16" s="34"/>
      <c r="EVM16" s="34"/>
      <c r="EVN16" s="34"/>
      <c r="EVO16" s="34"/>
      <c r="EVP16" s="34"/>
      <c r="EVQ16" s="34"/>
      <c r="EVR16" s="34"/>
      <c r="EVS16" s="34"/>
      <c r="EVT16" s="34"/>
      <c r="EVU16" s="34"/>
      <c r="EVV16" s="34"/>
      <c r="EVW16" s="34"/>
      <c r="EVX16" s="34"/>
      <c r="EVY16" s="34"/>
      <c r="EVZ16" s="34"/>
      <c r="EWA16" s="34"/>
      <c r="EWB16" s="34"/>
      <c r="EWC16" s="34"/>
      <c r="EWD16" s="34"/>
      <c r="EWE16" s="34"/>
      <c r="EWF16" s="34"/>
      <c r="EWG16" s="34"/>
      <c r="EWH16" s="34"/>
      <c r="EWI16" s="34"/>
      <c r="EWJ16" s="34"/>
      <c r="EWK16" s="34"/>
      <c r="EWL16" s="34"/>
      <c r="EWM16" s="34"/>
      <c r="EWN16" s="34"/>
      <c r="EWO16" s="34"/>
      <c r="EWP16" s="34"/>
      <c r="EWQ16" s="34"/>
      <c r="EWR16" s="34"/>
      <c r="EWS16" s="34"/>
      <c r="EWT16" s="34"/>
      <c r="EWU16" s="34"/>
      <c r="EWV16" s="34"/>
      <c r="EWW16" s="34"/>
      <c r="EWX16" s="34"/>
      <c r="EWY16" s="34"/>
      <c r="EWZ16" s="34"/>
      <c r="EXA16" s="34"/>
      <c r="EXB16" s="34"/>
      <c r="EXC16" s="34"/>
      <c r="EXD16" s="34"/>
      <c r="EXE16" s="34"/>
      <c r="EXF16" s="34"/>
      <c r="EXG16" s="34"/>
      <c r="EXH16" s="34"/>
      <c r="EXI16" s="34"/>
      <c r="EXJ16" s="34"/>
      <c r="EXK16" s="34"/>
      <c r="EXL16" s="34"/>
      <c r="EXM16" s="34"/>
      <c r="EXN16" s="34"/>
      <c r="EXO16" s="34"/>
      <c r="EXP16" s="34"/>
      <c r="EXQ16" s="34"/>
      <c r="EXR16" s="34"/>
      <c r="EXS16" s="34"/>
      <c r="EXT16" s="34"/>
      <c r="EXU16" s="34"/>
      <c r="EXV16" s="34"/>
      <c r="EXW16" s="34"/>
      <c r="EXX16" s="34"/>
      <c r="EXY16" s="34"/>
      <c r="EXZ16" s="34"/>
      <c r="EYA16" s="34"/>
      <c r="EYB16" s="34"/>
      <c r="EYC16" s="34"/>
      <c r="EYD16" s="34"/>
      <c r="EYE16" s="34"/>
      <c r="EYF16" s="34"/>
      <c r="EYG16" s="34"/>
      <c r="EYH16" s="34"/>
      <c r="EYI16" s="34"/>
      <c r="EYJ16" s="34"/>
      <c r="EYK16" s="34"/>
      <c r="EYL16" s="34"/>
      <c r="EYM16" s="34"/>
      <c r="EYN16" s="34"/>
      <c r="EYO16" s="34"/>
      <c r="EYP16" s="34"/>
      <c r="EYQ16" s="34"/>
      <c r="EYR16" s="34"/>
      <c r="EYS16" s="34"/>
      <c r="EYT16" s="34"/>
      <c r="EYU16" s="34"/>
      <c r="EYV16" s="34"/>
      <c r="EYW16" s="34"/>
      <c r="EYX16" s="34"/>
      <c r="EYY16" s="34"/>
      <c r="EYZ16" s="34"/>
      <c r="EZA16" s="34"/>
      <c r="EZB16" s="34"/>
      <c r="EZC16" s="34"/>
      <c r="EZD16" s="34"/>
      <c r="EZE16" s="34"/>
      <c r="EZF16" s="34"/>
      <c r="EZG16" s="34"/>
      <c r="EZH16" s="34"/>
      <c r="EZI16" s="34"/>
      <c r="EZJ16" s="34"/>
      <c r="EZK16" s="34"/>
      <c r="EZL16" s="34"/>
      <c r="EZM16" s="34"/>
      <c r="EZN16" s="34"/>
      <c r="EZO16" s="34"/>
      <c r="EZP16" s="34"/>
      <c r="EZQ16" s="34"/>
      <c r="EZR16" s="34"/>
      <c r="EZS16" s="34"/>
      <c r="EZT16" s="34"/>
      <c r="EZU16" s="34"/>
      <c r="EZV16" s="34"/>
      <c r="EZW16" s="34"/>
      <c r="EZX16" s="34"/>
      <c r="EZY16" s="34"/>
      <c r="EZZ16" s="34"/>
      <c r="FAA16" s="34"/>
      <c r="FAB16" s="34"/>
      <c r="FAC16" s="34"/>
      <c r="FAD16" s="34"/>
      <c r="FAE16" s="34"/>
      <c r="FAF16" s="34"/>
      <c r="FAG16" s="34"/>
      <c r="FAH16" s="34"/>
      <c r="FAI16" s="34"/>
      <c r="FAJ16" s="34"/>
      <c r="FAK16" s="34"/>
      <c r="FAL16" s="34"/>
      <c r="FAM16" s="34"/>
      <c r="FAN16" s="34"/>
      <c r="FAO16" s="34"/>
      <c r="FAP16" s="34"/>
      <c r="FAQ16" s="34"/>
      <c r="FAR16" s="34"/>
      <c r="FAS16" s="34"/>
      <c r="FAT16" s="34"/>
      <c r="FAU16" s="34"/>
      <c r="FAV16" s="34"/>
      <c r="FAW16" s="34"/>
      <c r="FAX16" s="34"/>
      <c r="FAY16" s="34"/>
      <c r="FAZ16" s="34"/>
      <c r="FBA16" s="34"/>
      <c r="FBB16" s="34"/>
      <c r="FBC16" s="34"/>
      <c r="FBD16" s="34"/>
      <c r="FBE16" s="34"/>
      <c r="FBF16" s="34"/>
      <c r="FBG16" s="34"/>
      <c r="FBH16" s="34"/>
      <c r="FBI16" s="34"/>
      <c r="FBJ16" s="34"/>
      <c r="FBK16" s="34"/>
      <c r="FBL16" s="34"/>
      <c r="FBM16" s="34"/>
      <c r="FBN16" s="34"/>
      <c r="FBO16" s="34"/>
      <c r="FBP16" s="34"/>
      <c r="FBQ16" s="34"/>
      <c r="FBR16" s="34"/>
      <c r="FBS16" s="34"/>
      <c r="FBT16" s="34"/>
      <c r="FBU16" s="34"/>
      <c r="FBV16" s="34"/>
      <c r="FBW16" s="34"/>
      <c r="FBX16" s="34"/>
      <c r="FBY16" s="34"/>
      <c r="FBZ16" s="34"/>
      <c r="FCA16" s="34"/>
      <c r="FCB16" s="34"/>
      <c r="FCC16" s="34"/>
      <c r="FCD16" s="34"/>
      <c r="FCE16" s="34"/>
      <c r="FCF16" s="34"/>
      <c r="FCG16" s="34"/>
      <c r="FCH16" s="34"/>
      <c r="FCI16" s="34"/>
      <c r="FCJ16" s="34"/>
      <c r="FCK16" s="34"/>
      <c r="FCL16" s="34"/>
      <c r="FCM16" s="34"/>
      <c r="FCN16" s="34"/>
      <c r="FCO16" s="34"/>
      <c r="FCP16" s="34"/>
      <c r="FCQ16" s="34"/>
      <c r="FCR16" s="34"/>
      <c r="FCS16" s="34"/>
      <c r="FCT16" s="34"/>
      <c r="FCU16" s="34"/>
      <c r="FCV16" s="34"/>
      <c r="FCW16" s="34"/>
      <c r="FCX16" s="34"/>
      <c r="FCY16" s="34"/>
      <c r="FCZ16" s="34"/>
      <c r="FDA16" s="34"/>
      <c r="FDB16" s="34"/>
      <c r="FDC16" s="34"/>
      <c r="FDD16" s="34"/>
      <c r="FDE16" s="34"/>
      <c r="FDF16" s="34"/>
      <c r="FDG16" s="34"/>
      <c r="FDH16" s="34"/>
      <c r="FDI16" s="34"/>
      <c r="FDJ16" s="34"/>
      <c r="FDK16" s="34"/>
      <c r="FDL16" s="34"/>
      <c r="FDM16" s="34"/>
      <c r="FDN16" s="34"/>
      <c r="FDO16" s="34"/>
      <c r="FDP16" s="34"/>
      <c r="FDQ16" s="34"/>
      <c r="FDR16" s="34"/>
      <c r="FDS16" s="34"/>
      <c r="FDT16" s="34"/>
      <c r="FDU16" s="34"/>
      <c r="FDV16" s="34"/>
      <c r="FDW16" s="34"/>
      <c r="FDX16" s="34"/>
      <c r="FDY16" s="34"/>
      <c r="FDZ16" s="34"/>
      <c r="FEA16" s="34"/>
      <c r="FEB16" s="34"/>
      <c r="FEC16" s="34"/>
      <c r="FED16" s="34"/>
      <c r="FEE16" s="34"/>
      <c r="FEF16" s="34"/>
      <c r="FEG16" s="34"/>
      <c r="FEH16" s="34"/>
      <c r="FEI16" s="34"/>
      <c r="FEJ16" s="34"/>
      <c r="FEK16" s="34"/>
      <c r="FEL16" s="34"/>
      <c r="FEM16" s="34"/>
      <c r="FEN16" s="34"/>
      <c r="FEO16" s="34"/>
      <c r="FEP16" s="34"/>
      <c r="FEQ16" s="34"/>
      <c r="FER16" s="34"/>
      <c r="FES16" s="34"/>
      <c r="FET16" s="34"/>
      <c r="FEU16" s="34"/>
      <c r="FEV16" s="34"/>
      <c r="FEW16" s="34"/>
      <c r="FEX16" s="34"/>
      <c r="FEY16" s="34"/>
      <c r="FEZ16" s="34"/>
      <c r="FFA16" s="34"/>
      <c r="FFB16" s="34"/>
      <c r="FFC16" s="34"/>
      <c r="FFD16" s="34"/>
      <c r="FFE16" s="34"/>
      <c r="FFF16" s="34"/>
      <c r="FFG16" s="34"/>
      <c r="FFH16" s="34"/>
      <c r="FFI16" s="34"/>
      <c r="FFJ16" s="34"/>
      <c r="FFK16" s="34"/>
      <c r="FFL16" s="34"/>
      <c r="FFM16" s="34"/>
      <c r="FFN16" s="34"/>
      <c r="FFO16" s="34"/>
      <c r="FFP16" s="34"/>
      <c r="FFQ16" s="34"/>
      <c r="FFR16" s="34"/>
      <c r="FFS16" s="34"/>
      <c r="FFT16" s="34"/>
      <c r="FFU16" s="34"/>
      <c r="FFV16" s="34"/>
      <c r="FFW16" s="34"/>
      <c r="FFX16" s="34"/>
      <c r="FFY16" s="34"/>
      <c r="FFZ16" s="34"/>
      <c r="FGA16" s="34"/>
      <c r="FGB16" s="34"/>
      <c r="FGC16" s="34"/>
      <c r="FGD16" s="34"/>
      <c r="FGE16" s="34"/>
      <c r="FGF16" s="34"/>
      <c r="FGG16" s="34"/>
      <c r="FGH16" s="34"/>
      <c r="FGI16" s="34"/>
      <c r="FGJ16" s="34"/>
      <c r="FGK16" s="34"/>
      <c r="FGL16" s="34"/>
      <c r="FGM16" s="34"/>
      <c r="FGN16" s="34"/>
      <c r="FGO16" s="34"/>
      <c r="FGP16" s="34"/>
      <c r="FGQ16" s="34"/>
      <c r="FGR16" s="34"/>
      <c r="FGS16" s="34"/>
      <c r="FGT16" s="34"/>
      <c r="FGU16" s="34"/>
      <c r="FGV16" s="34"/>
      <c r="FGW16" s="34"/>
      <c r="FGX16" s="34"/>
      <c r="FGY16" s="34"/>
      <c r="FGZ16" s="34"/>
      <c r="FHA16" s="34"/>
      <c r="FHB16" s="34"/>
      <c r="FHC16" s="34"/>
      <c r="FHD16" s="34"/>
      <c r="FHE16" s="34"/>
      <c r="FHF16" s="34"/>
      <c r="FHG16" s="34"/>
      <c r="FHH16" s="34"/>
      <c r="FHI16" s="34"/>
      <c r="FHJ16" s="34"/>
      <c r="FHK16" s="34"/>
      <c r="FHL16" s="34"/>
      <c r="FHM16" s="34"/>
      <c r="FHN16" s="34"/>
      <c r="FHO16" s="34"/>
      <c r="FHP16" s="34"/>
      <c r="FHQ16" s="34"/>
      <c r="FHR16" s="34"/>
      <c r="FHS16" s="34"/>
      <c r="FHT16" s="34"/>
      <c r="FHU16" s="34"/>
      <c r="FHV16" s="34"/>
      <c r="FHW16" s="34"/>
      <c r="FHX16" s="34"/>
      <c r="FHY16" s="34"/>
      <c r="FHZ16" s="34"/>
      <c r="FIA16" s="34"/>
      <c r="FIB16" s="34"/>
      <c r="FIC16" s="34"/>
      <c r="FID16" s="34"/>
      <c r="FIE16" s="34"/>
      <c r="FIF16" s="34"/>
      <c r="FIG16" s="34"/>
      <c r="FIH16" s="34"/>
      <c r="FII16" s="34"/>
      <c r="FIJ16" s="34"/>
      <c r="FIK16" s="34"/>
      <c r="FIL16" s="34"/>
      <c r="FIM16" s="34"/>
      <c r="FIN16" s="34"/>
      <c r="FIO16" s="34"/>
      <c r="FIP16" s="34"/>
      <c r="FIQ16" s="34"/>
      <c r="FIR16" s="34"/>
      <c r="FIS16" s="34"/>
      <c r="FIT16" s="34"/>
      <c r="FIU16" s="34"/>
      <c r="FIV16" s="34"/>
      <c r="FIW16" s="34"/>
      <c r="FIX16" s="34"/>
      <c r="FIY16" s="34"/>
      <c r="FIZ16" s="34"/>
      <c r="FJA16" s="34"/>
      <c r="FJB16" s="34"/>
      <c r="FJC16" s="34"/>
      <c r="FJD16" s="34"/>
      <c r="FJE16" s="34"/>
      <c r="FJF16" s="34"/>
      <c r="FJG16" s="34"/>
      <c r="FJH16" s="34"/>
      <c r="FJI16" s="34"/>
      <c r="FJJ16" s="34"/>
      <c r="FJK16" s="34"/>
      <c r="FJL16" s="34"/>
      <c r="FJM16" s="34"/>
      <c r="FJN16" s="34"/>
      <c r="FJO16" s="34"/>
      <c r="FJP16" s="34"/>
      <c r="FJQ16" s="34"/>
      <c r="FJR16" s="34"/>
      <c r="FJS16" s="34"/>
      <c r="FJT16" s="34"/>
      <c r="FJU16" s="34"/>
      <c r="FJV16" s="34"/>
      <c r="FJW16" s="34"/>
      <c r="FJX16" s="34"/>
      <c r="FJY16" s="34"/>
      <c r="FJZ16" s="34"/>
      <c r="FKA16" s="34"/>
      <c r="FKB16" s="34"/>
      <c r="FKC16" s="34"/>
      <c r="FKD16" s="34"/>
      <c r="FKE16" s="34"/>
      <c r="FKF16" s="34"/>
      <c r="FKG16" s="34"/>
      <c r="FKH16" s="34"/>
      <c r="FKI16" s="34"/>
      <c r="FKJ16" s="34"/>
      <c r="FKK16" s="34"/>
      <c r="FKL16" s="34"/>
      <c r="FKM16" s="34"/>
      <c r="FKN16" s="34"/>
      <c r="FKO16" s="34"/>
      <c r="FKP16" s="34"/>
      <c r="FKQ16" s="34"/>
      <c r="FKR16" s="34"/>
      <c r="FKS16" s="34"/>
      <c r="FKT16" s="34"/>
      <c r="FKU16" s="34"/>
      <c r="FKV16" s="34"/>
      <c r="FKW16" s="34"/>
      <c r="FKX16" s="34"/>
      <c r="FKY16" s="34"/>
      <c r="FKZ16" s="34"/>
      <c r="FLA16" s="34"/>
      <c r="FLB16" s="34"/>
      <c r="FLC16" s="34"/>
      <c r="FLD16" s="34"/>
      <c r="FLE16" s="34"/>
      <c r="FLF16" s="34"/>
      <c r="FLG16" s="34"/>
      <c r="FLH16" s="34"/>
      <c r="FLI16" s="34"/>
      <c r="FLJ16" s="34"/>
      <c r="FLK16" s="34"/>
      <c r="FLL16" s="34"/>
      <c r="FLM16" s="34"/>
      <c r="FLN16" s="34"/>
      <c r="FLO16" s="34"/>
      <c r="FLP16" s="34"/>
      <c r="FLQ16" s="34"/>
      <c r="FLR16" s="34"/>
      <c r="FLS16" s="34"/>
      <c r="FLT16" s="34"/>
      <c r="FLU16" s="34"/>
      <c r="FLV16" s="34"/>
      <c r="FLW16" s="34"/>
      <c r="FLX16" s="34"/>
      <c r="FLY16" s="34"/>
      <c r="FLZ16" s="34"/>
      <c r="FMA16" s="34"/>
      <c r="FMB16" s="34"/>
      <c r="FMC16" s="34"/>
      <c r="FMD16" s="34"/>
      <c r="FME16" s="34"/>
      <c r="FMF16" s="34"/>
      <c r="FMG16" s="34"/>
      <c r="FMH16" s="34"/>
      <c r="FMI16" s="34"/>
      <c r="FMJ16" s="34"/>
      <c r="FMK16" s="34"/>
      <c r="FML16" s="34"/>
      <c r="FMM16" s="34"/>
      <c r="FMN16" s="34"/>
      <c r="FMO16" s="34"/>
      <c r="FMP16" s="34"/>
      <c r="FMQ16" s="34"/>
      <c r="FMR16" s="34"/>
      <c r="FMS16" s="34"/>
      <c r="FMT16" s="34"/>
      <c r="FMU16" s="34"/>
      <c r="FMV16" s="34"/>
      <c r="FMW16" s="34"/>
      <c r="FMX16" s="34"/>
      <c r="FMY16" s="34"/>
      <c r="FMZ16" s="34"/>
      <c r="FNA16" s="34"/>
      <c r="FNB16" s="34"/>
      <c r="FNC16" s="34"/>
      <c r="FND16" s="34"/>
      <c r="FNE16" s="34"/>
      <c r="FNF16" s="34"/>
      <c r="FNG16" s="34"/>
      <c r="FNH16" s="34"/>
      <c r="FNI16" s="34"/>
      <c r="FNJ16" s="34"/>
      <c r="FNK16" s="34"/>
      <c r="FNL16" s="34"/>
      <c r="FNM16" s="34"/>
      <c r="FNN16" s="34"/>
      <c r="FNO16" s="34"/>
      <c r="FNP16" s="34"/>
      <c r="FNQ16" s="34"/>
      <c r="FNR16" s="34"/>
      <c r="FNS16" s="34"/>
      <c r="FNT16" s="34"/>
      <c r="FNU16" s="34"/>
      <c r="FNV16" s="34"/>
      <c r="FNW16" s="34"/>
      <c r="FNX16" s="34"/>
      <c r="FNY16" s="34"/>
      <c r="FNZ16" s="34"/>
      <c r="FOA16" s="34"/>
      <c r="FOB16" s="34"/>
      <c r="FOC16" s="34"/>
      <c r="FOD16" s="34"/>
      <c r="FOE16" s="34"/>
      <c r="FOF16" s="34"/>
      <c r="FOG16" s="34"/>
      <c r="FOH16" s="34"/>
      <c r="FOI16" s="34"/>
      <c r="FOJ16" s="34"/>
      <c r="FOK16" s="34"/>
      <c r="FOL16" s="34"/>
      <c r="FOM16" s="34"/>
      <c r="FON16" s="34"/>
      <c r="FOO16" s="34"/>
      <c r="FOP16" s="34"/>
      <c r="FOQ16" s="34"/>
      <c r="FOR16" s="34"/>
      <c r="FOS16" s="34"/>
      <c r="FOT16" s="34"/>
      <c r="FOU16" s="34"/>
      <c r="FOV16" s="34"/>
      <c r="FOW16" s="34"/>
      <c r="FOX16" s="34"/>
      <c r="FOY16" s="34"/>
      <c r="FOZ16" s="34"/>
      <c r="FPA16" s="34"/>
      <c r="FPB16" s="34"/>
      <c r="FPC16" s="34"/>
      <c r="FPD16" s="34"/>
      <c r="FPE16" s="34"/>
      <c r="FPF16" s="34"/>
      <c r="FPG16" s="34"/>
      <c r="FPH16" s="34"/>
      <c r="FPI16" s="34"/>
      <c r="FPJ16" s="34"/>
      <c r="FPK16" s="34"/>
      <c r="FPL16" s="34"/>
      <c r="FPM16" s="34"/>
      <c r="FPN16" s="34"/>
      <c r="FPO16" s="34"/>
      <c r="FPP16" s="34"/>
      <c r="FPQ16" s="34"/>
      <c r="FPR16" s="34"/>
      <c r="FPS16" s="34"/>
      <c r="FPT16" s="34"/>
      <c r="FPU16" s="34"/>
      <c r="FPV16" s="34"/>
      <c r="FPW16" s="34"/>
      <c r="FPX16" s="34"/>
      <c r="FPY16" s="34"/>
      <c r="FPZ16" s="34"/>
      <c r="FQA16" s="34"/>
      <c r="FQB16" s="34"/>
      <c r="FQC16" s="34"/>
      <c r="FQD16" s="34"/>
      <c r="FQE16" s="34"/>
      <c r="FQF16" s="34"/>
      <c r="FQG16" s="34"/>
      <c r="FQH16" s="34"/>
      <c r="FQI16" s="34"/>
      <c r="FQJ16" s="34"/>
      <c r="FQK16" s="34"/>
      <c r="FQL16" s="34"/>
      <c r="FQM16" s="34"/>
      <c r="FQN16" s="34"/>
      <c r="FQO16" s="34"/>
      <c r="FQP16" s="34"/>
      <c r="FQQ16" s="34"/>
      <c r="FQR16" s="34"/>
      <c r="FQS16" s="34"/>
      <c r="FQT16" s="34"/>
      <c r="FQU16" s="34"/>
      <c r="FQV16" s="34"/>
      <c r="FQW16" s="34"/>
      <c r="FQX16" s="34"/>
      <c r="FQY16" s="34"/>
      <c r="FQZ16" s="34"/>
      <c r="FRA16" s="34"/>
      <c r="FRB16" s="34"/>
      <c r="FRC16" s="34"/>
      <c r="FRD16" s="34"/>
      <c r="FRE16" s="34"/>
      <c r="FRF16" s="34"/>
      <c r="FRG16" s="34"/>
      <c r="FRH16" s="34"/>
      <c r="FRI16" s="34"/>
      <c r="FRJ16" s="34"/>
      <c r="FRK16" s="34"/>
      <c r="FRL16" s="34"/>
      <c r="FRM16" s="34"/>
      <c r="FRN16" s="34"/>
      <c r="FRO16" s="34"/>
      <c r="FRP16" s="34"/>
      <c r="FRQ16" s="34"/>
      <c r="FRR16" s="34"/>
      <c r="FRS16" s="34"/>
      <c r="FRT16" s="34"/>
      <c r="FRU16" s="34"/>
      <c r="FRV16" s="34"/>
      <c r="FRW16" s="34"/>
      <c r="FRX16" s="34"/>
      <c r="FRY16" s="34"/>
      <c r="FRZ16" s="34"/>
      <c r="FSA16" s="34"/>
      <c r="FSB16" s="34"/>
      <c r="FSC16" s="34"/>
      <c r="FSD16" s="34"/>
      <c r="FSE16" s="34"/>
      <c r="FSF16" s="34"/>
      <c r="FSG16" s="34"/>
      <c r="FSH16" s="34"/>
      <c r="FSI16" s="34"/>
      <c r="FSJ16" s="34"/>
      <c r="FSK16" s="34"/>
      <c r="FSL16" s="34"/>
      <c r="FSM16" s="34"/>
      <c r="FSN16" s="34"/>
      <c r="FSO16" s="34"/>
      <c r="FSP16" s="34"/>
      <c r="FSQ16" s="34"/>
      <c r="FSR16" s="34"/>
      <c r="FSS16" s="34"/>
      <c r="FST16" s="34"/>
      <c r="FSU16" s="34"/>
      <c r="FSV16" s="34"/>
      <c r="FSW16" s="34"/>
      <c r="FSX16" s="34"/>
      <c r="FSY16" s="34"/>
      <c r="FSZ16" s="34"/>
      <c r="FTA16" s="34"/>
      <c r="FTB16" s="34"/>
      <c r="FTC16" s="34"/>
      <c r="FTD16" s="34"/>
      <c r="FTE16" s="34"/>
      <c r="FTF16" s="34"/>
      <c r="FTG16" s="34"/>
      <c r="FTH16" s="34"/>
      <c r="FTI16" s="34"/>
      <c r="FTJ16" s="34"/>
      <c r="FTK16" s="34"/>
      <c r="FTL16" s="34"/>
      <c r="FTM16" s="34"/>
      <c r="FTN16" s="34"/>
      <c r="FTO16" s="34"/>
      <c r="FTP16" s="34"/>
      <c r="FTQ16" s="34"/>
      <c r="FTR16" s="34"/>
      <c r="FTS16" s="34"/>
      <c r="FTT16" s="34"/>
      <c r="FTU16" s="34"/>
      <c r="FTV16" s="34"/>
      <c r="FTW16" s="34"/>
      <c r="FTX16" s="34"/>
      <c r="FTY16" s="34"/>
      <c r="FTZ16" s="34"/>
      <c r="FUA16" s="34"/>
      <c r="FUB16" s="34"/>
      <c r="FUC16" s="34"/>
      <c r="FUD16" s="34"/>
      <c r="FUE16" s="34"/>
      <c r="FUF16" s="34"/>
      <c r="FUG16" s="34"/>
      <c r="FUH16" s="34"/>
      <c r="FUI16" s="34"/>
      <c r="FUJ16" s="34"/>
      <c r="FUK16" s="34"/>
      <c r="FUL16" s="34"/>
      <c r="FUM16" s="34"/>
      <c r="FUN16" s="34"/>
      <c r="FUO16" s="34"/>
      <c r="FUP16" s="34"/>
      <c r="FUQ16" s="34"/>
      <c r="FUR16" s="34"/>
      <c r="FUS16" s="34"/>
      <c r="FUT16" s="34"/>
      <c r="FUU16" s="34"/>
      <c r="FUV16" s="34"/>
      <c r="FUW16" s="34"/>
      <c r="FUX16" s="34"/>
      <c r="FUY16" s="34"/>
      <c r="FUZ16" s="34"/>
      <c r="FVA16" s="34"/>
      <c r="FVB16" s="34"/>
      <c r="FVC16" s="34"/>
      <c r="FVD16" s="34"/>
      <c r="FVE16" s="34"/>
      <c r="FVF16" s="34"/>
      <c r="FVG16" s="34"/>
      <c r="FVH16" s="34"/>
      <c r="FVI16" s="34"/>
      <c r="FVJ16" s="34"/>
      <c r="FVK16" s="34"/>
      <c r="FVL16" s="34"/>
      <c r="FVM16" s="34"/>
      <c r="FVN16" s="34"/>
      <c r="FVO16" s="34"/>
      <c r="FVP16" s="34"/>
      <c r="FVQ16" s="34"/>
      <c r="FVR16" s="34"/>
      <c r="FVS16" s="34"/>
      <c r="FVT16" s="34"/>
      <c r="FVU16" s="34"/>
      <c r="FVV16" s="34"/>
      <c r="FVW16" s="34"/>
      <c r="FVX16" s="34"/>
      <c r="FVY16" s="34"/>
      <c r="FVZ16" s="34"/>
      <c r="FWA16" s="34"/>
      <c r="FWB16" s="34"/>
      <c r="FWC16" s="34"/>
      <c r="FWD16" s="34"/>
      <c r="FWE16" s="34"/>
      <c r="FWF16" s="34"/>
      <c r="FWG16" s="34"/>
      <c r="FWH16" s="34"/>
      <c r="FWI16" s="34"/>
      <c r="FWJ16" s="34"/>
      <c r="FWK16" s="34"/>
      <c r="FWL16" s="34"/>
      <c r="FWM16" s="34"/>
      <c r="FWN16" s="34"/>
      <c r="FWO16" s="34"/>
      <c r="FWP16" s="34"/>
      <c r="FWQ16" s="34"/>
      <c r="FWR16" s="34"/>
      <c r="FWS16" s="34"/>
      <c r="FWT16" s="34"/>
      <c r="FWU16" s="34"/>
      <c r="FWV16" s="34"/>
      <c r="FWW16" s="34"/>
      <c r="FWX16" s="34"/>
      <c r="FWY16" s="34"/>
      <c r="FWZ16" s="34"/>
      <c r="FXA16" s="34"/>
      <c r="FXB16" s="34"/>
      <c r="FXC16" s="34"/>
      <c r="FXD16" s="34"/>
      <c r="FXE16" s="34"/>
      <c r="FXF16" s="34"/>
      <c r="FXG16" s="34"/>
      <c r="FXH16" s="34"/>
      <c r="FXI16" s="34"/>
      <c r="FXJ16" s="34"/>
      <c r="FXK16" s="34"/>
      <c r="FXL16" s="34"/>
      <c r="FXM16" s="34"/>
      <c r="FXN16" s="34"/>
      <c r="FXO16" s="34"/>
      <c r="FXP16" s="34"/>
      <c r="FXQ16" s="34"/>
      <c r="FXR16" s="34"/>
      <c r="FXS16" s="34"/>
      <c r="FXT16" s="34"/>
      <c r="FXU16" s="34"/>
      <c r="FXV16" s="34"/>
      <c r="FXW16" s="34"/>
      <c r="FXX16" s="34"/>
      <c r="FXY16" s="34"/>
      <c r="FXZ16" s="34"/>
      <c r="FYA16" s="34"/>
      <c r="FYB16" s="34"/>
      <c r="FYC16" s="34"/>
      <c r="FYD16" s="34"/>
      <c r="FYE16" s="34"/>
      <c r="FYF16" s="34"/>
      <c r="FYG16" s="34"/>
      <c r="FYH16" s="34"/>
      <c r="FYI16" s="34"/>
      <c r="FYJ16" s="34"/>
      <c r="FYK16" s="34"/>
      <c r="FYL16" s="34"/>
      <c r="FYM16" s="34"/>
      <c r="FYN16" s="34"/>
      <c r="FYO16" s="34"/>
      <c r="FYP16" s="34"/>
      <c r="FYQ16" s="34"/>
      <c r="FYR16" s="34"/>
      <c r="FYS16" s="34"/>
      <c r="FYT16" s="34"/>
      <c r="FYU16" s="34"/>
      <c r="FYV16" s="34"/>
      <c r="FYW16" s="34"/>
      <c r="FYX16" s="34"/>
      <c r="FYY16" s="34"/>
      <c r="FYZ16" s="34"/>
      <c r="FZA16" s="34"/>
      <c r="FZB16" s="34"/>
      <c r="FZC16" s="34"/>
      <c r="FZD16" s="34"/>
      <c r="FZE16" s="34"/>
      <c r="FZF16" s="34"/>
      <c r="FZG16" s="34"/>
      <c r="FZH16" s="34"/>
      <c r="FZI16" s="34"/>
      <c r="FZJ16" s="34"/>
      <c r="FZK16" s="34"/>
      <c r="FZL16" s="34"/>
      <c r="FZM16" s="34"/>
      <c r="FZN16" s="34"/>
      <c r="FZO16" s="34"/>
      <c r="FZP16" s="34"/>
      <c r="FZQ16" s="34"/>
      <c r="FZR16" s="34"/>
      <c r="FZS16" s="34"/>
      <c r="FZT16" s="34"/>
      <c r="FZU16" s="34"/>
      <c r="FZV16" s="34"/>
      <c r="FZW16" s="34"/>
      <c r="FZX16" s="34"/>
      <c r="FZY16" s="34"/>
      <c r="FZZ16" s="34"/>
      <c r="GAA16" s="34"/>
      <c r="GAB16" s="34"/>
      <c r="GAC16" s="34"/>
      <c r="GAD16" s="34"/>
      <c r="GAE16" s="34"/>
      <c r="GAF16" s="34"/>
      <c r="GAG16" s="34"/>
      <c r="GAH16" s="34"/>
      <c r="GAI16" s="34"/>
      <c r="GAJ16" s="34"/>
      <c r="GAK16" s="34"/>
      <c r="GAL16" s="34"/>
      <c r="GAM16" s="34"/>
      <c r="GAN16" s="34"/>
      <c r="GAO16" s="34"/>
      <c r="GAP16" s="34"/>
      <c r="GAQ16" s="34"/>
      <c r="GAR16" s="34"/>
      <c r="GAS16" s="34"/>
      <c r="GAT16" s="34"/>
      <c r="GAU16" s="34"/>
      <c r="GAV16" s="34"/>
      <c r="GAW16" s="34"/>
      <c r="GAX16" s="34"/>
      <c r="GAY16" s="34"/>
      <c r="GAZ16" s="34"/>
      <c r="GBA16" s="34"/>
      <c r="GBB16" s="34"/>
      <c r="GBC16" s="34"/>
      <c r="GBD16" s="34"/>
      <c r="GBE16" s="34"/>
      <c r="GBF16" s="34"/>
      <c r="GBG16" s="34"/>
      <c r="GBH16" s="34"/>
      <c r="GBI16" s="34"/>
      <c r="GBJ16" s="34"/>
      <c r="GBK16" s="34"/>
      <c r="GBL16" s="34"/>
      <c r="GBM16" s="34"/>
      <c r="GBN16" s="34"/>
      <c r="GBO16" s="34"/>
      <c r="GBP16" s="34"/>
      <c r="GBQ16" s="34"/>
      <c r="GBR16" s="34"/>
      <c r="GBS16" s="34"/>
      <c r="GBT16" s="34"/>
      <c r="GBU16" s="34"/>
      <c r="GBV16" s="34"/>
      <c r="GBW16" s="34"/>
      <c r="GBX16" s="34"/>
      <c r="GBY16" s="34"/>
      <c r="GBZ16" s="34"/>
      <c r="GCA16" s="34"/>
      <c r="GCB16" s="34"/>
      <c r="GCC16" s="34"/>
      <c r="GCD16" s="34"/>
      <c r="GCE16" s="34"/>
      <c r="GCF16" s="34"/>
      <c r="GCG16" s="34"/>
      <c r="GCH16" s="34"/>
      <c r="GCI16" s="34"/>
      <c r="GCJ16" s="34"/>
      <c r="GCK16" s="34"/>
      <c r="GCL16" s="34"/>
      <c r="GCM16" s="34"/>
      <c r="GCN16" s="34"/>
      <c r="GCO16" s="34"/>
      <c r="GCP16" s="34"/>
      <c r="GCQ16" s="34"/>
      <c r="GCR16" s="34"/>
      <c r="GCS16" s="34"/>
      <c r="GCT16" s="34"/>
      <c r="GCU16" s="34"/>
      <c r="GCV16" s="34"/>
      <c r="GCW16" s="34"/>
      <c r="GCX16" s="34"/>
      <c r="GCY16" s="34"/>
      <c r="GCZ16" s="34"/>
      <c r="GDA16" s="34"/>
      <c r="GDB16" s="34"/>
      <c r="GDC16" s="34"/>
      <c r="GDD16" s="34"/>
      <c r="GDE16" s="34"/>
      <c r="GDF16" s="34"/>
      <c r="GDG16" s="34"/>
      <c r="GDH16" s="34"/>
      <c r="GDI16" s="34"/>
      <c r="GDJ16" s="34"/>
      <c r="GDK16" s="34"/>
      <c r="GDL16" s="34"/>
      <c r="GDM16" s="34"/>
      <c r="GDN16" s="34"/>
      <c r="GDO16" s="34"/>
      <c r="GDP16" s="34"/>
      <c r="GDQ16" s="34"/>
      <c r="GDR16" s="34"/>
      <c r="GDS16" s="34"/>
      <c r="GDT16" s="34"/>
      <c r="GDU16" s="34"/>
      <c r="GDV16" s="34"/>
      <c r="GDW16" s="34"/>
      <c r="GDX16" s="34"/>
      <c r="GDY16" s="34"/>
      <c r="GDZ16" s="34"/>
      <c r="GEA16" s="34"/>
      <c r="GEB16" s="34"/>
      <c r="GEC16" s="34"/>
      <c r="GED16" s="34"/>
      <c r="GEE16" s="34"/>
      <c r="GEF16" s="34"/>
      <c r="GEG16" s="34"/>
      <c r="GEH16" s="34"/>
      <c r="GEI16" s="34"/>
      <c r="GEJ16" s="34"/>
      <c r="GEK16" s="34"/>
      <c r="GEL16" s="34"/>
      <c r="GEM16" s="34"/>
      <c r="GEN16" s="34"/>
      <c r="GEO16" s="34"/>
      <c r="GEP16" s="34"/>
      <c r="GEQ16" s="34"/>
      <c r="GER16" s="34"/>
      <c r="GES16" s="34"/>
      <c r="GET16" s="34"/>
      <c r="GEU16" s="34"/>
      <c r="GEV16" s="34"/>
      <c r="GEW16" s="34"/>
      <c r="GEX16" s="34"/>
      <c r="GEY16" s="34"/>
      <c r="GEZ16" s="34"/>
      <c r="GFA16" s="34"/>
      <c r="GFB16" s="34"/>
      <c r="GFC16" s="34"/>
      <c r="GFD16" s="34"/>
      <c r="GFE16" s="34"/>
      <c r="GFF16" s="34"/>
      <c r="GFG16" s="34"/>
      <c r="GFH16" s="34"/>
      <c r="GFI16" s="34"/>
      <c r="GFJ16" s="34"/>
      <c r="GFK16" s="34"/>
      <c r="GFL16" s="34"/>
      <c r="GFM16" s="34"/>
      <c r="GFN16" s="34"/>
      <c r="GFO16" s="34"/>
      <c r="GFP16" s="34"/>
      <c r="GFQ16" s="34"/>
      <c r="GFR16" s="34"/>
      <c r="GFS16" s="34"/>
      <c r="GFT16" s="34"/>
      <c r="GFU16" s="34"/>
      <c r="GFV16" s="34"/>
      <c r="GFW16" s="34"/>
      <c r="GFX16" s="34"/>
      <c r="GFY16" s="34"/>
      <c r="GFZ16" s="34"/>
      <c r="GGA16" s="34"/>
      <c r="GGB16" s="34"/>
      <c r="GGC16" s="34"/>
      <c r="GGD16" s="34"/>
      <c r="GGE16" s="34"/>
      <c r="GGF16" s="34"/>
      <c r="GGG16" s="34"/>
      <c r="GGH16" s="34"/>
      <c r="GGI16" s="34"/>
      <c r="GGJ16" s="34"/>
      <c r="GGK16" s="34"/>
      <c r="GGL16" s="34"/>
      <c r="GGM16" s="34"/>
      <c r="GGN16" s="34"/>
      <c r="GGO16" s="34"/>
      <c r="GGP16" s="34"/>
      <c r="GGQ16" s="34"/>
      <c r="GGR16" s="34"/>
      <c r="GGS16" s="34"/>
      <c r="GGT16" s="34"/>
      <c r="GGU16" s="34"/>
      <c r="GGV16" s="34"/>
      <c r="GGW16" s="34"/>
      <c r="GGX16" s="34"/>
      <c r="GGY16" s="34"/>
      <c r="GGZ16" s="34"/>
      <c r="GHA16" s="34"/>
      <c r="GHB16" s="34"/>
      <c r="GHC16" s="34"/>
      <c r="GHD16" s="34"/>
      <c r="GHE16" s="34"/>
      <c r="GHF16" s="34"/>
      <c r="GHG16" s="34"/>
      <c r="GHH16" s="34"/>
      <c r="GHI16" s="34"/>
      <c r="GHJ16" s="34"/>
      <c r="GHK16" s="34"/>
      <c r="GHL16" s="34"/>
      <c r="GHM16" s="34"/>
      <c r="GHN16" s="34"/>
      <c r="GHO16" s="34"/>
      <c r="GHP16" s="34"/>
      <c r="GHQ16" s="34"/>
      <c r="GHR16" s="34"/>
      <c r="GHS16" s="34"/>
      <c r="GHT16" s="34"/>
      <c r="GHU16" s="34"/>
      <c r="GHV16" s="34"/>
      <c r="GHW16" s="34"/>
      <c r="GHX16" s="34"/>
      <c r="GHY16" s="34"/>
      <c r="GHZ16" s="34"/>
      <c r="GIA16" s="34"/>
      <c r="GIB16" s="34"/>
      <c r="GIC16" s="34"/>
      <c r="GID16" s="34"/>
      <c r="GIE16" s="34"/>
      <c r="GIF16" s="34"/>
      <c r="GIG16" s="34"/>
      <c r="GIH16" s="34"/>
      <c r="GII16" s="34"/>
      <c r="GIJ16" s="34"/>
      <c r="GIK16" s="34"/>
      <c r="GIL16" s="34"/>
      <c r="GIM16" s="34"/>
      <c r="GIN16" s="34"/>
      <c r="GIO16" s="34"/>
      <c r="GIP16" s="34"/>
      <c r="GIQ16" s="34"/>
      <c r="GIR16" s="34"/>
      <c r="GIS16" s="34"/>
      <c r="GIT16" s="34"/>
      <c r="GIU16" s="34"/>
      <c r="GIV16" s="34"/>
      <c r="GIW16" s="34"/>
      <c r="GIX16" s="34"/>
      <c r="GIY16" s="34"/>
      <c r="GIZ16" s="34"/>
      <c r="GJA16" s="34"/>
      <c r="GJB16" s="34"/>
      <c r="GJC16" s="34"/>
      <c r="GJD16" s="34"/>
      <c r="GJE16" s="34"/>
      <c r="GJF16" s="34"/>
      <c r="GJG16" s="34"/>
      <c r="GJH16" s="34"/>
      <c r="GJI16" s="34"/>
      <c r="GJJ16" s="34"/>
      <c r="GJK16" s="34"/>
      <c r="GJL16" s="34"/>
      <c r="GJM16" s="34"/>
      <c r="GJN16" s="34"/>
      <c r="GJO16" s="34"/>
      <c r="GJP16" s="34"/>
      <c r="GJQ16" s="34"/>
      <c r="GJR16" s="34"/>
      <c r="GJS16" s="34"/>
      <c r="GJT16" s="34"/>
      <c r="GJU16" s="34"/>
      <c r="GJV16" s="34"/>
      <c r="GJW16" s="34"/>
      <c r="GJX16" s="34"/>
      <c r="GJY16" s="34"/>
      <c r="GJZ16" s="34"/>
      <c r="GKA16" s="34"/>
      <c r="GKB16" s="34"/>
      <c r="GKC16" s="34"/>
      <c r="GKD16" s="34"/>
      <c r="GKE16" s="34"/>
      <c r="GKF16" s="34"/>
      <c r="GKG16" s="34"/>
      <c r="GKH16" s="34"/>
      <c r="GKI16" s="34"/>
      <c r="GKJ16" s="34"/>
      <c r="GKK16" s="34"/>
      <c r="GKL16" s="34"/>
      <c r="GKM16" s="34"/>
      <c r="GKN16" s="34"/>
      <c r="GKO16" s="34"/>
      <c r="GKP16" s="34"/>
      <c r="GKQ16" s="34"/>
      <c r="GKR16" s="34"/>
      <c r="GKS16" s="34"/>
      <c r="GKT16" s="34"/>
      <c r="GKU16" s="34"/>
      <c r="GKV16" s="34"/>
      <c r="GKW16" s="34"/>
      <c r="GKX16" s="34"/>
      <c r="GKY16" s="34"/>
      <c r="GKZ16" s="34"/>
      <c r="GLA16" s="34"/>
      <c r="GLB16" s="34"/>
      <c r="GLC16" s="34"/>
      <c r="GLD16" s="34"/>
      <c r="GLE16" s="34"/>
      <c r="GLF16" s="34"/>
      <c r="GLG16" s="34"/>
      <c r="GLH16" s="34"/>
      <c r="GLI16" s="34"/>
      <c r="GLJ16" s="34"/>
      <c r="GLK16" s="34"/>
      <c r="GLL16" s="34"/>
      <c r="GLM16" s="34"/>
      <c r="GLN16" s="34"/>
      <c r="GLO16" s="34"/>
      <c r="GLP16" s="34"/>
      <c r="GLQ16" s="34"/>
      <c r="GLR16" s="34"/>
      <c r="GLS16" s="34"/>
      <c r="GLT16" s="34"/>
      <c r="GLU16" s="34"/>
      <c r="GLV16" s="34"/>
      <c r="GLW16" s="34"/>
      <c r="GLX16" s="34"/>
      <c r="GLY16" s="34"/>
      <c r="GLZ16" s="34"/>
      <c r="GMA16" s="34"/>
      <c r="GMB16" s="34"/>
      <c r="GMC16" s="34"/>
      <c r="GMD16" s="34"/>
      <c r="GME16" s="34"/>
      <c r="GMF16" s="34"/>
      <c r="GMG16" s="34"/>
      <c r="GMH16" s="34"/>
      <c r="GMI16" s="34"/>
      <c r="GMJ16" s="34"/>
      <c r="GMK16" s="34"/>
      <c r="GML16" s="34"/>
      <c r="GMM16" s="34"/>
      <c r="GMN16" s="34"/>
      <c r="GMO16" s="34"/>
      <c r="GMP16" s="34"/>
      <c r="GMQ16" s="34"/>
      <c r="GMR16" s="34"/>
      <c r="GMS16" s="34"/>
      <c r="GMT16" s="34"/>
      <c r="GMU16" s="34"/>
      <c r="GMV16" s="34"/>
      <c r="GMW16" s="34"/>
      <c r="GMX16" s="34"/>
      <c r="GMY16" s="34"/>
      <c r="GMZ16" s="34"/>
      <c r="GNA16" s="34"/>
      <c r="GNB16" s="34"/>
      <c r="GNC16" s="34"/>
      <c r="GND16" s="34"/>
      <c r="GNE16" s="34"/>
      <c r="GNF16" s="34"/>
      <c r="GNG16" s="34"/>
      <c r="GNH16" s="34"/>
      <c r="GNI16" s="34"/>
      <c r="GNJ16" s="34"/>
      <c r="GNK16" s="34"/>
      <c r="GNL16" s="34"/>
      <c r="GNM16" s="34"/>
      <c r="GNN16" s="34"/>
      <c r="GNO16" s="34"/>
      <c r="GNP16" s="34"/>
      <c r="GNQ16" s="34"/>
      <c r="GNR16" s="34"/>
      <c r="GNS16" s="34"/>
      <c r="GNT16" s="34"/>
      <c r="GNU16" s="34"/>
      <c r="GNV16" s="34"/>
      <c r="GNW16" s="34"/>
      <c r="GNX16" s="34"/>
      <c r="GNY16" s="34"/>
      <c r="GNZ16" s="34"/>
      <c r="GOA16" s="34"/>
      <c r="GOB16" s="34"/>
      <c r="GOC16" s="34"/>
      <c r="GOD16" s="34"/>
      <c r="GOE16" s="34"/>
      <c r="GOF16" s="34"/>
      <c r="GOG16" s="34"/>
      <c r="GOH16" s="34"/>
      <c r="GOI16" s="34"/>
      <c r="GOJ16" s="34"/>
      <c r="GOK16" s="34"/>
      <c r="GOL16" s="34"/>
      <c r="GOM16" s="34"/>
      <c r="GON16" s="34"/>
      <c r="GOO16" s="34"/>
      <c r="GOP16" s="34"/>
      <c r="GOQ16" s="34"/>
      <c r="GOR16" s="34"/>
      <c r="GOS16" s="34"/>
      <c r="GOT16" s="34"/>
      <c r="GOU16" s="34"/>
      <c r="GOV16" s="34"/>
      <c r="GOW16" s="34"/>
      <c r="GOX16" s="34"/>
      <c r="GOY16" s="34"/>
      <c r="GOZ16" s="34"/>
      <c r="GPA16" s="34"/>
      <c r="GPB16" s="34"/>
      <c r="GPC16" s="34"/>
      <c r="GPD16" s="34"/>
      <c r="GPE16" s="34"/>
      <c r="GPF16" s="34"/>
      <c r="GPG16" s="34"/>
      <c r="GPH16" s="34"/>
      <c r="GPI16" s="34"/>
      <c r="GPJ16" s="34"/>
      <c r="GPK16" s="34"/>
      <c r="GPL16" s="34"/>
      <c r="GPM16" s="34"/>
      <c r="GPN16" s="34"/>
      <c r="GPO16" s="34"/>
      <c r="GPP16" s="34"/>
      <c r="GPQ16" s="34"/>
      <c r="GPR16" s="34"/>
      <c r="GPS16" s="34"/>
      <c r="GPT16" s="34"/>
      <c r="GPU16" s="34"/>
      <c r="GPV16" s="34"/>
      <c r="GPW16" s="34"/>
      <c r="GPX16" s="34"/>
      <c r="GPY16" s="34"/>
      <c r="GPZ16" s="34"/>
      <c r="GQA16" s="34"/>
      <c r="GQB16" s="34"/>
      <c r="GQC16" s="34"/>
      <c r="GQD16" s="34"/>
      <c r="GQE16" s="34"/>
      <c r="GQF16" s="34"/>
      <c r="GQG16" s="34"/>
      <c r="GQH16" s="34"/>
      <c r="GQI16" s="34"/>
      <c r="GQJ16" s="34"/>
      <c r="GQK16" s="34"/>
      <c r="GQL16" s="34"/>
      <c r="GQM16" s="34"/>
      <c r="GQN16" s="34"/>
      <c r="GQO16" s="34"/>
      <c r="GQP16" s="34"/>
      <c r="GQQ16" s="34"/>
      <c r="GQR16" s="34"/>
      <c r="GQS16" s="34"/>
      <c r="GQT16" s="34"/>
      <c r="GQU16" s="34"/>
      <c r="GQV16" s="34"/>
      <c r="GQW16" s="34"/>
      <c r="GQX16" s="34"/>
      <c r="GQY16" s="34"/>
      <c r="GQZ16" s="34"/>
      <c r="GRA16" s="34"/>
      <c r="GRB16" s="34"/>
      <c r="GRC16" s="34"/>
      <c r="GRD16" s="34"/>
      <c r="GRE16" s="34"/>
      <c r="GRF16" s="34"/>
      <c r="GRG16" s="34"/>
      <c r="GRH16" s="34"/>
      <c r="GRI16" s="34"/>
      <c r="GRJ16" s="34"/>
      <c r="GRK16" s="34"/>
      <c r="GRL16" s="34"/>
      <c r="GRM16" s="34"/>
      <c r="GRN16" s="34"/>
      <c r="GRO16" s="34"/>
      <c r="GRP16" s="34"/>
      <c r="GRQ16" s="34"/>
      <c r="GRR16" s="34"/>
      <c r="GRS16" s="34"/>
      <c r="GRT16" s="34"/>
      <c r="GRU16" s="34"/>
      <c r="GRV16" s="34"/>
      <c r="GRW16" s="34"/>
      <c r="GRX16" s="34"/>
      <c r="GRY16" s="34"/>
      <c r="GRZ16" s="34"/>
      <c r="GSA16" s="34"/>
      <c r="GSB16" s="34"/>
      <c r="GSC16" s="34"/>
      <c r="GSD16" s="34"/>
      <c r="GSE16" s="34"/>
      <c r="GSF16" s="34"/>
      <c r="GSG16" s="34"/>
      <c r="GSH16" s="34"/>
      <c r="GSI16" s="34"/>
      <c r="GSJ16" s="34"/>
      <c r="GSK16" s="34"/>
      <c r="GSL16" s="34"/>
      <c r="GSM16" s="34"/>
      <c r="GSN16" s="34"/>
      <c r="GSO16" s="34"/>
      <c r="GSP16" s="34"/>
      <c r="GSQ16" s="34"/>
      <c r="GSR16" s="34"/>
      <c r="GSS16" s="34"/>
      <c r="GST16" s="34"/>
      <c r="GSU16" s="34"/>
      <c r="GSV16" s="34"/>
      <c r="GSW16" s="34"/>
      <c r="GSX16" s="34"/>
      <c r="GSY16" s="34"/>
      <c r="GSZ16" s="34"/>
      <c r="GTA16" s="34"/>
      <c r="GTB16" s="34"/>
      <c r="GTC16" s="34"/>
      <c r="GTD16" s="34"/>
      <c r="GTE16" s="34"/>
      <c r="GTF16" s="34"/>
      <c r="GTG16" s="34"/>
      <c r="GTH16" s="34"/>
      <c r="GTI16" s="34"/>
      <c r="GTJ16" s="34"/>
      <c r="GTK16" s="34"/>
      <c r="GTL16" s="34"/>
      <c r="GTM16" s="34"/>
      <c r="GTN16" s="34"/>
      <c r="GTO16" s="34"/>
      <c r="GTP16" s="34"/>
      <c r="GTQ16" s="34"/>
      <c r="GTR16" s="34"/>
      <c r="GTS16" s="34"/>
      <c r="GTT16" s="34"/>
      <c r="GTU16" s="34"/>
      <c r="GTV16" s="34"/>
      <c r="GTW16" s="34"/>
      <c r="GTX16" s="34"/>
      <c r="GTY16" s="34"/>
      <c r="GTZ16" s="34"/>
      <c r="GUA16" s="34"/>
      <c r="GUB16" s="34"/>
      <c r="GUC16" s="34"/>
      <c r="GUD16" s="34"/>
      <c r="GUE16" s="34"/>
      <c r="GUF16" s="34"/>
      <c r="GUG16" s="34"/>
      <c r="GUH16" s="34"/>
      <c r="GUI16" s="34"/>
      <c r="GUJ16" s="34"/>
      <c r="GUK16" s="34"/>
      <c r="GUL16" s="34"/>
      <c r="GUM16" s="34"/>
      <c r="GUN16" s="34"/>
      <c r="GUO16" s="34"/>
      <c r="GUP16" s="34"/>
      <c r="GUQ16" s="34"/>
      <c r="GUR16" s="34"/>
      <c r="GUS16" s="34"/>
      <c r="GUT16" s="34"/>
      <c r="GUU16" s="34"/>
      <c r="GUV16" s="34"/>
      <c r="GUW16" s="34"/>
      <c r="GUX16" s="34"/>
      <c r="GUY16" s="34"/>
      <c r="GUZ16" s="34"/>
      <c r="GVA16" s="34"/>
      <c r="GVB16" s="34"/>
      <c r="GVC16" s="34"/>
      <c r="GVD16" s="34"/>
      <c r="GVE16" s="34"/>
      <c r="GVF16" s="34"/>
      <c r="GVG16" s="34"/>
      <c r="GVH16" s="34"/>
      <c r="GVI16" s="34"/>
      <c r="GVJ16" s="34"/>
      <c r="GVK16" s="34"/>
      <c r="GVL16" s="34"/>
      <c r="GVM16" s="34"/>
      <c r="GVN16" s="34"/>
      <c r="GVO16" s="34"/>
      <c r="GVP16" s="34"/>
      <c r="GVQ16" s="34"/>
      <c r="GVR16" s="34"/>
      <c r="GVS16" s="34"/>
      <c r="GVT16" s="34"/>
      <c r="GVU16" s="34"/>
      <c r="GVV16" s="34"/>
      <c r="GVW16" s="34"/>
      <c r="GVX16" s="34"/>
      <c r="GVY16" s="34"/>
      <c r="GVZ16" s="34"/>
      <c r="GWA16" s="34"/>
      <c r="GWB16" s="34"/>
      <c r="GWC16" s="34"/>
      <c r="GWD16" s="34"/>
      <c r="GWE16" s="34"/>
      <c r="GWF16" s="34"/>
      <c r="GWG16" s="34"/>
      <c r="GWH16" s="34"/>
      <c r="GWI16" s="34"/>
      <c r="GWJ16" s="34"/>
      <c r="GWK16" s="34"/>
      <c r="GWL16" s="34"/>
      <c r="GWM16" s="34"/>
      <c r="GWN16" s="34"/>
      <c r="GWO16" s="34"/>
      <c r="GWP16" s="34"/>
      <c r="GWQ16" s="34"/>
      <c r="GWR16" s="34"/>
      <c r="GWS16" s="34"/>
      <c r="GWT16" s="34"/>
      <c r="GWU16" s="34"/>
      <c r="GWV16" s="34"/>
      <c r="GWW16" s="34"/>
      <c r="GWX16" s="34"/>
      <c r="GWY16" s="34"/>
      <c r="GWZ16" s="34"/>
      <c r="GXA16" s="34"/>
      <c r="GXB16" s="34"/>
      <c r="GXC16" s="34"/>
      <c r="GXD16" s="34"/>
      <c r="GXE16" s="34"/>
      <c r="GXF16" s="34"/>
      <c r="GXG16" s="34"/>
      <c r="GXH16" s="34"/>
      <c r="GXI16" s="34"/>
      <c r="GXJ16" s="34"/>
      <c r="GXK16" s="34"/>
      <c r="GXL16" s="34"/>
      <c r="GXM16" s="34"/>
      <c r="GXN16" s="34"/>
      <c r="GXO16" s="34"/>
      <c r="GXP16" s="34"/>
      <c r="GXQ16" s="34"/>
      <c r="GXR16" s="34"/>
      <c r="GXS16" s="34"/>
      <c r="GXT16" s="34"/>
      <c r="GXU16" s="34"/>
      <c r="GXV16" s="34"/>
      <c r="GXW16" s="34"/>
      <c r="GXX16" s="34"/>
      <c r="GXY16" s="34"/>
      <c r="GXZ16" s="34"/>
      <c r="GYA16" s="34"/>
      <c r="GYB16" s="34"/>
      <c r="GYC16" s="34"/>
      <c r="GYD16" s="34"/>
      <c r="GYE16" s="34"/>
      <c r="GYF16" s="34"/>
      <c r="GYG16" s="34"/>
      <c r="GYH16" s="34"/>
      <c r="GYI16" s="34"/>
      <c r="GYJ16" s="34"/>
      <c r="GYK16" s="34"/>
      <c r="GYL16" s="34"/>
      <c r="GYM16" s="34"/>
      <c r="GYN16" s="34"/>
      <c r="GYO16" s="34"/>
      <c r="GYP16" s="34"/>
      <c r="GYQ16" s="34"/>
      <c r="GYR16" s="34"/>
      <c r="GYS16" s="34"/>
      <c r="GYT16" s="34"/>
      <c r="GYU16" s="34"/>
      <c r="GYV16" s="34"/>
      <c r="GYW16" s="34"/>
      <c r="GYX16" s="34"/>
      <c r="GYY16" s="34"/>
      <c r="GYZ16" s="34"/>
      <c r="GZA16" s="34"/>
      <c r="GZB16" s="34"/>
      <c r="GZC16" s="34"/>
      <c r="GZD16" s="34"/>
      <c r="GZE16" s="34"/>
      <c r="GZF16" s="34"/>
      <c r="GZG16" s="34"/>
      <c r="GZH16" s="34"/>
      <c r="GZI16" s="34"/>
      <c r="GZJ16" s="34"/>
      <c r="GZK16" s="34"/>
      <c r="GZL16" s="34"/>
      <c r="GZM16" s="34"/>
      <c r="GZN16" s="34"/>
      <c r="GZO16" s="34"/>
      <c r="GZP16" s="34"/>
      <c r="GZQ16" s="34"/>
      <c r="GZR16" s="34"/>
      <c r="GZS16" s="34"/>
      <c r="GZT16" s="34"/>
      <c r="GZU16" s="34"/>
      <c r="GZV16" s="34"/>
      <c r="GZW16" s="34"/>
      <c r="GZX16" s="34"/>
      <c r="GZY16" s="34"/>
      <c r="GZZ16" s="34"/>
      <c r="HAA16" s="34"/>
      <c r="HAB16" s="34"/>
      <c r="HAC16" s="34"/>
      <c r="HAD16" s="34"/>
      <c r="HAE16" s="34"/>
      <c r="HAF16" s="34"/>
      <c r="HAG16" s="34"/>
      <c r="HAH16" s="34"/>
      <c r="HAI16" s="34"/>
      <c r="HAJ16" s="34"/>
      <c r="HAK16" s="34"/>
      <c r="HAL16" s="34"/>
      <c r="HAM16" s="34"/>
      <c r="HAN16" s="34"/>
      <c r="HAO16" s="34"/>
      <c r="HAP16" s="34"/>
      <c r="HAQ16" s="34"/>
      <c r="HAR16" s="34"/>
      <c r="HAS16" s="34"/>
      <c r="HAT16" s="34"/>
      <c r="HAU16" s="34"/>
      <c r="HAV16" s="34"/>
      <c r="HAW16" s="34"/>
      <c r="HAX16" s="34"/>
      <c r="HAY16" s="34"/>
      <c r="HAZ16" s="34"/>
      <c r="HBA16" s="34"/>
      <c r="HBB16" s="34"/>
      <c r="HBC16" s="34"/>
      <c r="HBD16" s="34"/>
      <c r="HBE16" s="34"/>
      <c r="HBF16" s="34"/>
      <c r="HBG16" s="34"/>
      <c r="HBH16" s="34"/>
      <c r="HBI16" s="34"/>
      <c r="HBJ16" s="34"/>
      <c r="HBK16" s="34"/>
      <c r="HBL16" s="34"/>
      <c r="HBM16" s="34"/>
      <c r="HBN16" s="34"/>
      <c r="HBO16" s="34"/>
      <c r="HBP16" s="34"/>
      <c r="HBQ16" s="34"/>
      <c r="HBR16" s="34"/>
      <c r="HBS16" s="34"/>
      <c r="HBT16" s="34"/>
      <c r="HBU16" s="34"/>
      <c r="HBV16" s="34"/>
      <c r="HBW16" s="34"/>
      <c r="HBX16" s="34"/>
      <c r="HBY16" s="34"/>
      <c r="HBZ16" s="34"/>
      <c r="HCA16" s="34"/>
      <c r="HCB16" s="34"/>
      <c r="HCC16" s="34"/>
      <c r="HCD16" s="34"/>
      <c r="HCE16" s="34"/>
      <c r="HCF16" s="34"/>
      <c r="HCG16" s="34"/>
      <c r="HCH16" s="34"/>
      <c r="HCI16" s="34"/>
      <c r="HCJ16" s="34"/>
      <c r="HCK16" s="34"/>
      <c r="HCL16" s="34"/>
      <c r="HCM16" s="34"/>
      <c r="HCN16" s="34"/>
      <c r="HCO16" s="34"/>
      <c r="HCP16" s="34"/>
      <c r="HCQ16" s="34"/>
      <c r="HCR16" s="34"/>
      <c r="HCS16" s="34"/>
      <c r="HCT16" s="34"/>
      <c r="HCU16" s="34"/>
      <c r="HCV16" s="34"/>
      <c r="HCW16" s="34"/>
      <c r="HCX16" s="34"/>
      <c r="HCY16" s="34"/>
      <c r="HCZ16" s="34"/>
      <c r="HDA16" s="34"/>
      <c r="HDB16" s="34"/>
      <c r="HDC16" s="34"/>
      <c r="HDD16" s="34"/>
      <c r="HDE16" s="34"/>
      <c r="HDF16" s="34"/>
      <c r="HDG16" s="34"/>
      <c r="HDH16" s="34"/>
      <c r="HDI16" s="34"/>
      <c r="HDJ16" s="34"/>
      <c r="HDK16" s="34"/>
      <c r="HDL16" s="34"/>
      <c r="HDM16" s="34"/>
      <c r="HDN16" s="34"/>
      <c r="HDO16" s="34"/>
      <c r="HDP16" s="34"/>
      <c r="HDQ16" s="34"/>
      <c r="HDR16" s="34"/>
      <c r="HDS16" s="34"/>
      <c r="HDT16" s="34"/>
      <c r="HDU16" s="34"/>
      <c r="HDV16" s="34"/>
      <c r="HDW16" s="34"/>
      <c r="HDX16" s="34"/>
      <c r="HDY16" s="34"/>
      <c r="HDZ16" s="34"/>
      <c r="HEA16" s="34"/>
      <c r="HEB16" s="34"/>
      <c r="HEC16" s="34"/>
      <c r="HED16" s="34"/>
      <c r="HEE16" s="34"/>
      <c r="HEF16" s="34"/>
      <c r="HEG16" s="34"/>
      <c r="HEH16" s="34"/>
      <c r="HEI16" s="34"/>
      <c r="HEJ16" s="34"/>
      <c r="HEK16" s="34"/>
      <c r="HEL16" s="34"/>
      <c r="HEM16" s="34"/>
      <c r="HEN16" s="34"/>
      <c r="HEO16" s="34"/>
      <c r="HEP16" s="34"/>
      <c r="HEQ16" s="34"/>
      <c r="HER16" s="34"/>
      <c r="HES16" s="34"/>
      <c r="HET16" s="34"/>
      <c r="HEU16" s="34"/>
      <c r="HEV16" s="34"/>
      <c r="HEW16" s="34"/>
      <c r="HEX16" s="34"/>
      <c r="HEY16" s="34"/>
      <c r="HEZ16" s="34"/>
      <c r="HFA16" s="34"/>
      <c r="HFB16" s="34"/>
      <c r="HFC16" s="34"/>
      <c r="HFD16" s="34"/>
      <c r="HFE16" s="34"/>
      <c r="HFF16" s="34"/>
      <c r="HFG16" s="34"/>
      <c r="HFH16" s="34"/>
      <c r="HFI16" s="34"/>
      <c r="HFJ16" s="34"/>
      <c r="HFK16" s="34"/>
      <c r="HFL16" s="34"/>
      <c r="HFM16" s="34"/>
      <c r="HFN16" s="34"/>
      <c r="HFO16" s="34"/>
      <c r="HFP16" s="34"/>
      <c r="HFQ16" s="34"/>
      <c r="HFR16" s="34"/>
      <c r="HFS16" s="34"/>
      <c r="HFT16" s="34"/>
      <c r="HFU16" s="34"/>
      <c r="HFV16" s="34"/>
      <c r="HFW16" s="34"/>
      <c r="HFX16" s="34"/>
      <c r="HFY16" s="34"/>
      <c r="HFZ16" s="34"/>
      <c r="HGA16" s="34"/>
      <c r="HGB16" s="34"/>
      <c r="HGC16" s="34"/>
      <c r="HGD16" s="34"/>
      <c r="HGE16" s="34"/>
      <c r="HGF16" s="34"/>
      <c r="HGG16" s="34"/>
      <c r="HGH16" s="34"/>
      <c r="HGI16" s="34"/>
      <c r="HGJ16" s="34"/>
      <c r="HGK16" s="34"/>
      <c r="HGL16" s="34"/>
      <c r="HGM16" s="34"/>
      <c r="HGN16" s="34"/>
      <c r="HGO16" s="34"/>
      <c r="HGP16" s="34"/>
      <c r="HGQ16" s="34"/>
      <c r="HGR16" s="34"/>
      <c r="HGS16" s="34"/>
      <c r="HGT16" s="34"/>
      <c r="HGU16" s="34"/>
      <c r="HGV16" s="34"/>
      <c r="HGW16" s="34"/>
      <c r="HGX16" s="34"/>
      <c r="HGY16" s="34"/>
      <c r="HGZ16" s="34"/>
      <c r="HHA16" s="34"/>
      <c r="HHB16" s="34"/>
      <c r="HHC16" s="34"/>
      <c r="HHD16" s="34"/>
      <c r="HHE16" s="34"/>
      <c r="HHF16" s="34"/>
      <c r="HHG16" s="34"/>
      <c r="HHH16" s="34"/>
      <c r="HHI16" s="34"/>
      <c r="HHJ16" s="34"/>
      <c r="HHK16" s="34"/>
      <c r="HHL16" s="34"/>
      <c r="HHM16" s="34"/>
      <c r="HHN16" s="34"/>
      <c r="HHO16" s="34"/>
      <c r="HHP16" s="34"/>
      <c r="HHQ16" s="34"/>
      <c r="HHR16" s="34"/>
      <c r="HHS16" s="34"/>
      <c r="HHT16" s="34"/>
      <c r="HHU16" s="34"/>
      <c r="HHV16" s="34"/>
      <c r="HHW16" s="34"/>
      <c r="HHX16" s="34"/>
      <c r="HHY16" s="34"/>
      <c r="HHZ16" s="34"/>
      <c r="HIA16" s="34"/>
      <c r="HIB16" s="34"/>
      <c r="HIC16" s="34"/>
      <c r="HID16" s="34"/>
      <c r="HIE16" s="34"/>
      <c r="HIF16" s="34"/>
      <c r="HIG16" s="34"/>
      <c r="HIH16" s="34"/>
      <c r="HII16" s="34"/>
      <c r="HIJ16" s="34"/>
      <c r="HIK16" s="34"/>
      <c r="HIL16" s="34"/>
      <c r="HIM16" s="34"/>
      <c r="HIN16" s="34"/>
      <c r="HIO16" s="34"/>
      <c r="HIP16" s="34"/>
      <c r="HIQ16" s="34"/>
      <c r="HIR16" s="34"/>
      <c r="HIS16" s="34"/>
      <c r="HIT16" s="34"/>
      <c r="HIU16" s="34"/>
      <c r="HIV16" s="34"/>
      <c r="HIW16" s="34"/>
      <c r="HIX16" s="34"/>
      <c r="HIY16" s="34"/>
      <c r="HIZ16" s="34"/>
      <c r="HJA16" s="34"/>
      <c r="HJB16" s="34"/>
      <c r="HJC16" s="34"/>
      <c r="HJD16" s="34"/>
      <c r="HJE16" s="34"/>
      <c r="HJF16" s="34"/>
      <c r="HJG16" s="34"/>
      <c r="HJH16" s="34"/>
      <c r="HJI16" s="34"/>
      <c r="HJJ16" s="34"/>
      <c r="HJK16" s="34"/>
      <c r="HJL16" s="34"/>
      <c r="HJM16" s="34"/>
      <c r="HJN16" s="34"/>
      <c r="HJO16" s="34"/>
      <c r="HJP16" s="34"/>
      <c r="HJQ16" s="34"/>
      <c r="HJR16" s="34"/>
      <c r="HJS16" s="34"/>
      <c r="HJT16" s="34"/>
      <c r="HJU16" s="34"/>
      <c r="HJV16" s="34"/>
      <c r="HJW16" s="34"/>
      <c r="HJX16" s="34"/>
      <c r="HJY16" s="34"/>
      <c r="HJZ16" s="34"/>
      <c r="HKA16" s="34"/>
      <c r="HKB16" s="34"/>
      <c r="HKC16" s="34"/>
      <c r="HKD16" s="34"/>
      <c r="HKE16" s="34"/>
      <c r="HKF16" s="34"/>
      <c r="HKG16" s="34"/>
      <c r="HKH16" s="34"/>
      <c r="HKI16" s="34"/>
      <c r="HKJ16" s="34"/>
      <c r="HKK16" s="34"/>
      <c r="HKL16" s="34"/>
      <c r="HKM16" s="34"/>
      <c r="HKN16" s="34"/>
      <c r="HKO16" s="34"/>
      <c r="HKP16" s="34"/>
      <c r="HKQ16" s="34"/>
      <c r="HKR16" s="34"/>
      <c r="HKS16" s="34"/>
      <c r="HKT16" s="34"/>
      <c r="HKU16" s="34"/>
      <c r="HKV16" s="34"/>
      <c r="HKW16" s="34"/>
      <c r="HKX16" s="34"/>
      <c r="HKY16" s="34"/>
      <c r="HKZ16" s="34"/>
      <c r="HLA16" s="34"/>
      <c r="HLB16" s="34"/>
      <c r="HLC16" s="34"/>
      <c r="HLD16" s="34"/>
      <c r="HLE16" s="34"/>
      <c r="HLF16" s="34"/>
      <c r="HLG16" s="34"/>
      <c r="HLH16" s="34"/>
      <c r="HLI16" s="34"/>
      <c r="HLJ16" s="34"/>
      <c r="HLK16" s="34"/>
      <c r="HLL16" s="34"/>
      <c r="HLM16" s="34"/>
      <c r="HLN16" s="34"/>
      <c r="HLO16" s="34"/>
      <c r="HLP16" s="34"/>
      <c r="HLQ16" s="34"/>
      <c r="HLR16" s="34"/>
      <c r="HLS16" s="34"/>
      <c r="HLT16" s="34"/>
      <c r="HLU16" s="34"/>
      <c r="HLV16" s="34"/>
      <c r="HLW16" s="34"/>
      <c r="HLX16" s="34"/>
      <c r="HLY16" s="34"/>
      <c r="HLZ16" s="34"/>
      <c r="HMA16" s="34"/>
      <c r="HMB16" s="34"/>
      <c r="HMC16" s="34"/>
      <c r="HMD16" s="34"/>
      <c r="HME16" s="34"/>
      <c r="HMF16" s="34"/>
      <c r="HMG16" s="34"/>
      <c r="HMH16" s="34"/>
      <c r="HMI16" s="34"/>
      <c r="HMJ16" s="34"/>
      <c r="HMK16" s="34"/>
      <c r="HML16" s="34"/>
      <c r="HMM16" s="34"/>
      <c r="HMN16" s="34"/>
      <c r="HMO16" s="34"/>
      <c r="HMP16" s="34"/>
      <c r="HMQ16" s="34"/>
      <c r="HMR16" s="34"/>
      <c r="HMS16" s="34"/>
      <c r="HMT16" s="34"/>
      <c r="HMU16" s="34"/>
      <c r="HMV16" s="34"/>
      <c r="HMW16" s="34"/>
      <c r="HMX16" s="34"/>
      <c r="HMY16" s="34"/>
      <c r="HMZ16" s="34"/>
      <c r="HNA16" s="34"/>
      <c r="HNB16" s="34"/>
      <c r="HNC16" s="34"/>
      <c r="HND16" s="34"/>
      <c r="HNE16" s="34"/>
      <c r="HNF16" s="34"/>
      <c r="HNG16" s="34"/>
      <c r="HNH16" s="34"/>
      <c r="HNI16" s="34"/>
      <c r="HNJ16" s="34"/>
      <c r="HNK16" s="34"/>
      <c r="HNL16" s="34"/>
      <c r="HNM16" s="34"/>
      <c r="HNN16" s="34"/>
      <c r="HNO16" s="34"/>
      <c r="HNP16" s="34"/>
      <c r="HNQ16" s="34"/>
      <c r="HNR16" s="34"/>
      <c r="HNS16" s="34"/>
      <c r="HNT16" s="34"/>
      <c r="HNU16" s="34"/>
      <c r="HNV16" s="34"/>
      <c r="HNW16" s="34"/>
      <c r="HNX16" s="34"/>
      <c r="HNY16" s="34"/>
      <c r="HNZ16" s="34"/>
      <c r="HOA16" s="34"/>
      <c r="HOB16" s="34"/>
      <c r="HOC16" s="34"/>
      <c r="HOD16" s="34"/>
      <c r="HOE16" s="34"/>
      <c r="HOF16" s="34"/>
      <c r="HOG16" s="34"/>
      <c r="HOH16" s="34"/>
      <c r="HOI16" s="34"/>
      <c r="HOJ16" s="34"/>
      <c r="HOK16" s="34"/>
      <c r="HOL16" s="34"/>
      <c r="HOM16" s="34"/>
      <c r="HON16" s="34"/>
      <c r="HOO16" s="34"/>
      <c r="HOP16" s="34"/>
      <c r="HOQ16" s="34"/>
      <c r="HOR16" s="34"/>
      <c r="HOS16" s="34"/>
      <c r="HOT16" s="34"/>
      <c r="HOU16" s="34"/>
      <c r="HOV16" s="34"/>
      <c r="HOW16" s="34"/>
      <c r="HOX16" s="34"/>
      <c r="HOY16" s="34"/>
      <c r="HOZ16" s="34"/>
      <c r="HPA16" s="34"/>
      <c r="HPB16" s="34"/>
      <c r="HPC16" s="34"/>
      <c r="HPD16" s="34"/>
      <c r="HPE16" s="34"/>
      <c r="HPF16" s="34"/>
      <c r="HPG16" s="34"/>
      <c r="HPH16" s="34"/>
      <c r="HPI16" s="34"/>
      <c r="HPJ16" s="34"/>
      <c r="HPK16" s="34"/>
      <c r="HPL16" s="34"/>
      <c r="HPM16" s="34"/>
      <c r="HPN16" s="34"/>
      <c r="HPO16" s="34"/>
      <c r="HPP16" s="34"/>
      <c r="HPQ16" s="34"/>
      <c r="HPR16" s="34"/>
      <c r="HPS16" s="34"/>
      <c r="HPT16" s="34"/>
      <c r="HPU16" s="34"/>
      <c r="HPV16" s="34"/>
      <c r="HPW16" s="34"/>
      <c r="HPX16" s="34"/>
      <c r="HPY16" s="34"/>
      <c r="HPZ16" s="34"/>
      <c r="HQA16" s="34"/>
      <c r="HQB16" s="34"/>
      <c r="HQC16" s="34"/>
      <c r="HQD16" s="34"/>
      <c r="HQE16" s="34"/>
      <c r="HQF16" s="34"/>
      <c r="HQG16" s="34"/>
      <c r="HQH16" s="34"/>
      <c r="HQI16" s="34"/>
      <c r="HQJ16" s="34"/>
      <c r="HQK16" s="34"/>
      <c r="HQL16" s="34"/>
      <c r="HQM16" s="34"/>
      <c r="HQN16" s="34"/>
      <c r="HQO16" s="34"/>
      <c r="HQP16" s="34"/>
      <c r="HQQ16" s="34"/>
      <c r="HQR16" s="34"/>
      <c r="HQS16" s="34"/>
      <c r="HQT16" s="34"/>
      <c r="HQU16" s="34"/>
      <c r="HQV16" s="34"/>
      <c r="HQW16" s="34"/>
      <c r="HQX16" s="34"/>
      <c r="HQY16" s="34"/>
      <c r="HQZ16" s="34"/>
      <c r="HRA16" s="34"/>
      <c r="HRB16" s="34"/>
      <c r="HRC16" s="34"/>
      <c r="HRD16" s="34"/>
      <c r="HRE16" s="34"/>
      <c r="HRF16" s="34"/>
      <c r="HRG16" s="34"/>
      <c r="HRH16" s="34"/>
      <c r="HRI16" s="34"/>
      <c r="HRJ16" s="34"/>
      <c r="HRK16" s="34"/>
      <c r="HRL16" s="34"/>
      <c r="HRM16" s="34"/>
      <c r="HRN16" s="34"/>
      <c r="HRO16" s="34"/>
      <c r="HRP16" s="34"/>
      <c r="HRQ16" s="34"/>
      <c r="HRR16" s="34"/>
      <c r="HRS16" s="34"/>
      <c r="HRT16" s="34"/>
      <c r="HRU16" s="34"/>
      <c r="HRV16" s="34"/>
      <c r="HRW16" s="34"/>
      <c r="HRX16" s="34"/>
      <c r="HRY16" s="34"/>
      <c r="HRZ16" s="34"/>
      <c r="HSA16" s="34"/>
      <c r="HSB16" s="34"/>
      <c r="HSC16" s="34"/>
      <c r="HSD16" s="34"/>
      <c r="HSE16" s="34"/>
      <c r="HSF16" s="34"/>
      <c r="HSG16" s="34"/>
      <c r="HSH16" s="34"/>
      <c r="HSI16" s="34"/>
      <c r="HSJ16" s="34"/>
      <c r="HSK16" s="34"/>
      <c r="HSL16" s="34"/>
      <c r="HSM16" s="34"/>
      <c r="HSN16" s="34"/>
      <c r="HSO16" s="34"/>
      <c r="HSP16" s="34"/>
      <c r="HSQ16" s="34"/>
      <c r="HSR16" s="34"/>
      <c r="HSS16" s="34"/>
      <c r="HST16" s="34"/>
      <c r="HSU16" s="34"/>
      <c r="HSV16" s="34"/>
      <c r="HSW16" s="34"/>
      <c r="HSX16" s="34"/>
      <c r="HSY16" s="34"/>
      <c r="HSZ16" s="34"/>
      <c r="HTA16" s="34"/>
      <c r="HTB16" s="34"/>
      <c r="HTC16" s="34"/>
      <c r="HTD16" s="34"/>
      <c r="HTE16" s="34"/>
      <c r="HTF16" s="34"/>
      <c r="HTG16" s="34"/>
      <c r="HTH16" s="34"/>
      <c r="HTI16" s="34"/>
      <c r="HTJ16" s="34"/>
      <c r="HTK16" s="34"/>
      <c r="HTL16" s="34"/>
      <c r="HTM16" s="34"/>
      <c r="HTN16" s="34"/>
      <c r="HTO16" s="34"/>
      <c r="HTP16" s="34"/>
      <c r="HTQ16" s="34"/>
      <c r="HTR16" s="34"/>
      <c r="HTS16" s="34"/>
      <c r="HTT16" s="34"/>
      <c r="HTU16" s="34"/>
      <c r="HTV16" s="34"/>
      <c r="HTW16" s="34"/>
      <c r="HTX16" s="34"/>
      <c r="HTY16" s="34"/>
      <c r="HTZ16" s="34"/>
      <c r="HUA16" s="34"/>
      <c r="HUB16" s="34"/>
      <c r="HUC16" s="34"/>
      <c r="HUD16" s="34"/>
      <c r="HUE16" s="34"/>
      <c r="HUF16" s="34"/>
      <c r="HUG16" s="34"/>
      <c r="HUH16" s="34"/>
      <c r="HUI16" s="34"/>
      <c r="HUJ16" s="34"/>
      <c r="HUK16" s="34"/>
      <c r="HUL16" s="34"/>
      <c r="HUM16" s="34"/>
      <c r="HUN16" s="34"/>
      <c r="HUO16" s="34"/>
      <c r="HUP16" s="34"/>
      <c r="HUQ16" s="34"/>
      <c r="HUR16" s="34"/>
      <c r="HUS16" s="34"/>
      <c r="HUT16" s="34"/>
      <c r="HUU16" s="34"/>
      <c r="HUV16" s="34"/>
      <c r="HUW16" s="34"/>
      <c r="HUX16" s="34"/>
      <c r="HUY16" s="34"/>
      <c r="HUZ16" s="34"/>
      <c r="HVA16" s="34"/>
      <c r="HVB16" s="34"/>
      <c r="HVC16" s="34"/>
      <c r="HVD16" s="34"/>
      <c r="HVE16" s="34"/>
      <c r="HVF16" s="34"/>
      <c r="HVG16" s="34"/>
      <c r="HVH16" s="34"/>
      <c r="HVI16" s="34"/>
      <c r="HVJ16" s="34"/>
      <c r="HVK16" s="34"/>
      <c r="HVL16" s="34"/>
      <c r="HVM16" s="34"/>
      <c r="HVN16" s="34"/>
      <c r="HVO16" s="34"/>
      <c r="HVP16" s="34"/>
      <c r="HVQ16" s="34"/>
      <c r="HVR16" s="34"/>
      <c r="HVS16" s="34"/>
      <c r="HVT16" s="34"/>
      <c r="HVU16" s="34"/>
      <c r="HVV16" s="34"/>
      <c r="HVW16" s="34"/>
      <c r="HVX16" s="34"/>
      <c r="HVY16" s="34"/>
      <c r="HVZ16" s="34"/>
      <c r="HWA16" s="34"/>
      <c r="HWB16" s="34"/>
      <c r="HWC16" s="34"/>
      <c r="HWD16" s="34"/>
      <c r="HWE16" s="34"/>
      <c r="HWF16" s="34"/>
      <c r="HWG16" s="34"/>
      <c r="HWH16" s="34"/>
      <c r="HWI16" s="34"/>
      <c r="HWJ16" s="34"/>
      <c r="HWK16" s="34"/>
      <c r="HWL16" s="34"/>
      <c r="HWM16" s="34"/>
      <c r="HWN16" s="34"/>
      <c r="HWO16" s="34"/>
      <c r="HWP16" s="34"/>
      <c r="HWQ16" s="34"/>
      <c r="HWR16" s="34"/>
      <c r="HWS16" s="34"/>
      <c r="HWT16" s="34"/>
      <c r="HWU16" s="34"/>
      <c r="HWV16" s="34"/>
      <c r="HWW16" s="34"/>
      <c r="HWX16" s="34"/>
      <c r="HWY16" s="34"/>
      <c r="HWZ16" s="34"/>
      <c r="HXA16" s="34"/>
      <c r="HXB16" s="34"/>
      <c r="HXC16" s="34"/>
      <c r="HXD16" s="34"/>
      <c r="HXE16" s="34"/>
      <c r="HXF16" s="34"/>
      <c r="HXG16" s="34"/>
      <c r="HXH16" s="34"/>
      <c r="HXI16" s="34"/>
      <c r="HXJ16" s="34"/>
      <c r="HXK16" s="34"/>
      <c r="HXL16" s="34"/>
      <c r="HXM16" s="34"/>
      <c r="HXN16" s="34"/>
      <c r="HXO16" s="34"/>
      <c r="HXP16" s="34"/>
      <c r="HXQ16" s="34"/>
      <c r="HXR16" s="34"/>
      <c r="HXS16" s="34"/>
      <c r="HXT16" s="34"/>
      <c r="HXU16" s="34"/>
      <c r="HXV16" s="34"/>
      <c r="HXW16" s="34"/>
      <c r="HXX16" s="34"/>
      <c r="HXY16" s="34"/>
      <c r="HXZ16" s="34"/>
      <c r="HYA16" s="34"/>
      <c r="HYB16" s="34"/>
      <c r="HYC16" s="34"/>
      <c r="HYD16" s="34"/>
      <c r="HYE16" s="34"/>
      <c r="HYF16" s="34"/>
      <c r="HYG16" s="34"/>
      <c r="HYH16" s="34"/>
      <c r="HYI16" s="34"/>
      <c r="HYJ16" s="34"/>
      <c r="HYK16" s="34"/>
      <c r="HYL16" s="34"/>
      <c r="HYM16" s="34"/>
      <c r="HYN16" s="34"/>
      <c r="HYO16" s="34"/>
      <c r="HYP16" s="34"/>
      <c r="HYQ16" s="34"/>
      <c r="HYR16" s="34"/>
      <c r="HYS16" s="34"/>
      <c r="HYT16" s="34"/>
      <c r="HYU16" s="34"/>
      <c r="HYV16" s="34"/>
      <c r="HYW16" s="34"/>
      <c r="HYX16" s="34"/>
      <c r="HYY16" s="34"/>
      <c r="HYZ16" s="34"/>
      <c r="HZA16" s="34"/>
      <c r="HZB16" s="34"/>
      <c r="HZC16" s="34"/>
      <c r="HZD16" s="34"/>
      <c r="HZE16" s="34"/>
      <c r="HZF16" s="34"/>
      <c r="HZG16" s="34"/>
      <c r="HZH16" s="34"/>
      <c r="HZI16" s="34"/>
      <c r="HZJ16" s="34"/>
      <c r="HZK16" s="34"/>
      <c r="HZL16" s="34"/>
      <c r="HZM16" s="34"/>
      <c r="HZN16" s="34"/>
      <c r="HZO16" s="34"/>
      <c r="HZP16" s="34"/>
      <c r="HZQ16" s="34"/>
      <c r="HZR16" s="34"/>
      <c r="HZS16" s="34"/>
      <c r="HZT16" s="34"/>
      <c r="HZU16" s="34"/>
      <c r="HZV16" s="34"/>
      <c r="HZW16" s="34"/>
      <c r="HZX16" s="34"/>
      <c r="HZY16" s="34"/>
      <c r="HZZ16" s="34"/>
      <c r="IAA16" s="34"/>
      <c r="IAB16" s="34"/>
      <c r="IAC16" s="34"/>
      <c r="IAD16" s="34"/>
      <c r="IAE16" s="34"/>
      <c r="IAF16" s="34"/>
      <c r="IAG16" s="34"/>
      <c r="IAH16" s="34"/>
      <c r="IAI16" s="34"/>
      <c r="IAJ16" s="34"/>
      <c r="IAK16" s="34"/>
      <c r="IAL16" s="34"/>
      <c r="IAM16" s="34"/>
      <c r="IAN16" s="34"/>
      <c r="IAO16" s="34"/>
      <c r="IAP16" s="34"/>
      <c r="IAQ16" s="34"/>
      <c r="IAR16" s="34"/>
      <c r="IAS16" s="34"/>
      <c r="IAT16" s="34"/>
      <c r="IAU16" s="34"/>
      <c r="IAV16" s="34"/>
      <c r="IAW16" s="34"/>
      <c r="IAX16" s="34"/>
      <c r="IAY16" s="34"/>
      <c r="IAZ16" s="34"/>
      <c r="IBA16" s="34"/>
      <c r="IBB16" s="34"/>
      <c r="IBC16" s="34"/>
      <c r="IBD16" s="34"/>
      <c r="IBE16" s="34"/>
      <c r="IBF16" s="34"/>
      <c r="IBG16" s="34"/>
      <c r="IBH16" s="34"/>
      <c r="IBI16" s="34"/>
      <c r="IBJ16" s="34"/>
      <c r="IBK16" s="34"/>
      <c r="IBL16" s="34"/>
      <c r="IBM16" s="34"/>
      <c r="IBN16" s="34"/>
      <c r="IBO16" s="34"/>
      <c r="IBP16" s="34"/>
      <c r="IBQ16" s="34"/>
      <c r="IBR16" s="34"/>
      <c r="IBS16" s="34"/>
      <c r="IBT16" s="34"/>
      <c r="IBU16" s="34"/>
      <c r="IBV16" s="34"/>
      <c r="IBW16" s="34"/>
      <c r="IBX16" s="34"/>
      <c r="IBY16" s="34"/>
      <c r="IBZ16" s="34"/>
      <c r="ICA16" s="34"/>
      <c r="ICB16" s="34"/>
      <c r="ICC16" s="34"/>
      <c r="ICD16" s="34"/>
      <c r="ICE16" s="34"/>
      <c r="ICF16" s="34"/>
      <c r="ICG16" s="34"/>
      <c r="ICH16" s="34"/>
      <c r="ICI16" s="34"/>
      <c r="ICJ16" s="34"/>
      <c r="ICK16" s="34"/>
      <c r="ICL16" s="34"/>
      <c r="ICM16" s="34"/>
      <c r="ICN16" s="34"/>
      <c r="ICO16" s="34"/>
      <c r="ICP16" s="34"/>
      <c r="ICQ16" s="34"/>
      <c r="ICR16" s="34"/>
      <c r="ICS16" s="34"/>
      <c r="ICT16" s="34"/>
      <c r="ICU16" s="34"/>
      <c r="ICV16" s="34"/>
      <c r="ICW16" s="34"/>
      <c r="ICX16" s="34"/>
      <c r="ICY16" s="34"/>
      <c r="ICZ16" s="34"/>
      <c r="IDA16" s="34"/>
      <c r="IDB16" s="34"/>
      <c r="IDC16" s="34"/>
      <c r="IDD16" s="34"/>
      <c r="IDE16" s="34"/>
      <c r="IDF16" s="34"/>
      <c r="IDG16" s="34"/>
      <c r="IDH16" s="34"/>
      <c r="IDI16" s="34"/>
      <c r="IDJ16" s="34"/>
      <c r="IDK16" s="34"/>
      <c r="IDL16" s="34"/>
      <c r="IDM16" s="34"/>
      <c r="IDN16" s="34"/>
      <c r="IDO16" s="34"/>
      <c r="IDP16" s="34"/>
      <c r="IDQ16" s="34"/>
      <c r="IDR16" s="34"/>
      <c r="IDS16" s="34"/>
      <c r="IDT16" s="34"/>
      <c r="IDU16" s="34"/>
      <c r="IDV16" s="34"/>
      <c r="IDW16" s="34"/>
      <c r="IDX16" s="34"/>
      <c r="IDY16" s="34"/>
      <c r="IDZ16" s="34"/>
      <c r="IEA16" s="34"/>
      <c r="IEB16" s="34"/>
      <c r="IEC16" s="34"/>
      <c r="IED16" s="34"/>
      <c r="IEE16" s="34"/>
      <c r="IEF16" s="34"/>
      <c r="IEG16" s="34"/>
      <c r="IEH16" s="34"/>
      <c r="IEI16" s="34"/>
      <c r="IEJ16" s="34"/>
      <c r="IEK16" s="34"/>
      <c r="IEL16" s="34"/>
      <c r="IEM16" s="34"/>
      <c r="IEN16" s="34"/>
      <c r="IEO16" s="34"/>
      <c r="IEP16" s="34"/>
      <c r="IEQ16" s="34"/>
      <c r="IER16" s="34"/>
      <c r="IES16" s="34"/>
      <c r="IET16" s="34"/>
      <c r="IEU16" s="34"/>
      <c r="IEV16" s="34"/>
      <c r="IEW16" s="34"/>
      <c r="IEX16" s="34"/>
      <c r="IEY16" s="34"/>
      <c r="IEZ16" s="34"/>
      <c r="IFA16" s="34"/>
      <c r="IFB16" s="34"/>
      <c r="IFC16" s="34"/>
      <c r="IFD16" s="34"/>
      <c r="IFE16" s="34"/>
      <c r="IFF16" s="34"/>
      <c r="IFG16" s="34"/>
      <c r="IFH16" s="34"/>
      <c r="IFI16" s="34"/>
      <c r="IFJ16" s="34"/>
      <c r="IFK16" s="34"/>
      <c r="IFL16" s="34"/>
      <c r="IFM16" s="34"/>
      <c r="IFN16" s="34"/>
      <c r="IFO16" s="34"/>
      <c r="IFP16" s="34"/>
      <c r="IFQ16" s="34"/>
      <c r="IFR16" s="34"/>
      <c r="IFS16" s="34"/>
      <c r="IFT16" s="34"/>
      <c r="IFU16" s="34"/>
      <c r="IFV16" s="34"/>
      <c r="IFW16" s="34"/>
      <c r="IFX16" s="34"/>
      <c r="IFY16" s="34"/>
      <c r="IFZ16" s="34"/>
      <c r="IGA16" s="34"/>
      <c r="IGB16" s="34"/>
      <c r="IGC16" s="34"/>
      <c r="IGD16" s="34"/>
      <c r="IGE16" s="34"/>
      <c r="IGF16" s="34"/>
      <c r="IGG16" s="34"/>
      <c r="IGH16" s="34"/>
      <c r="IGI16" s="34"/>
      <c r="IGJ16" s="34"/>
      <c r="IGK16" s="34"/>
      <c r="IGL16" s="34"/>
      <c r="IGM16" s="34"/>
      <c r="IGN16" s="34"/>
      <c r="IGO16" s="34"/>
      <c r="IGP16" s="34"/>
      <c r="IGQ16" s="34"/>
      <c r="IGR16" s="34"/>
      <c r="IGS16" s="34"/>
      <c r="IGT16" s="34"/>
      <c r="IGU16" s="34"/>
      <c r="IGV16" s="34"/>
      <c r="IGW16" s="34"/>
      <c r="IGX16" s="34"/>
      <c r="IGY16" s="34"/>
      <c r="IGZ16" s="34"/>
      <c r="IHA16" s="34"/>
      <c r="IHB16" s="34"/>
      <c r="IHC16" s="34"/>
      <c r="IHD16" s="34"/>
      <c r="IHE16" s="34"/>
      <c r="IHF16" s="34"/>
      <c r="IHG16" s="34"/>
      <c r="IHH16" s="34"/>
      <c r="IHI16" s="34"/>
      <c r="IHJ16" s="34"/>
      <c r="IHK16" s="34"/>
      <c r="IHL16" s="34"/>
      <c r="IHM16" s="34"/>
      <c r="IHN16" s="34"/>
      <c r="IHO16" s="34"/>
      <c r="IHP16" s="34"/>
      <c r="IHQ16" s="34"/>
      <c r="IHR16" s="34"/>
      <c r="IHS16" s="34"/>
      <c r="IHT16" s="34"/>
      <c r="IHU16" s="34"/>
      <c r="IHV16" s="34"/>
      <c r="IHW16" s="34"/>
      <c r="IHX16" s="34"/>
      <c r="IHY16" s="34"/>
      <c r="IHZ16" s="34"/>
      <c r="IIA16" s="34"/>
      <c r="IIB16" s="34"/>
      <c r="IIC16" s="34"/>
      <c r="IID16" s="34"/>
      <c r="IIE16" s="34"/>
      <c r="IIF16" s="34"/>
      <c r="IIG16" s="34"/>
      <c r="IIH16" s="34"/>
      <c r="III16" s="34"/>
      <c r="IIJ16" s="34"/>
      <c r="IIK16" s="34"/>
      <c r="IIL16" s="34"/>
      <c r="IIM16" s="34"/>
      <c r="IIN16" s="34"/>
      <c r="IIO16" s="34"/>
      <c r="IIP16" s="34"/>
      <c r="IIQ16" s="34"/>
      <c r="IIR16" s="34"/>
      <c r="IIS16" s="34"/>
      <c r="IIT16" s="34"/>
      <c r="IIU16" s="34"/>
      <c r="IIV16" s="34"/>
      <c r="IIW16" s="34"/>
      <c r="IIX16" s="34"/>
      <c r="IIY16" s="34"/>
      <c r="IIZ16" s="34"/>
      <c r="IJA16" s="34"/>
      <c r="IJB16" s="34"/>
      <c r="IJC16" s="34"/>
      <c r="IJD16" s="34"/>
      <c r="IJE16" s="34"/>
      <c r="IJF16" s="34"/>
      <c r="IJG16" s="34"/>
      <c r="IJH16" s="34"/>
      <c r="IJI16" s="34"/>
      <c r="IJJ16" s="34"/>
      <c r="IJK16" s="34"/>
      <c r="IJL16" s="34"/>
      <c r="IJM16" s="34"/>
      <c r="IJN16" s="34"/>
      <c r="IJO16" s="34"/>
      <c r="IJP16" s="34"/>
      <c r="IJQ16" s="34"/>
      <c r="IJR16" s="34"/>
      <c r="IJS16" s="34"/>
      <c r="IJT16" s="34"/>
      <c r="IJU16" s="34"/>
      <c r="IJV16" s="34"/>
      <c r="IJW16" s="34"/>
      <c r="IJX16" s="34"/>
      <c r="IJY16" s="34"/>
      <c r="IJZ16" s="34"/>
      <c r="IKA16" s="34"/>
      <c r="IKB16" s="34"/>
      <c r="IKC16" s="34"/>
      <c r="IKD16" s="34"/>
      <c r="IKE16" s="34"/>
      <c r="IKF16" s="34"/>
      <c r="IKG16" s="34"/>
      <c r="IKH16" s="34"/>
      <c r="IKI16" s="34"/>
      <c r="IKJ16" s="34"/>
      <c r="IKK16" s="34"/>
      <c r="IKL16" s="34"/>
      <c r="IKM16" s="34"/>
      <c r="IKN16" s="34"/>
      <c r="IKO16" s="34"/>
      <c r="IKP16" s="34"/>
      <c r="IKQ16" s="34"/>
      <c r="IKR16" s="34"/>
      <c r="IKS16" s="34"/>
      <c r="IKT16" s="34"/>
      <c r="IKU16" s="34"/>
      <c r="IKV16" s="34"/>
      <c r="IKW16" s="34"/>
      <c r="IKX16" s="34"/>
      <c r="IKY16" s="34"/>
      <c r="IKZ16" s="34"/>
      <c r="ILA16" s="34"/>
      <c r="ILB16" s="34"/>
      <c r="ILC16" s="34"/>
      <c r="ILD16" s="34"/>
      <c r="ILE16" s="34"/>
      <c r="ILF16" s="34"/>
      <c r="ILG16" s="34"/>
      <c r="ILH16" s="34"/>
      <c r="ILI16" s="34"/>
      <c r="ILJ16" s="34"/>
      <c r="ILK16" s="34"/>
      <c r="ILL16" s="34"/>
      <c r="ILM16" s="34"/>
      <c r="ILN16" s="34"/>
      <c r="ILO16" s="34"/>
      <c r="ILP16" s="34"/>
      <c r="ILQ16" s="34"/>
      <c r="ILR16" s="34"/>
      <c r="ILS16" s="34"/>
      <c r="ILT16" s="34"/>
      <c r="ILU16" s="34"/>
      <c r="ILV16" s="34"/>
      <c r="ILW16" s="34"/>
      <c r="ILX16" s="34"/>
      <c r="ILY16" s="34"/>
      <c r="ILZ16" s="34"/>
      <c r="IMA16" s="34"/>
      <c r="IMB16" s="34"/>
      <c r="IMC16" s="34"/>
      <c r="IMD16" s="34"/>
      <c r="IME16" s="34"/>
      <c r="IMF16" s="34"/>
      <c r="IMG16" s="34"/>
      <c r="IMH16" s="34"/>
      <c r="IMI16" s="34"/>
      <c r="IMJ16" s="34"/>
      <c r="IMK16" s="34"/>
      <c r="IML16" s="34"/>
      <c r="IMM16" s="34"/>
      <c r="IMN16" s="34"/>
      <c r="IMO16" s="34"/>
      <c r="IMP16" s="34"/>
      <c r="IMQ16" s="34"/>
      <c r="IMR16" s="34"/>
      <c r="IMS16" s="34"/>
      <c r="IMT16" s="34"/>
      <c r="IMU16" s="34"/>
      <c r="IMV16" s="34"/>
      <c r="IMW16" s="34"/>
      <c r="IMX16" s="34"/>
      <c r="IMY16" s="34"/>
      <c r="IMZ16" s="34"/>
      <c r="INA16" s="34"/>
      <c r="INB16" s="34"/>
      <c r="INC16" s="34"/>
      <c r="IND16" s="34"/>
      <c r="INE16" s="34"/>
      <c r="INF16" s="34"/>
      <c r="ING16" s="34"/>
      <c r="INH16" s="34"/>
      <c r="INI16" s="34"/>
      <c r="INJ16" s="34"/>
      <c r="INK16" s="34"/>
      <c r="INL16" s="34"/>
      <c r="INM16" s="34"/>
      <c r="INN16" s="34"/>
      <c r="INO16" s="34"/>
      <c r="INP16" s="34"/>
      <c r="INQ16" s="34"/>
      <c r="INR16" s="34"/>
      <c r="INS16" s="34"/>
      <c r="INT16" s="34"/>
      <c r="INU16" s="34"/>
      <c r="INV16" s="34"/>
      <c r="INW16" s="34"/>
      <c r="INX16" s="34"/>
      <c r="INY16" s="34"/>
      <c r="INZ16" s="34"/>
      <c r="IOA16" s="34"/>
      <c r="IOB16" s="34"/>
      <c r="IOC16" s="34"/>
      <c r="IOD16" s="34"/>
      <c r="IOE16" s="34"/>
      <c r="IOF16" s="34"/>
      <c r="IOG16" s="34"/>
      <c r="IOH16" s="34"/>
      <c r="IOI16" s="34"/>
      <c r="IOJ16" s="34"/>
      <c r="IOK16" s="34"/>
      <c r="IOL16" s="34"/>
      <c r="IOM16" s="34"/>
      <c r="ION16" s="34"/>
      <c r="IOO16" s="34"/>
      <c r="IOP16" s="34"/>
      <c r="IOQ16" s="34"/>
      <c r="IOR16" s="34"/>
      <c r="IOS16" s="34"/>
      <c r="IOT16" s="34"/>
      <c r="IOU16" s="34"/>
      <c r="IOV16" s="34"/>
      <c r="IOW16" s="34"/>
      <c r="IOX16" s="34"/>
      <c r="IOY16" s="34"/>
      <c r="IOZ16" s="34"/>
      <c r="IPA16" s="34"/>
      <c r="IPB16" s="34"/>
      <c r="IPC16" s="34"/>
      <c r="IPD16" s="34"/>
      <c r="IPE16" s="34"/>
      <c r="IPF16" s="34"/>
      <c r="IPG16" s="34"/>
      <c r="IPH16" s="34"/>
      <c r="IPI16" s="34"/>
      <c r="IPJ16" s="34"/>
      <c r="IPK16" s="34"/>
      <c r="IPL16" s="34"/>
      <c r="IPM16" s="34"/>
      <c r="IPN16" s="34"/>
      <c r="IPO16" s="34"/>
      <c r="IPP16" s="34"/>
      <c r="IPQ16" s="34"/>
      <c r="IPR16" s="34"/>
      <c r="IPS16" s="34"/>
      <c r="IPT16" s="34"/>
      <c r="IPU16" s="34"/>
      <c r="IPV16" s="34"/>
      <c r="IPW16" s="34"/>
      <c r="IPX16" s="34"/>
      <c r="IPY16" s="34"/>
      <c r="IPZ16" s="34"/>
      <c r="IQA16" s="34"/>
      <c r="IQB16" s="34"/>
      <c r="IQC16" s="34"/>
      <c r="IQD16" s="34"/>
      <c r="IQE16" s="34"/>
      <c r="IQF16" s="34"/>
      <c r="IQG16" s="34"/>
      <c r="IQH16" s="34"/>
      <c r="IQI16" s="34"/>
      <c r="IQJ16" s="34"/>
      <c r="IQK16" s="34"/>
      <c r="IQL16" s="34"/>
      <c r="IQM16" s="34"/>
      <c r="IQN16" s="34"/>
      <c r="IQO16" s="34"/>
      <c r="IQP16" s="34"/>
      <c r="IQQ16" s="34"/>
      <c r="IQR16" s="34"/>
      <c r="IQS16" s="34"/>
      <c r="IQT16" s="34"/>
      <c r="IQU16" s="34"/>
      <c r="IQV16" s="34"/>
      <c r="IQW16" s="34"/>
      <c r="IQX16" s="34"/>
      <c r="IQY16" s="34"/>
      <c r="IQZ16" s="34"/>
      <c r="IRA16" s="34"/>
      <c r="IRB16" s="34"/>
      <c r="IRC16" s="34"/>
      <c r="IRD16" s="34"/>
      <c r="IRE16" s="34"/>
      <c r="IRF16" s="34"/>
      <c r="IRG16" s="34"/>
      <c r="IRH16" s="34"/>
      <c r="IRI16" s="34"/>
      <c r="IRJ16" s="34"/>
      <c r="IRK16" s="34"/>
      <c r="IRL16" s="34"/>
      <c r="IRM16" s="34"/>
      <c r="IRN16" s="34"/>
      <c r="IRO16" s="34"/>
      <c r="IRP16" s="34"/>
      <c r="IRQ16" s="34"/>
      <c r="IRR16" s="34"/>
      <c r="IRS16" s="34"/>
      <c r="IRT16" s="34"/>
      <c r="IRU16" s="34"/>
      <c r="IRV16" s="34"/>
      <c r="IRW16" s="34"/>
      <c r="IRX16" s="34"/>
      <c r="IRY16" s="34"/>
      <c r="IRZ16" s="34"/>
      <c r="ISA16" s="34"/>
      <c r="ISB16" s="34"/>
      <c r="ISC16" s="34"/>
      <c r="ISD16" s="34"/>
      <c r="ISE16" s="34"/>
      <c r="ISF16" s="34"/>
      <c r="ISG16" s="34"/>
      <c r="ISH16" s="34"/>
      <c r="ISI16" s="34"/>
      <c r="ISJ16" s="34"/>
      <c r="ISK16" s="34"/>
      <c r="ISL16" s="34"/>
      <c r="ISM16" s="34"/>
      <c r="ISN16" s="34"/>
      <c r="ISO16" s="34"/>
      <c r="ISP16" s="34"/>
      <c r="ISQ16" s="34"/>
      <c r="ISR16" s="34"/>
      <c r="ISS16" s="34"/>
      <c r="IST16" s="34"/>
      <c r="ISU16" s="34"/>
      <c r="ISV16" s="34"/>
      <c r="ISW16" s="34"/>
      <c r="ISX16" s="34"/>
      <c r="ISY16" s="34"/>
      <c r="ISZ16" s="34"/>
      <c r="ITA16" s="34"/>
      <c r="ITB16" s="34"/>
      <c r="ITC16" s="34"/>
      <c r="ITD16" s="34"/>
      <c r="ITE16" s="34"/>
      <c r="ITF16" s="34"/>
      <c r="ITG16" s="34"/>
      <c r="ITH16" s="34"/>
      <c r="ITI16" s="34"/>
      <c r="ITJ16" s="34"/>
      <c r="ITK16" s="34"/>
      <c r="ITL16" s="34"/>
      <c r="ITM16" s="34"/>
      <c r="ITN16" s="34"/>
      <c r="ITO16" s="34"/>
      <c r="ITP16" s="34"/>
      <c r="ITQ16" s="34"/>
      <c r="ITR16" s="34"/>
      <c r="ITS16" s="34"/>
      <c r="ITT16" s="34"/>
      <c r="ITU16" s="34"/>
      <c r="ITV16" s="34"/>
      <c r="ITW16" s="34"/>
      <c r="ITX16" s="34"/>
      <c r="ITY16" s="34"/>
      <c r="ITZ16" s="34"/>
      <c r="IUA16" s="34"/>
      <c r="IUB16" s="34"/>
      <c r="IUC16" s="34"/>
      <c r="IUD16" s="34"/>
      <c r="IUE16" s="34"/>
      <c r="IUF16" s="34"/>
      <c r="IUG16" s="34"/>
      <c r="IUH16" s="34"/>
      <c r="IUI16" s="34"/>
      <c r="IUJ16" s="34"/>
      <c r="IUK16" s="34"/>
      <c r="IUL16" s="34"/>
      <c r="IUM16" s="34"/>
      <c r="IUN16" s="34"/>
      <c r="IUO16" s="34"/>
      <c r="IUP16" s="34"/>
      <c r="IUQ16" s="34"/>
      <c r="IUR16" s="34"/>
      <c r="IUS16" s="34"/>
      <c r="IUT16" s="34"/>
      <c r="IUU16" s="34"/>
      <c r="IUV16" s="34"/>
      <c r="IUW16" s="34"/>
      <c r="IUX16" s="34"/>
      <c r="IUY16" s="34"/>
      <c r="IUZ16" s="34"/>
      <c r="IVA16" s="34"/>
      <c r="IVB16" s="34"/>
      <c r="IVC16" s="34"/>
      <c r="IVD16" s="34"/>
      <c r="IVE16" s="34"/>
      <c r="IVF16" s="34"/>
      <c r="IVG16" s="34"/>
      <c r="IVH16" s="34"/>
      <c r="IVI16" s="34"/>
      <c r="IVJ16" s="34"/>
      <c r="IVK16" s="34"/>
      <c r="IVL16" s="34"/>
      <c r="IVM16" s="34"/>
      <c r="IVN16" s="34"/>
      <c r="IVO16" s="34"/>
      <c r="IVP16" s="34"/>
      <c r="IVQ16" s="34"/>
      <c r="IVR16" s="34"/>
      <c r="IVS16" s="34"/>
      <c r="IVT16" s="34"/>
      <c r="IVU16" s="34"/>
      <c r="IVV16" s="34"/>
      <c r="IVW16" s="34"/>
      <c r="IVX16" s="34"/>
      <c r="IVY16" s="34"/>
      <c r="IVZ16" s="34"/>
      <c r="IWA16" s="34"/>
      <c r="IWB16" s="34"/>
      <c r="IWC16" s="34"/>
      <c r="IWD16" s="34"/>
      <c r="IWE16" s="34"/>
      <c r="IWF16" s="34"/>
      <c r="IWG16" s="34"/>
      <c r="IWH16" s="34"/>
      <c r="IWI16" s="34"/>
      <c r="IWJ16" s="34"/>
      <c r="IWK16" s="34"/>
      <c r="IWL16" s="34"/>
      <c r="IWM16" s="34"/>
      <c r="IWN16" s="34"/>
      <c r="IWO16" s="34"/>
      <c r="IWP16" s="34"/>
      <c r="IWQ16" s="34"/>
      <c r="IWR16" s="34"/>
      <c r="IWS16" s="34"/>
      <c r="IWT16" s="34"/>
      <c r="IWU16" s="34"/>
      <c r="IWV16" s="34"/>
      <c r="IWW16" s="34"/>
      <c r="IWX16" s="34"/>
      <c r="IWY16" s="34"/>
      <c r="IWZ16" s="34"/>
      <c r="IXA16" s="34"/>
      <c r="IXB16" s="34"/>
      <c r="IXC16" s="34"/>
      <c r="IXD16" s="34"/>
      <c r="IXE16" s="34"/>
      <c r="IXF16" s="34"/>
      <c r="IXG16" s="34"/>
      <c r="IXH16" s="34"/>
      <c r="IXI16" s="34"/>
      <c r="IXJ16" s="34"/>
      <c r="IXK16" s="34"/>
      <c r="IXL16" s="34"/>
      <c r="IXM16" s="34"/>
      <c r="IXN16" s="34"/>
      <c r="IXO16" s="34"/>
      <c r="IXP16" s="34"/>
      <c r="IXQ16" s="34"/>
      <c r="IXR16" s="34"/>
      <c r="IXS16" s="34"/>
      <c r="IXT16" s="34"/>
      <c r="IXU16" s="34"/>
      <c r="IXV16" s="34"/>
      <c r="IXW16" s="34"/>
      <c r="IXX16" s="34"/>
      <c r="IXY16" s="34"/>
      <c r="IXZ16" s="34"/>
      <c r="IYA16" s="34"/>
      <c r="IYB16" s="34"/>
      <c r="IYC16" s="34"/>
      <c r="IYD16" s="34"/>
      <c r="IYE16" s="34"/>
      <c r="IYF16" s="34"/>
      <c r="IYG16" s="34"/>
      <c r="IYH16" s="34"/>
      <c r="IYI16" s="34"/>
      <c r="IYJ16" s="34"/>
      <c r="IYK16" s="34"/>
      <c r="IYL16" s="34"/>
      <c r="IYM16" s="34"/>
      <c r="IYN16" s="34"/>
      <c r="IYO16" s="34"/>
      <c r="IYP16" s="34"/>
      <c r="IYQ16" s="34"/>
      <c r="IYR16" s="34"/>
      <c r="IYS16" s="34"/>
      <c r="IYT16" s="34"/>
      <c r="IYU16" s="34"/>
      <c r="IYV16" s="34"/>
      <c r="IYW16" s="34"/>
      <c r="IYX16" s="34"/>
      <c r="IYY16" s="34"/>
      <c r="IYZ16" s="34"/>
      <c r="IZA16" s="34"/>
      <c r="IZB16" s="34"/>
      <c r="IZC16" s="34"/>
      <c r="IZD16" s="34"/>
      <c r="IZE16" s="34"/>
      <c r="IZF16" s="34"/>
      <c r="IZG16" s="34"/>
      <c r="IZH16" s="34"/>
      <c r="IZI16" s="34"/>
      <c r="IZJ16" s="34"/>
      <c r="IZK16" s="34"/>
      <c r="IZL16" s="34"/>
      <c r="IZM16" s="34"/>
      <c r="IZN16" s="34"/>
      <c r="IZO16" s="34"/>
      <c r="IZP16" s="34"/>
      <c r="IZQ16" s="34"/>
      <c r="IZR16" s="34"/>
      <c r="IZS16" s="34"/>
      <c r="IZT16" s="34"/>
      <c r="IZU16" s="34"/>
      <c r="IZV16" s="34"/>
      <c r="IZW16" s="34"/>
      <c r="IZX16" s="34"/>
      <c r="IZY16" s="34"/>
      <c r="IZZ16" s="34"/>
      <c r="JAA16" s="34"/>
      <c r="JAB16" s="34"/>
      <c r="JAC16" s="34"/>
      <c r="JAD16" s="34"/>
      <c r="JAE16" s="34"/>
      <c r="JAF16" s="34"/>
      <c r="JAG16" s="34"/>
      <c r="JAH16" s="34"/>
      <c r="JAI16" s="34"/>
      <c r="JAJ16" s="34"/>
      <c r="JAK16" s="34"/>
      <c r="JAL16" s="34"/>
      <c r="JAM16" s="34"/>
      <c r="JAN16" s="34"/>
      <c r="JAO16" s="34"/>
      <c r="JAP16" s="34"/>
      <c r="JAQ16" s="34"/>
      <c r="JAR16" s="34"/>
      <c r="JAS16" s="34"/>
      <c r="JAT16" s="34"/>
      <c r="JAU16" s="34"/>
      <c r="JAV16" s="34"/>
      <c r="JAW16" s="34"/>
      <c r="JAX16" s="34"/>
      <c r="JAY16" s="34"/>
      <c r="JAZ16" s="34"/>
      <c r="JBA16" s="34"/>
      <c r="JBB16" s="34"/>
      <c r="JBC16" s="34"/>
      <c r="JBD16" s="34"/>
      <c r="JBE16" s="34"/>
      <c r="JBF16" s="34"/>
      <c r="JBG16" s="34"/>
      <c r="JBH16" s="34"/>
      <c r="JBI16" s="34"/>
      <c r="JBJ16" s="34"/>
      <c r="JBK16" s="34"/>
      <c r="JBL16" s="34"/>
      <c r="JBM16" s="34"/>
      <c r="JBN16" s="34"/>
      <c r="JBO16" s="34"/>
      <c r="JBP16" s="34"/>
      <c r="JBQ16" s="34"/>
      <c r="JBR16" s="34"/>
      <c r="JBS16" s="34"/>
      <c r="JBT16" s="34"/>
      <c r="JBU16" s="34"/>
      <c r="JBV16" s="34"/>
      <c r="JBW16" s="34"/>
      <c r="JBX16" s="34"/>
      <c r="JBY16" s="34"/>
      <c r="JBZ16" s="34"/>
      <c r="JCA16" s="34"/>
      <c r="JCB16" s="34"/>
      <c r="JCC16" s="34"/>
      <c r="JCD16" s="34"/>
      <c r="JCE16" s="34"/>
      <c r="JCF16" s="34"/>
      <c r="JCG16" s="34"/>
      <c r="JCH16" s="34"/>
      <c r="JCI16" s="34"/>
      <c r="JCJ16" s="34"/>
      <c r="JCK16" s="34"/>
      <c r="JCL16" s="34"/>
      <c r="JCM16" s="34"/>
      <c r="JCN16" s="34"/>
      <c r="JCO16" s="34"/>
      <c r="JCP16" s="34"/>
      <c r="JCQ16" s="34"/>
      <c r="JCR16" s="34"/>
      <c r="JCS16" s="34"/>
      <c r="JCT16" s="34"/>
      <c r="JCU16" s="34"/>
      <c r="JCV16" s="34"/>
      <c r="JCW16" s="34"/>
      <c r="JCX16" s="34"/>
      <c r="JCY16" s="34"/>
      <c r="JCZ16" s="34"/>
      <c r="JDA16" s="34"/>
      <c r="JDB16" s="34"/>
      <c r="JDC16" s="34"/>
      <c r="JDD16" s="34"/>
      <c r="JDE16" s="34"/>
      <c r="JDF16" s="34"/>
      <c r="JDG16" s="34"/>
      <c r="JDH16" s="34"/>
      <c r="JDI16" s="34"/>
      <c r="JDJ16" s="34"/>
      <c r="JDK16" s="34"/>
      <c r="JDL16" s="34"/>
      <c r="JDM16" s="34"/>
      <c r="JDN16" s="34"/>
      <c r="JDO16" s="34"/>
      <c r="JDP16" s="34"/>
      <c r="JDQ16" s="34"/>
      <c r="JDR16" s="34"/>
      <c r="JDS16" s="34"/>
      <c r="JDT16" s="34"/>
      <c r="JDU16" s="34"/>
      <c r="JDV16" s="34"/>
      <c r="JDW16" s="34"/>
      <c r="JDX16" s="34"/>
      <c r="JDY16" s="34"/>
      <c r="JDZ16" s="34"/>
      <c r="JEA16" s="34"/>
      <c r="JEB16" s="34"/>
      <c r="JEC16" s="34"/>
      <c r="JED16" s="34"/>
      <c r="JEE16" s="34"/>
      <c r="JEF16" s="34"/>
      <c r="JEG16" s="34"/>
      <c r="JEH16" s="34"/>
      <c r="JEI16" s="34"/>
      <c r="JEJ16" s="34"/>
      <c r="JEK16" s="34"/>
      <c r="JEL16" s="34"/>
      <c r="JEM16" s="34"/>
      <c r="JEN16" s="34"/>
      <c r="JEO16" s="34"/>
      <c r="JEP16" s="34"/>
      <c r="JEQ16" s="34"/>
      <c r="JER16" s="34"/>
      <c r="JES16" s="34"/>
      <c r="JET16" s="34"/>
      <c r="JEU16" s="34"/>
      <c r="JEV16" s="34"/>
      <c r="JEW16" s="34"/>
      <c r="JEX16" s="34"/>
      <c r="JEY16" s="34"/>
      <c r="JEZ16" s="34"/>
      <c r="JFA16" s="34"/>
      <c r="JFB16" s="34"/>
      <c r="JFC16" s="34"/>
      <c r="JFD16" s="34"/>
      <c r="JFE16" s="34"/>
      <c r="JFF16" s="34"/>
      <c r="JFG16" s="34"/>
      <c r="JFH16" s="34"/>
      <c r="JFI16" s="34"/>
      <c r="JFJ16" s="34"/>
      <c r="JFK16" s="34"/>
      <c r="JFL16" s="34"/>
      <c r="JFM16" s="34"/>
      <c r="JFN16" s="34"/>
      <c r="JFO16" s="34"/>
      <c r="JFP16" s="34"/>
      <c r="JFQ16" s="34"/>
      <c r="JFR16" s="34"/>
      <c r="JFS16" s="34"/>
      <c r="JFT16" s="34"/>
      <c r="JFU16" s="34"/>
      <c r="JFV16" s="34"/>
      <c r="JFW16" s="34"/>
      <c r="JFX16" s="34"/>
      <c r="JFY16" s="34"/>
      <c r="JFZ16" s="34"/>
      <c r="JGA16" s="34"/>
      <c r="JGB16" s="34"/>
      <c r="JGC16" s="34"/>
      <c r="JGD16" s="34"/>
      <c r="JGE16" s="34"/>
      <c r="JGF16" s="34"/>
      <c r="JGG16" s="34"/>
      <c r="JGH16" s="34"/>
      <c r="JGI16" s="34"/>
      <c r="JGJ16" s="34"/>
      <c r="JGK16" s="34"/>
      <c r="JGL16" s="34"/>
      <c r="JGM16" s="34"/>
      <c r="JGN16" s="34"/>
      <c r="JGO16" s="34"/>
      <c r="JGP16" s="34"/>
      <c r="JGQ16" s="34"/>
      <c r="JGR16" s="34"/>
      <c r="JGS16" s="34"/>
      <c r="JGT16" s="34"/>
      <c r="JGU16" s="34"/>
      <c r="JGV16" s="34"/>
      <c r="JGW16" s="34"/>
      <c r="JGX16" s="34"/>
      <c r="JGY16" s="34"/>
      <c r="JGZ16" s="34"/>
      <c r="JHA16" s="34"/>
      <c r="JHB16" s="34"/>
      <c r="JHC16" s="34"/>
      <c r="JHD16" s="34"/>
      <c r="JHE16" s="34"/>
      <c r="JHF16" s="34"/>
      <c r="JHG16" s="34"/>
      <c r="JHH16" s="34"/>
      <c r="JHI16" s="34"/>
      <c r="JHJ16" s="34"/>
      <c r="JHK16" s="34"/>
      <c r="JHL16" s="34"/>
      <c r="JHM16" s="34"/>
      <c r="JHN16" s="34"/>
      <c r="JHO16" s="34"/>
      <c r="JHP16" s="34"/>
      <c r="JHQ16" s="34"/>
      <c r="JHR16" s="34"/>
      <c r="JHS16" s="34"/>
      <c r="JHT16" s="34"/>
      <c r="JHU16" s="34"/>
      <c r="JHV16" s="34"/>
      <c r="JHW16" s="34"/>
      <c r="JHX16" s="34"/>
      <c r="JHY16" s="34"/>
      <c r="JHZ16" s="34"/>
      <c r="JIA16" s="34"/>
      <c r="JIB16" s="34"/>
      <c r="JIC16" s="34"/>
      <c r="JID16" s="34"/>
      <c r="JIE16" s="34"/>
      <c r="JIF16" s="34"/>
      <c r="JIG16" s="34"/>
      <c r="JIH16" s="34"/>
      <c r="JII16" s="34"/>
      <c r="JIJ16" s="34"/>
      <c r="JIK16" s="34"/>
      <c r="JIL16" s="34"/>
      <c r="JIM16" s="34"/>
      <c r="JIN16" s="34"/>
      <c r="JIO16" s="34"/>
      <c r="JIP16" s="34"/>
      <c r="JIQ16" s="34"/>
      <c r="JIR16" s="34"/>
      <c r="JIS16" s="34"/>
      <c r="JIT16" s="34"/>
      <c r="JIU16" s="34"/>
      <c r="JIV16" s="34"/>
      <c r="JIW16" s="34"/>
      <c r="JIX16" s="34"/>
      <c r="JIY16" s="34"/>
      <c r="JIZ16" s="34"/>
      <c r="JJA16" s="34"/>
      <c r="JJB16" s="34"/>
      <c r="JJC16" s="34"/>
      <c r="JJD16" s="34"/>
      <c r="JJE16" s="34"/>
      <c r="JJF16" s="34"/>
      <c r="JJG16" s="34"/>
      <c r="JJH16" s="34"/>
      <c r="JJI16" s="34"/>
      <c r="JJJ16" s="34"/>
      <c r="JJK16" s="34"/>
      <c r="JJL16" s="34"/>
      <c r="JJM16" s="34"/>
      <c r="JJN16" s="34"/>
      <c r="JJO16" s="34"/>
      <c r="JJP16" s="34"/>
      <c r="JJQ16" s="34"/>
      <c r="JJR16" s="34"/>
      <c r="JJS16" s="34"/>
      <c r="JJT16" s="34"/>
      <c r="JJU16" s="34"/>
      <c r="JJV16" s="34"/>
      <c r="JJW16" s="34"/>
      <c r="JJX16" s="34"/>
      <c r="JJY16" s="34"/>
      <c r="JJZ16" s="34"/>
      <c r="JKA16" s="34"/>
      <c r="JKB16" s="34"/>
      <c r="JKC16" s="34"/>
      <c r="JKD16" s="34"/>
      <c r="JKE16" s="34"/>
      <c r="JKF16" s="34"/>
      <c r="JKG16" s="34"/>
      <c r="JKH16" s="34"/>
      <c r="JKI16" s="34"/>
      <c r="JKJ16" s="34"/>
      <c r="JKK16" s="34"/>
      <c r="JKL16" s="34"/>
      <c r="JKM16" s="34"/>
      <c r="JKN16" s="34"/>
      <c r="JKO16" s="34"/>
      <c r="JKP16" s="34"/>
      <c r="JKQ16" s="34"/>
      <c r="JKR16" s="34"/>
      <c r="JKS16" s="34"/>
      <c r="JKT16" s="34"/>
      <c r="JKU16" s="34"/>
      <c r="JKV16" s="34"/>
      <c r="JKW16" s="34"/>
      <c r="JKX16" s="34"/>
      <c r="JKY16" s="34"/>
      <c r="JKZ16" s="34"/>
      <c r="JLA16" s="34"/>
      <c r="JLB16" s="34"/>
      <c r="JLC16" s="34"/>
      <c r="JLD16" s="34"/>
      <c r="JLE16" s="34"/>
      <c r="JLF16" s="34"/>
      <c r="JLG16" s="34"/>
      <c r="JLH16" s="34"/>
      <c r="JLI16" s="34"/>
      <c r="JLJ16" s="34"/>
      <c r="JLK16" s="34"/>
      <c r="JLL16" s="34"/>
      <c r="JLM16" s="34"/>
      <c r="JLN16" s="34"/>
      <c r="JLO16" s="34"/>
      <c r="JLP16" s="34"/>
      <c r="JLQ16" s="34"/>
      <c r="JLR16" s="34"/>
      <c r="JLS16" s="34"/>
      <c r="JLT16" s="34"/>
      <c r="JLU16" s="34"/>
      <c r="JLV16" s="34"/>
      <c r="JLW16" s="34"/>
      <c r="JLX16" s="34"/>
      <c r="JLY16" s="34"/>
      <c r="JLZ16" s="34"/>
      <c r="JMA16" s="34"/>
      <c r="JMB16" s="34"/>
      <c r="JMC16" s="34"/>
      <c r="JMD16" s="34"/>
      <c r="JME16" s="34"/>
      <c r="JMF16" s="34"/>
      <c r="JMG16" s="34"/>
      <c r="JMH16" s="34"/>
      <c r="JMI16" s="34"/>
      <c r="JMJ16" s="34"/>
      <c r="JMK16" s="34"/>
      <c r="JML16" s="34"/>
      <c r="JMM16" s="34"/>
      <c r="JMN16" s="34"/>
      <c r="JMO16" s="34"/>
      <c r="JMP16" s="34"/>
      <c r="JMQ16" s="34"/>
      <c r="JMR16" s="34"/>
      <c r="JMS16" s="34"/>
      <c r="JMT16" s="34"/>
      <c r="JMU16" s="34"/>
      <c r="JMV16" s="34"/>
      <c r="JMW16" s="34"/>
      <c r="JMX16" s="34"/>
      <c r="JMY16" s="34"/>
      <c r="JMZ16" s="34"/>
      <c r="JNA16" s="34"/>
      <c r="JNB16" s="34"/>
      <c r="JNC16" s="34"/>
      <c r="JND16" s="34"/>
      <c r="JNE16" s="34"/>
      <c r="JNF16" s="34"/>
      <c r="JNG16" s="34"/>
      <c r="JNH16" s="34"/>
      <c r="JNI16" s="34"/>
      <c r="JNJ16" s="34"/>
      <c r="JNK16" s="34"/>
      <c r="JNL16" s="34"/>
      <c r="JNM16" s="34"/>
      <c r="JNN16" s="34"/>
      <c r="JNO16" s="34"/>
      <c r="JNP16" s="34"/>
      <c r="JNQ16" s="34"/>
      <c r="JNR16" s="34"/>
      <c r="JNS16" s="34"/>
      <c r="JNT16" s="34"/>
      <c r="JNU16" s="34"/>
      <c r="JNV16" s="34"/>
      <c r="JNW16" s="34"/>
      <c r="JNX16" s="34"/>
      <c r="JNY16" s="34"/>
      <c r="JNZ16" s="34"/>
      <c r="JOA16" s="34"/>
      <c r="JOB16" s="34"/>
      <c r="JOC16" s="34"/>
      <c r="JOD16" s="34"/>
      <c r="JOE16" s="34"/>
      <c r="JOF16" s="34"/>
      <c r="JOG16" s="34"/>
      <c r="JOH16" s="34"/>
      <c r="JOI16" s="34"/>
      <c r="JOJ16" s="34"/>
      <c r="JOK16" s="34"/>
      <c r="JOL16" s="34"/>
      <c r="JOM16" s="34"/>
      <c r="JON16" s="34"/>
      <c r="JOO16" s="34"/>
      <c r="JOP16" s="34"/>
      <c r="JOQ16" s="34"/>
      <c r="JOR16" s="34"/>
      <c r="JOS16" s="34"/>
      <c r="JOT16" s="34"/>
      <c r="JOU16" s="34"/>
      <c r="JOV16" s="34"/>
      <c r="JOW16" s="34"/>
      <c r="JOX16" s="34"/>
      <c r="JOY16" s="34"/>
      <c r="JOZ16" s="34"/>
      <c r="JPA16" s="34"/>
      <c r="JPB16" s="34"/>
      <c r="JPC16" s="34"/>
      <c r="JPD16" s="34"/>
      <c r="JPE16" s="34"/>
      <c r="JPF16" s="34"/>
      <c r="JPG16" s="34"/>
      <c r="JPH16" s="34"/>
      <c r="JPI16" s="34"/>
      <c r="JPJ16" s="34"/>
      <c r="JPK16" s="34"/>
      <c r="JPL16" s="34"/>
      <c r="JPM16" s="34"/>
      <c r="JPN16" s="34"/>
      <c r="JPO16" s="34"/>
      <c r="JPP16" s="34"/>
      <c r="JPQ16" s="34"/>
      <c r="JPR16" s="34"/>
      <c r="JPS16" s="34"/>
      <c r="JPT16" s="34"/>
      <c r="JPU16" s="34"/>
      <c r="JPV16" s="34"/>
      <c r="JPW16" s="34"/>
      <c r="JPX16" s="34"/>
      <c r="JPY16" s="34"/>
      <c r="JPZ16" s="34"/>
      <c r="JQA16" s="34"/>
      <c r="JQB16" s="34"/>
      <c r="JQC16" s="34"/>
      <c r="JQD16" s="34"/>
      <c r="JQE16" s="34"/>
      <c r="JQF16" s="34"/>
      <c r="JQG16" s="34"/>
      <c r="JQH16" s="34"/>
      <c r="JQI16" s="34"/>
      <c r="JQJ16" s="34"/>
      <c r="JQK16" s="34"/>
      <c r="JQL16" s="34"/>
      <c r="JQM16" s="34"/>
      <c r="JQN16" s="34"/>
      <c r="JQO16" s="34"/>
      <c r="JQP16" s="34"/>
      <c r="JQQ16" s="34"/>
      <c r="JQR16" s="34"/>
      <c r="JQS16" s="34"/>
      <c r="JQT16" s="34"/>
      <c r="JQU16" s="34"/>
      <c r="JQV16" s="34"/>
      <c r="JQW16" s="34"/>
      <c r="JQX16" s="34"/>
      <c r="JQY16" s="34"/>
      <c r="JQZ16" s="34"/>
      <c r="JRA16" s="34"/>
      <c r="JRB16" s="34"/>
      <c r="JRC16" s="34"/>
      <c r="JRD16" s="34"/>
      <c r="JRE16" s="34"/>
      <c r="JRF16" s="34"/>
      <c r="JRG16" s="34"/>
      <c r="JRH16" s="34"/>
      <c r="JRI16" s="34"/>
      <c r="JRJ16" s="34"/>
      <c r="JRK16" s="34"/>
      <c r="JRL16" s="34"/>
      <c r="JRM16" s="34"/>
      <c r="JRN16" s="34"/>
      <c r="JRO16" s="34"/>
      <c r="JRP16" s="34"/>
      <c r="JRQ16" s="34"/>
      <c r="JRR16" s="34"/>
      <c r="JRS16" s="34"/>
      <c r="JRT16" s="34"/>
      <c r="JRU16" s="34"/>
      <c r="JRV16" s="34"/>
      <c r="JRW16" s="34"/>
      <c r="JRX16" s="34"/>
      <c r="JRY16" s="34"/>
      <c r="JRZ16" s="34"/>
      <c r="JSA16" s="34"/>
      <c r="JSB16" s="34"/>
      <c r="JSC16" s="34"/>
      <c r="JSD16" s="34"/>
      <c r="JSE16" s="34"/>
      <c r="JSF16" s="34"/>
      <c r="JSG16" s="34"/>
      <c r="JSH16" s="34"/>
      <c r="JSI16" s="34"/>
      <c r="JSJ16" s="34"/>
      <c r="JSK16" s="34"/>
      <c r="JSL16" s="34"/>
      <c r="JSM16" s="34"/>
      <c r="JSN16" s="34"/>
      <c r="JSO16" s="34"/>
      <c r="JSP16" s="34"/>
      <c r="JSQ16" s="34"/>
      <c r="JSR16" s="34"/>
      <c r="JSS16" s="34"/>
      <c r="JST16" s="34"/>
      <c r="JSU16" s="34"/>
      <c r="JSV16" s="34"/>
      <c r="JSW16" s="34"/>
      <c r="JSX16" s="34"/>
      <c r="JSY16" s="34"/>
      <c r="JSZ16" s="34"/>
      <c r="JTA16" s="34"/>
      <c r="JTB16" s="34"/>
      <c r="JTC16" s="34"/>
      <c r="JTD16" s="34"/>
      <c r="JTE16" s="34"/>
      <c r="JTF16" s="34"/>
      <c r="JTG16" s="34"/>
      <c r="JTH16" s="34"/>
      <c r="JTI16" s="34"/>
      <c r="JTJ16" s="34"/>
      <c r="JTK16" s="34"/>
      <c r="JTL16" s="34"/>
      <c r="JTM16" s="34"/>
      <c r="JTN16" s="34"/>
      <c r="JTO16" s="34"/>
      <c r="JTP16" s="34"/>
      <c r="JTQ16" s="34"/>
      <c r="JTR16" s="34"/>
      <c r="JTS16" s="34"/>
      <c r="JTT16" s="34"/>
      <c r="JTU16" s="34"/>
      <c r="JTV16" s="34"/>
      <c r="JTW16" s="34"/>
      <c r="JTX16" s="34"/>
      <c r="JTY16" s="34"/>
      <c r="JTZ16" s="34"/>
      <c r="JUA16" s="34"/>
      <c r="JUB16" s="34"/>
      <c r="JUC16" s="34"/>
      <c r="JUD16" s="34"/>
      <c r="JUE16" s="34"/>
      <c r="JUF16" s="34"/>
      <c r="JUG16" s="34"/>
      <c r="JUH16" s="34"/>
      <c r="JUI16" s="34"/>
      <c r="JUJ16" s="34"/>
      <c r="JUK16" s="34"/>
      <c r="JUL16" s="34"/>
      <c r="JUM16" s="34"/>
      <c r="JUN16" s="34"/>
      <c r="JUO16" s="34"/>
      <c r="JUP16" s="34"/>
      <c r="JUQ16" s="34"/>
      <c r="JUR16" s="34"/>
      <c r="JUS16" s="34"/>
      <c r="JUT16" s="34"/>
      <c r="JUU16" s="34"/>
      <c r="JUV16" s="34"/>
      <c r="JUW16" s="34"/>
      <c r="JUX16" s="34"/>
      <c r="JUY16" s="34"/>
      <c r="JUZ16" s="34"/>
      <c r="JVA16" s="34"/>
      <c r="JVB16" s="34"/>
      <c r="JVC16" s="34"/>
      <c r="JVD16" s="34"/>
      <c r="JVE16" s="34"/>
      <c r="JVF16" s="34"/>
      <c r="JVG16" s="34"/>
      <c r="JVH16" s="34"/>
      <c r="JVI16" s="34"/>
      <c r="JVJ16" s="34"/>
      <c r="JVK16" s="34"/>
      <c r="JVL16" s="34"/>
      <c r="JVM16" s="34"/>
      <c r="JVN16" s="34"/>
      <c r="JVO16" s="34"/>
      <c r="JVP16" s="34"/>
      <c r="JVQ16" s="34"/>
      <c r="JVR16" s="34"/>
      <c r="JVS16" s="34"/>
      <c r="JVT16" s="34"/>
      <c r="JVU16" s="34"/>
      <c r="JVV16" s="34"/>
      <c r="JVW16" s="34"/>
      <c r="JVX16" s="34"/>
      <c r="JVY16" s="34"/>
      <c r="JVZ16" s="34"/>
      <c r="JWA16" s="34"/>
      <c r="JWB16" s="34"/>
      <c r="JWC16" s="34"/>
      <c r="JWD16" s="34"/>
      <c r="JWE16" s="34"/>
      <c r="JWF16" s="34"/>
      <c r="JWG16" s="34"/>
      <c r="JWH16" s="34"/>
      <c r="JWI16" s="34"/>
      <c r="JWJ16" s="34"/>
      <c r="JWK16" s="34"/>
      <c r="JWL16" s="34"/>
      <c r="JWM16" s="34"/>
      <c r="JWN16" s="34"/>
      <c r="JWO16" s="34"/>
      <c r="JWP16" s="34"/>
      <c r="JWQ16" s="34"/>
      <c r="JWR16" s="34"/>
      <c r="JWS16" s="34"/>
      <c r="JWT16" s="34"/>
      <c r="JWU16" s="34"/>
      <c r="JWV16" s="34"/>
      <c r="JWW16" s="34"/>
      <c r="JWX16" s="34"/>
      <c r="JWY16" s="34"/>
      <c r="JWZ16" s="34"/>
      <c r="JXA16" s="34"/>
      <c r="JXB16" s="34"/>
      <c r="JXC16" s="34"/>
      <c r="JXD16" s="34"/>
      <c r="JXE16" s="34"/>
      <c r="JXF16" s="34"/>
      <c r="JXG16" s="34"/>
      <c r="JXH16" s="34"/>
      <c r="JXI16" s="34"/>
      <c r="JXJ16" s="34"/>
      <c r="JXK16" s="34"/>
      <c r="JXL16" s="34"/>
      <c r="JXM16" s="34"/>
      <c r="JXN16" s="34"/>
      <c r="JXO16" s="34"/>
      <c r="JXP16" s="34"/>
      <c r="JXQ16" s="34"/>
      <c r="JXR16" s="34"/>
      <c r="JXS16" s="34"/>
      <c r="JXT16" s="34"/>
      <c r="JXU16" s="34"/>
      <c r="JXV16" s="34"/>
      <c r="JXW16" s="34"/>
      <c r="JXX16" s="34"/>
      <c r="JXY16" s="34"/>
      <c r="JXZ16" s="34"/>
      <c r="JYA16" s="34"/>
      <c r="JYB16" s="34"/>
      <c r="JYC16" s="34"/>
      <c r="JYD16" s="34"/>
      <c r="JYE16" s="34"/>
      <c r="JYF16" s="34"/>
      <c r="JYG16" s="34"/>
      <c r="JYH16" s="34"/>
      <c r="JYI16" s="34"/>
      <c r="JYJ16" s="34"/>
      <c r="JYK16" s="34"/>
      <c r="JYL16" s="34"/>
      <c r="JYM16" s="34"/>
      <c r="JYN16" s="34"/>
      <c r="JYO16" s="34"/>
      <c r="JYP16" s="34"/>
      <c r="JYQ16" s="34"/>
      <c r="JYR16" s="34"/>
      <c r="JYS16" s="34"/>
      <c r="JYT16" s="34"/>
      <c r="JYU16" s="34"/>
      <c r="JYV16" s="34"/>
      <c r="JYW16" s="34"/>
      <c r="JYX16" s="34"/>
      <c r="JYY16" s="34"/>
      <c r="JYZ16" s="34"/>
      <c r="JZA16" s="34"/>
      <c r="JZB16" s="34"/>
      <c r="JZC16" s="34"/>
      <c r="JZD16" s="34"/>
      <c r="JZE16" s="34"/>
      <c r="JZF16" s="34"/>
      <c r="JZG16" s="34"/>
      <c r="JZH16" s="34"/>
      <c r="JZI16" s="34"/>
      <c r="JZJ16" s="34"/>
      <c r="JZK16" s="34"/>
      <c r="JZL16" s="34"/>
      <c r="JZM16" s="34"/>
      <c r="JZN16" s="34"/>
      <c r="JZO16" s="34"/>
      <c r="JZP16" s="34"/>
      <c r="JZQ16" s="34"/>
      <c r="JZR16" s="34"/>
      <c r="JZS16" s="34"/>
      <c r="JZT16" s="34"/>
      <c r="JZU16" s="34"/>
      <c r="JZV16" s="34"/>
      <c r="JZW16" s="34"/>
      <c r="JZX16" s="34"/>
      <c r="JZY16" s="34"/>
      <c r="JZZ16" s="34"/>
      <c r="KAA16" s="34"/>
      <c r="KAB16" s="34"/>
      <c r="KAC16" s="34"/>
      <c r="KAD16" s="34"/>
      <c r="KAE16" s="34"/>
      <c r="KAF16" s="34"/>
      <c r="KAG16" s="34"/>
      <c r="KAH16" s="34"/>
      <c r="KAI16" s="34"/>
      <c r="KAJ16" s="34"/>
      <c r="KAK16" s="34"/>
      <c r="KAL16" s="34"/>
      <c r="KAM16" s="34"/>
      <c r="KAN16" s="34"/>
      <c r="KAO16" s="34"/>
      <c r="KAP16" s="34"/>
      <c r="KAQ16" s="34"/>
      <c r="KAR16" s="34"/>
      <c r="KAS16" s="34"/>
      <c r="KAT16" s="34"/>
      <c r="KAU16" s="34"/>
      <c r="KAV16" s="34"/>
      <c r="KAW16" s="34"/>
      <c r="KAX16" s="34"/>
      <c r="KAY16" s="34"/>
      <c r="KAZ16" s="34"/>
      <c r="KBA16" s="34"/>
      <c r="KBB16" s="34"/>
      <c r="KBC16" s="34"/>
      <c r="KBD16" s="34"/>
      <c r="KBE16" s="34"/>
      <c r="KBF16" s="34"/>
      <c r="KBG16" s="34"/>
      <c r="KBH16" s="34"/>
      <c r="KBI16" s="34"/>
      <c r="KBJ16" s="34"/>
      <c r="KBK16" s="34"/>
      <c r="KBL16" s="34"/>
      <c r="KBM16" s="34"/>
      <c r="KBN16" s="34"/>
      <c r="KBO16" s="34"/>
      <c r="KBP16" s="34"/>
      <c r="KBQ16" s="34"/>
      <c r="KBR16" s="34"/>
      <c r="KBS16" s="34"/>
      <c r="KBT16" s="34"/>
      <c r="KBU16" s="34"/>
      <c r="KBV16" s="34"/>
      <c r="KBW16" s="34"/>
      <c r="KBX16" s="34"/>
      <c r="KBY16" s="34"/>
      <c r="KBZ16" s="34"/>
      <c r="KCA16" s="34"/>
      <c r="KCB16" s="34"/>
      <c r="KCC16" s="34"/>
      <c r="KCD16" s="34"/>
      <c r="KCE16" s="34"/>
      <c r="KCF16" s="34"/>
      <c r="KCG16" s="34"/>
      <c r="KCH16" s="34"/>
      <c r="KCI16" s="34"/>
      <c r="KCJ16" s="34"/>
      <c r="KCK16" s="34"/>
      <c r="KCL16" s="34"/>
      <c r="KCM16" s="34"/>
      <c r="KCN16" s="34"/>
      <c r="KCO16" s="34"/>
      <c r="KCP16" s="34"/>
      <c r="KCQ16" s="34"/>
      <c r="KCR16" s="34"/>
      <c r="KCS16" s="34"/>
      <c r="KCT16" s="34"/>
      <c r="KCU16" s="34"/>
      <c r="KCV16" s="34"/>
      <c r="KCW16" s="34"/>
      <c r="KCX16" s="34"/>
      <c r="KCY16" s="34"/>
      <c r="KCZ16" s="34"/>
      <c r="KDA16" s="34"/>
      <c r="KDB16" s="34"/>
      <c r="KDC16" s="34"/>
      <c r="KDD16" s="34"/>
      <c r="KDE16" s="34"/>
      <c r="KDF16" s="34"/>
      <c r="KDG16" s="34"/>
      <c r="KDH16" s="34"/>
      <c r="KDI16" s="34"/>
      <c r="KDJ16" s="34"/>
      <c r="KDK16" s="34"/>
      <c r="KDL16" s="34"/>
      <c r="KDM16" s="34"/>
      <c r="KDN16" s="34"/>
      <c r="KDO16" s="34"/>
      <c r="KDP16" s="34"/>
      <c r="KDQ16" s="34"/>
      <c r="KDR16" s="34"/>
      <c r="KDS16" s="34"/>
      <c r="KDT16" s="34"/>
      <c r="KDU16" s="34"/>
      <c r="KDV16" s="34"/>
      <c r="KDW16" s="34"/>
      <c r="KDX16" s="34"/>
      <c r="KDY16" s="34"/>
      <c r="KDZ16" s="34"/>
      <c r="KEA16" s="34"/>
      <c r="KEB16" s="34"/>
      <c r="KEC16" s="34"/>
      <c r="KED16" s="34"/>
      <c r="KEE16" s="34"/>
      <c r="KEF16" s="34"/>
      <c r="KEG16" s="34"/>
      <c r="KEH16" s="34"/>
      <c r="KEI16" s="34"/>
      <c r="KEJ16" s="34"/>
      <c r="KEK16" s="34"/>
      <c r="KEL16" s="34"/>
      <c r="KEM16" s="34"/>
      <c r="KEN16" s="34"/>
      <c r="KEO16" s="34"/>
      <c r="KEP16" s="34"/>
      <c r="KEQ16" s="34"/>
      <c r="KER16" s="34"/>
      <c r="KES16" s="34"/>
      <c r="KET16" s="34"/>
      <c r="KEU16" s="34"/>
      <c r="KEV16" s="34"/>
      <c r="KEW16" s="34"/>
      <c r="KEX16" s="34"/>
      <c r="KEY16" s="34"/>
      <c r="KEZ16" s="34"/>
      <c r="KFA16" s="34"/>
      <c r="KFB16" s="34"/>
      <c r="KFC16" s="34"/>
      <c r="KFD16" s="34"/>
      <c r="KFE16" s="34"/>
      <c r="KFF16" s="34"/>
      <c r="KFG16" s="34"/>
      <c r="KFH16" s="34"/>
      <c r="KFI16" s="34"/>
      <c r="KFJ16" s="34"/>
      <c r="KFK16" s="34"/>
      <c r="KFL16" s="34"/>
      <c r="KFM16" s="34"/>
      <c r="KFN16" s="34"/>
      <c r="KFO16" s="34"/>
      <c r="KFP16" s="34"/>
      <c r="KFQ16" s="34"/>
      <c r="KFR16" s="34"/>
      <c r="KFS16" s="34"/>
      <c r="KFT16" s="34"/>
      <c r="KFU16" s="34"/>
      <c r="KFV16" s="34"/>
      <c r="KFW16" s="34"/>
      <c r="KFX16" s="34"/>
      <c r="KFY16" s="34"/>
      <c r="KFZ16" s="34"/>
      <c r="KGA16" s="34"/>
      <c r="KGB16" s="34"/>
      <c r="KGC16" s="34"/>
      <c r="KGD16" s="34"/>
      <c r="KGE16" s="34"/>
      <c r="KGF16" s="34"/>
      <c r="KGG16" s="34"/>
      <c r="KGH16" s="34"/>
      <c r="KGI16" s="34"/>
      <c r="KGJ16" s="34"/>
      <c r="KGK16" s="34"/>
      <c r="KGL16" s="34"/>
      <c r="KGM16" s="34"/>
      <c r="KGN16" s="34"/>
      <c r="KGO16" s="34"/>
      <c r="KGP16" s="34"/>
      <c r="KGQ16" s="34"/>
      <c r="KGR16" s="34"/>
      <c r="KGS16" s="34"/>
      <c r="KGT16" s="34"/>
      <c r="KGU16" s="34"/>
      <c r="KGV16" s="34"/>
      <c r="KGW16" s="34"/>
      <c r="KGX16" s="34"/>
      <c r="KGY16" s="34"/>
      <c r="KGZ16" s="34"/>
      <c r="KHA16" s="34"/>
      <c r="KHB16" s="34"/>
      <c r="KHC16" s="34"/>
      <c r="KHD16" s="34"/>
      <c r="KHE16" s="34"/>
      <c r="KHF16" s="34"/>
      <c r="KHG16" s="34"/>
      <c r="KHH16" s="34"/>
      <c r="KHI16" s="34"/>
      <c r="KHJ16" s="34"/>
      <c r="KHK16" s="34"/>
      <c r="KHL16" s="34"/>
      <c r="KHM16" s="34"/>
      <c r="KHN16" s="34"/>
      <c r="KHO16" s="34"/>
      <c r="KHP16" s="34"/>
      <c r="KHQ16" s="34"/>
      <c r="KHR16" s="34"/>
      <c r="KHS16" s="34"/>
      <c r="KHT16" s="34"/>
      <c r="KHU16" s="34"/>
      <c r="KHV16" s="34"/>
      <c r="KHW16" s="34"/>
      <c r="KHX16" s="34"/>
      <c r="KHY16" s="34"/>
      <c r="KHZ16" s="34"/>
      <c r="KIA16" s="34"/>
      <c r="KIB16" s="34"/>
      <c r="KIC16" s="34"/>
      <c r="KID16" s="34"/>
      <c r="KIE16" s="34"/>
      <c r="KIF16" s="34"/>
      <c r="KIG16" s="34"/>
      <c r="KIH16" s="34"/>
      <c r="KII16" s="34"/>
      <c r="KIJ16" s="34"/>
      <c r="KIK16" s="34"/>
      <c r="KIL16" s="34"/>
      <c r="KIM16" s="34"/>
      <c r="KIN16" s="34"/>
      <c r="KIO16" s="34"/>
      <c r="KIP16" s="34"/>
      <c r="KIQ16" s="34"/>
      <c r="KIR16" s="34"/>
      <c r="KIS16" s="34"/>
      <c r="KIT16" s="34"/>
      <c r="KIU16" s="34"/>
      <c r="KIV16" s="34"/>
      <c r="KIW16" s="34"/>
      <c r="KIX16" s="34"/>
      <c r="KIY16" s="34"/>
      <c r="KIZ16" s="34"/>
      <c r="KJA16" s="34"/>
      <c r="KJB16" s="34"/>
      <c r="KJC16" s="34"/>
      <c r="KJD16" s="34"/>
      <c r="KJE16" s="34"/>
      <c r="KJF16" s="34"/>
      <c r="KJG16" s="34"/>
      <c r="KJH16" s="34"/>
      <c r="KJI16" s="34"/>
      <c r="KJJ16" s="34"/>
      <c r="KJK16" s="34"/>
      <c r="KJL16" s="34"/>
      <c r="KJM16" s="34"/>
      <c r="KJN16" s="34"/>
      <c r="KJO16" s="34"/>
      <c r="KJP16" s="34"/>
      <c r="KJQ16" s="34"/>
      <c r="KJR16" s="34"/>
      <c r="KJS16" s="34"/>
      <c r="KJT16" s="34"/>
      <c r="KJU16" s="34"/>
      <c r="KJV16" s="34"/>
      <c r="KJW16" s="34"/>
      <c r="KJX16" s="34"/>
      <c r="KJY16" s="34"/>
      <c r="KJZ16" s="34"/>
      <c r="KKA16" s="34"/>
      <c r="KKB16" s="34"/>
      <c r="KKC16" s="34"/>
      <c r="KKD16" s="34"/>
      <c r="KKE16" s="34"/>
      <c r="KKF16" s="34"/>
      <c r="KKG16" s="34"/>
      <c r="KKH16" s="34"/>
      <c r="KKI16" s="34"/>
      <c r="KKJ16" s="34"/>
      <c r="KKK16" s="34"/>
      <c r="KKL16" s="34"/>
      <c r="KKM16" s="34"/>
      <c r="KKN16" s="34"/>
      <c r="KKO16" s="34"/>
      <c r="KKP16" s="34"/>
      <c r="KKQ16" s="34"/>
      <c r="KKR16" s="34"/>
      <c r="KKS16" s="34"/>
      <c r="KKT16" s="34"/>
      <c r="KKU16" s="34"/>
      <c r="KKV16" s="34"/>
      <c r="KKW16" s="34"/>
      <c r="KKX16" s="34"/>
      <c r="KKY16" s="34"/>
      <c r="KKZ16" s="34"/>
      <c r="KLA16" s="34"/>
      <c r="KLB16" s="34"/>
      <c r="KLC16" s="34"/>
      <c r="KLD16" s="34"/>
      <c r="KLE16" s="34"/>
      <c r="KLF16" s="34"/>
      <c r="KLG16" s="34"/>
      <c r="KLH16" s="34"/>
      <c r="KLI16" s="34"/>
      <c r="KLJ16" s="34"/>
      <c r="KLK16" s="34"/>
      <c r="KLL16" s="34"/>
      <c r="KLM16" s="34"/>
      <c r="KLN16" s="34"/>
      <c r="KLO16" s="34"/>
      <c r="KLP16" s="34"/>
      <c r="KLQ16" s="34"/>
      <c r="KLR16" s="34"/>
      <c r="KLS16" s="34"/>
      <c r="KLT16" s="34"/>
      <c r="KLU16" s="34"/>
      <c r="KLV16" s="34"/>
      <c r="KLW16" s="34"/>
      <c r="KLX16" s="34"/>
      <c r="KLY16" s="34"/>
      <c r="KLZ16" s="34"/>
      <c r="KMA16" s="34"/>
      <c r="KMB16" s="34"/>
      <c r="KMC16" s="34"/>
      <c r="KMD16" s="34"/>
      <c r="KME16" s="34"/>
      <c r="KMF16" s="34"/>
      <c r="KMG16" s="34"/>
      <c r="KMH16" s="34"/>
      <c r="KMI16" s="34"/>
      <c r="KMJ16" s="34"/>
      <c r="KMK16" s="34"/>
      <c r="KML16" s="34"/>
      <c r="KMM16" s="34"/>
      <c r="KMN16" s="34"/>
      <c r="KMO16" s="34"/>
      <c r="KMP16" s="34"/>
      <c r="KMQ16" s="34"/>
      <c r="KMR16" s="34"/>
      <c r="KMS16" s="34"/>
      <c r="KMT16" s="34"/>
      <c r="KMU16" s="34"/>
      <c r="KMV16" s="34"/>
      <c r="KMW16" s="34"/>
      <c r="KMX16" s="34"/>
      <c r="KMY16" s="34"/>
      <c r="KMZ16" s="34"/>
      <c r="KNA16" s="34"/>
      <c r="KNB16" s="34"/>
      <c r="KNC16" s="34"/>
      <c r="KND16" s="34"/>
      <c r="KNE16" s="34"/>
      <c r="KNF16" s="34"/>
      <c r="KNG16" s="34"/>
      <c r="KNH16" s="34"/>
      <c r="KNI16" s="34"/>
      <c r="KNJ16" s="34"/>
      <c r="KNK16" s="34"/>
      <c r="KNL16" s="34"/>
      <c r="KNM16" s="34"/>
      <c r="KNN16" s="34"/>
      <c r="KNO16" s="34"/>
      <c r="KNP16" s="34"/>
      <c r="KNQ16" s="34"/>
      <c r="KNR16" s="34"/>
      <c r="KNS16" s="34"/>
      <c r="KNT16" s="34"/>
      <c r="KNU16" s="34"/>
      <c r="KNV16" s="34"/>
      <c r="KNW16" s="34"/>
      <c r="KNX16" s="34"/>
      <c r="KNY16" s="34"/>
      <c r="KNZ16" s="34"/>
      <c r="KOA16" s="34"/>
      <c r="KOB16" s="34"/>
      <c r="KOC16" s="34"/>
      <c r="KOD16" s="34"/>
      <c r="KOE16" s="34"/>
      <c r="KOF16" s="34"/>
      <c r="KOG16" s="34"/>
      <c r="KOH16" s="34"/>
      <c r="KOI16" s="34"/>
      <c r="KOJ16" s="34"/>
      <c r="KOK16" s="34"/>
      <c r="KOL16" s="34"/>
      <c r="KOM16" s="34"/>
      <c r="KON16" s="34"/>
      <c r="KOO16" s="34"/>
      <c r="KOP16" s="34"/>
      <c r="KOQ16" s="34"/>
      <c r="KOR16" s="34"/>
      <c r="KOS16" s="34"/>
      <c r="KOT16" s="34"/>
      <c r="KOU16" s="34"/>
      <c r="KOV16" s="34"/>
      <c r="KOW16" s="34"/>
      <c r="KOX16" s="34"/>
      <c r="KOY16" s="34"/>
      <c r="KOZ16" s="34"/>
      <c r="KPA16" s="34"/>
      <c r="KPB16" s="34"/>
      <c r="KPC16" s="34"/>
      <c r="KPD16" s="34"/>
      <c r="KPE16" s="34"/>
      <c r="KPF16" s="34"/>
      <c r="KPG16" s="34"/>
      <c r="KPH16" s="34"/>
      <c r="KPI16" s="34"/>
      <c r="KPJ16" s="34"/>
      <c r="KPK16" s="34"/>
      <c r="KPL16" s="34"/>
      <c r="KPM16" s="34"/>
      <c r="KPN16" s="34"/>
      <c r="KPO16" s="34"/>
      <c r="KPP16" s="34"/>
      <c r="KPQ16" s="34"/>
      <c r="KPR16" s="34"/>
      <c r="KPS16" s="34"/>
      <c r="KPT16" s="34"/>
      <c r="KPU16" s="34"/>
      <c r="KPV16" s="34"/>
      <c r="KPW16" s="34"/>
      <c r="KPX16" s="34"/>
      <c r="KPY16" s="34"/>
      <c r="KPZ16" s="34"/>
      <c r="KQA16" s="34"/>
      <c r="KQB16" s="34"/>
      <c r="KQC16" s="34"/>
      <c r="KQD16" s="34"/>
      <c r="KQE16" s="34"/>
      <c r="KQF16" s="34"/>
      <c r="KQG16" s="34"/>
      <c r="KQH16" s="34"/>
      <c r="KQI16" s="34"/>
      <c r="KQJ16" s="34"/>
      <c r="KQK16" s="34"/>
      <c r="KQL16" s="34"/>
      <c r="KQM16" s="34"/>
      <c r="KQN16" s="34"/>
      <c r="KQO16" s="34"/>
      <c r="KQP16" s="34"/>
      <c r="KQQ16" s="34"/>
      <c r="KQR16" s="34"/>
      <c r="KQS16" s="34"/>
      <c r="KQT16" s="34"/>
      <c r="KQU16" s="34"/>
      <c r="KQV16" s="34"/>
      <c r="KQW16" s="34"/>
      <c r="KQX16" s="34"/>
      <c r="KQY16" s="34"/>
      <c r="KQZ16" s="34"/>
      <c r="KRA16" s="34"/>
      <c r="KRB16" s="34"/>
      <c r="KRC16" s="34"/>
      <c r="KRD16" s="34"/>
      <c r="KRE16" s="34"/>
      <c r="KRF16" s="34"/>
      <c r="KRG16" s="34"/>
      <c r="KRH16" s="34"/>
      <c r="KRI16" s="34"/>
      <c r="KRJ16" s="34"/>
      <c r="KRK16" s="34"/>
      <c r="KRL16" s="34"/>
      <c r="KRM16" s="34"/>
      <c r="KRN16" s="34"/>
      <c r="KRO16" s="34"/>
      <c r="KRP16" s="34"/>
      <c r="KRQ16" s="34"/>
      <c r="KRR16" s="34"/>
      <c r="KRS16" s="34"/>
      <c r="KRT16" s="34"/>
      <c r="KRU16" s="34"/>
      <c r="KRV16" s="34"/>
      <c r="KRW16" s="34"/>
      <c r="KRX16" s="34"/>
      <c r="KRY16" s="34"/>
      <c r="KRZ16" s="34"/>
      <c r="KSA16" s="34"/>
      <c r="KSB16" s="34"/>
      <c r="KSC16" s="34"/>
      <c r="KSD16" s="34"/>
      <c r="KSE16" s="34"/>
      <c r="KSF16" s="34"/>
      <c r="KSG16" s="34"/>
      <c r="KSH16" s="34"/>
      <c r="KSI16" s="34"/>
      <c r="KSJ16" s="34"/>
      <c r="KSK16" s="34"/>
      <c r="KSL16" s="34"/>
      <c r="KSM16" s="34"/>
      <c r="KSN16" s="34"/>
      <c r="KSO16" s="34"/>
      <c r="KSP16" s="34"/>
      <c r="KSQ16" s="34"/>
      <c r="KSR16" s="34"/>
      <c r="KSS16" s="34"/>
      <c r="KST16" s="34"/>
      <c r="KSU16" s="34"/>
      <c r="KSV16" s="34"/>
      <c r="KSW16" s="34"/>
      <c r="KSX16" s="34"/>
      <c r="KSY16" s="34"/>
      <c r="KSZ16" s="34"/>
      <c r="KTA16" s="34"/>
      <c r="KTB16" s="34"/>
      <c r="KTC16" s="34"/>
      <c r="KTD16" s="34"/>
      <c r="KTE16" s="34"/>
      <c r="KTF16" s="34"/>
      <c r="KTG16" s="34"/>
      <c r="KTH16" s="34"/>
      <c r="KTI16" s="34"/>
      <c r="KTJ16" s="34"/>
      <c r="KTK16" s="34"/>
      <c r="KTL16" s="34"/>
      <c r="KTM16" s="34"/>
      <c r="KTN16" s="34"/>
      <c r="KTO16" s="34"/>
      <c r="KTP16" s="34"/>
      <c r="KTQ16" s="34"/>
      <c r="KTR16" s="34"/>
      <c r="KTS16" s="34"/>
      <c r="KTT16" s="34"/>
      <c r="KTU16" s="34"/>
      <c r="KTV16" s="34"/>
      <c r="KTW16" s="34"/>
      <c r="KTX16" s="34"/>
      <c r="KTY16" s="34"/>
      <c r="KTZ16" s="34"/>
      <c r="KUA16" s="34"/>
      <c r="KUB16" s="34"/>
      <c r="KUC16" s="34"/>
      <c r="KUD16" s="34"/>
      <c r="KUE16" s="34"/>
      <c r="KUF16" s="34"/>
      <c r="KUG16" s="34"/>
      <c r="KUH16" s="34"/>
      <c r="KUI16" s="34"/>
      <c r="KUJ16" s="34"/>
      <c r="KUK16" s="34"/>
      <c r="KUL16" s="34"/>
      <c r="KUM16" s="34"/>
      <c r="KUN16" s="34"/>
      <c r="KUO16" s="34"/>
      <c r="KUP16" s="34"/>
      <c r="KUQ16" s="34"/>
      <c r="KUR16" s="34"/>
      <c r="KUS16" s="34"/>
      <c r="KUT16" s="34"/>
      <c r="KUU16" s="34"/>
      <c r="KUV16" s="34"/>
      <c r="KUW16" s="34"/>
      <c r="KUX16" s="34"/>
      <c r="KUY16" s="34"/>
      <c r="KUZ16" s="34"/>
      <c r="KVA16" s="34"/>
      <c r="KVB16" s="34"/>
      <c r="KVC16" s="34"/>
      <c r="KVD16" s="34"/>
      <c r="KVE16" s="34"/>
      <c r="KVF16" s="34"/>
      <c r="KVG16" s="34"/>
      <c r="KVH16" s="34"/>
      <c r="KVI16" s="34"/>
      <c r="KVJ16" s="34"/>
      <c r="KVK16" s="34"/>
      <c r="KVL16" s="34"/>
      <c r="KVM16" s="34"/>
      <c r="KVN16" s="34"/>
      <c r="KVO16" s="34"/>
      <c r="KVP16" s="34"/>
      <c r="KVQ16" s="34"/>
      <c r="KVR16" s="34"/>
      <c r="KVS16" s="34"/>
      <c r="KVT16" s="34"/>
      <c r="KVU16" s="34"/>
      <c r="KVV16" s="34"/>
      <c r="KVW16" s="34"/>
      <c r="KVX16" s="34"/>
      <c r="KVY16" s="34"/>
      <c r="KVZ16" s="34"/>
      <c r="KWA16" s="34"/>
      <c r="KWB16" s="34"/>
      <c r="KWC16" s="34"/>
      <c r="KWD16" s="34"/>
      <c r="KWE16" s="34"/>
      <c r="KWF16" s="34"/>
      <c r="KWG16" s="34"/>
      <c r="KWH16" s="34"/>
      <c r="KWI16" s="34"/>
      <c r="KWJ16" s="34"/>
      <c r="KWK16" s="34"/>
      <c r="KWL16" s="34"/>
      <c r="KWM16" s="34"/>
      <c r="KWN16" s="34"/>
      <c r="KWO16" s="34"/>
      <c r="KWP16" s="34"/>
      <c r="KWQ16" s="34"/>
      <c r="KWR16" s="34"/>
      <c r="KWS16" s="34"/>
      <c r="KWT16" s="34"/>
      <c r="KWU16" s="34"/>
      <c r="KWV16" s="34"/>
      <c r="KWW16" s="34"/>
      <c r="KWX16" s="34"/>
      <c r="KWY16" s="34"/>
      <c r="KWZ16" s="34"/>
      <c r="KXA16" s="34"/>
      <c r="KXB16" s="34"/>
      <c r="KXC16" s="34"/>
      <c r="KXD16" s="34"/>
      <c r="KXE16" s="34"/>
      <c r="KXF16" s="34"/>
      <c r="KXG16" s="34"/>
      <c r="KXH16" s="34"/>
      <c r="KXI16" s="34"/>
      <c r="KXJ16" s="34"/>
      <c r="KXK16" s="34"/>
      <c r="KXL16" s="34"/>
      <c r="KXM16" s="34"/>
      <c r="KXN16" s="34"/>
      <c r="KXO16" s="34"/>
      <c r="KXP16" s="34"/>
      <c r="KXQ16" s="34"/>
      <c r="KXR16" s="34"/>
      <c r="KXS16" s="34"/>
      <c r="KXT16" s="34"/>
      <c r="KXU16" s="34"/>
      <c r="KXV16" s="34"/>
      <c r="KXW16" s="34"/>
      <c r="KXX16" s="34"/>
      <c r="KXY16" s="34"/>
      <c r="KXZ16" s="34"/>
      <c r="KYA16" s="34"/>
      <c r="KYB16" s="34"/>
      <c r="KYC16" s="34"/>
      <c r="KYD16" s="34"/>
      <c r="KYE16" s="34"/>
      <c r="KYF16" s="34"/>
      <c r="KYG16" s="34"/>
      <c r="KYH16" s="34"/>
      <c r="KYI16" s="34"/>
      <c r="KYJ16" s="34"/>
      <c r="KYK16" s="34"/>
      <c r="KYL16" s="34"/>
      <c r="KYM16" s="34"/>
      <c r="KYN16" s="34"/>
      <c r="KYO16" s="34"/>
      <c r="KYP16" s="34"/>
      <c r="KYQ16" s="34"/>
      <c r="KYR16" s="34"/>
      <c r="KYS16" s="34"/>
      <c r="KYT16" s="34"/>
      <c r="KYU16" s="34"/>
      <c r="KYV16" s="34"/>
      <c r="KYW16" s="34"/>
      <c r="KYX16" s="34"/>
      <c r="KYY16" s="34"/>
      <c r="KYZ16" s="34"/>
      <c r="KZA16" s="34"/>
      <c r="KZB16" s="34"/>
      <c r="KZC16" s="34"/>
      <c r="KZD16" s="34"/>
      <c r="KZE16" s="34"/>
      <c r="KZF16" s="34"/>
      <c r="KZG16" s="34"/>
      <c r="KZH16" s="34"/>
      <c r="KZI16" s="34"/>
      <c r="KZJ16" s="34"/>
      <c r="KZK16" s="34"/>
      <c r="KZL16" s="34"/>
      <c r="KZM16" s="34"/>
      <c r="KZN16" s="34"/>
      <c r="KZO16" s="34"/>
      <c r="KZP16" s="34"/>
      <c r="KZQ16" s="34"/>
      <c r="KZR16" s="34"/>
      <c r="KZS16" s="34"/>
      <c r="KZT16" s="34"/>
      <c r="KZU16" s="34"/>
      <c r="KZV16" s="34"/>
      <c r="KZW16" s="34"/>
      <c r="KZX16" s="34"/>
      <c r="KZY16" s="34"/>
      <c r="KZZ16" s="34"/>
      <c r="LAA16" s="34"/>
      <c r="LAB16" s="34"/>
      <c r="LAC16" s="34"/>
      <c r="LAD16" s="34"/>
      <c r="LAE16" s="34"/>
      <c r="LAF16" s="34"/>
      <c r="LAG16" s="34"/>
      <c r="LAH16" s="34"/>
      <c r="LAI16" s="34"/>
      <c r="LAJ16" s="34"/>
      <c r="LAK16" s="34"/>
      <c r="LAL16" s="34"/>
      <c r="LAM16" s="34"/>
      <c r="LAN16" s="34"/>
      <c r="LAO16" s="34"/>
      <c r="LAP16" s="34"/>
      <c r="LAQ16" s="34"/>
      <c r="LAR16" s="34"/>
      <c r="LAS16" s="34"/>
      <c r="LAT16" s="34"/>
      <c r="LAU16" s="34"/>
      <c r="LAV16" s="34"/>
      <c r="LAW16" s="34"/>
      <c r="LAX16" s="34"/>
      <c r="LAY16" s="34"/>
      <c r="LAZ16" s="34"/>
      <c r="LBA16" s="34"/>
      <c r="LBB16" s="34"/>
      <c r="LBC16" s="34"/>
      <c r="LBD16" s="34"/>
      <c r="LBE16" s="34"/>
      <c r="LBF16" s="34"/>
      <c r="LBG16" s="34"/>
      <c r="LBH16" s="34"/>
      <c r="LBI16" s="34"/>
      <c r="LBJ16" s="34"/>
      <c r="LBK16" s="34"/>
      <c r="LBL16" s="34"/>
      <c r="LBM16" s="34"/>
      <c r="LBN16" s="34"/>
      <c r="LBO16" s="34"/>
      <c r="LBP16" s="34"/>
      <c r="LBQ16" s="34"/>
      <c r="LBR16" s="34"/>
      <c r="LBS16" s="34"/>
      <c r="LBT16" s="34"/>
      <c r="LBU16" s="34"/>
      <c r="LBV16" s="34"/>
      <c r="LBW16" s="34"/>
      <c r="LBX16" s="34"/>
      <c r="LBY16" s="34"/>
      <c r="LBZ16" s="34"/>
      <c r="LCA16" s="34"/>
      <c r="LCB16" s="34"/>
      <c r="LCC16" s="34"/>
      <c r="LCD16" s="34"/>
      <c r="LCE16" s="34"/>
      <c r="LCF16" s="34"/>
      <c r="LCG16" s="34"/>
      <c r="LCH16" s="34"/>
      <c r="LCI16" s="34"/>
      <c r="LCJ16" s="34"/>
      <c r="LCK16" s="34"/>
      <c r="LCL16" s="34"/>
      <c r="LCM16" s="34"/>
      <c r="LCN16" s="34"/>
      <c r="LCO16" s="34"/>
      <c r="LCP16" s="34"/>
      <c r="LCQ16" s="34"/>
      <c r="LCR16" s="34"/>
      <c r="LCS16" s="34"/>
      <c r="LCT16" s="34"/>
      <c r="LCU16" s="34"/>
      <c r="LCV16" s="34"/>
      <c r="LCW16" s="34"/>
      <c r="LCX16" s="34"/>
      <c r="LCY16" s="34"/>
      <c r="LCZ16" s="34"/>
      <c r="LDA16" s="34"/>
      <c r="LDB16" s="34"/>
      <c r="LDC16" s="34"/>
      <c r="LDD16" s="34"/>
      <c r="LDE16" s="34"/>
      <c r="LDF16" s="34"/>
      <c r="LDG16" s="34"/>
      <c r="LDH16" s="34"/>
      <c r="LDI16" s="34"/>
      <c r="LDJ16" s="34"/>
      <c r="LDK16" s="34"/>
      <c r="LDL16" s="34"/>
      <c r="LDM16" s="34"/>
      <c r="LDN16" s="34"/>
      <c r="LDO16" s="34"/>
      <c r="LDP16" s="34"/>
      <c r="LDQ16" s="34"/>
      <c r="LDR16" s="34"/>
      <c r="LDS16" s="34"/>
      <c r="LDT16" s="34"/>
      <c r="LDU16" s="34"/>
      <c r="LDV16" s="34"/>
      <c r="LDW16" s="34"/>
      <c r="LDX16" s="34"/>
      <c r="LDY16" s="34"/>
      <c r="LDZ16" s="34"/>
      <c r="LEA16" s="34"/>
      <c r="LEB16" s="34"/>
      <c r="LEC16" s="34"/>
      <c r="LED16" s="34"/>
      <c r="LEE16" s="34"/>
      <c r="LEF16" s="34"/>
      <c r="LEG16" s="34"/>
      <c r="LEH16" s="34"/>
      <c r="LEI16" s="34"/>
      <c r="LEJ16" s="34"/>
      <c r="LEK16" s="34"/>
      <c r="LEL16" s="34"/>
      <c r="LEM16" s="34"/>
      <c r="LEN16" s="34"/>
      <c r="LEO16" s="34"/>
      <c r="LEP16" s="34"/>
      <c r="LEQ16" s="34"/>
      <c r="LER16" s="34"/>
      <c r="LES16" s="34"/>
      <c r="LET16" s="34"/>
      <c r="LEU16" s="34"/>
      <c r="LEV16" s="34"/>
      <c r="LEW16" s="34"/>
      <c r="LEX16" s="34"/>
      <c r="LEY16" s="34"/>
      <c r="LEZ16" s="34"/>
      <c r="LFA16" s="34"/>
      <c r="LFB16" s="34"/>
      <c r="LFC16" s="34"/>
      <c r="LFD16" s="34"/>
      <c r="LFE16" s="34"/>
      <c r="LFF16" s="34"/>
      <c r="LFG16" s="34"/>
      <c r="LFH16" s="34"/>
      <c r="LFI16" s="34"/>
      <c r="LFJ16" s="34"/>
      <c r="LFK16" s="34"/>
      <c r="LFL16" s="34"/>
      <c r="LFM16" s="34"/>
      <c r="LFN16" s="34"/>
      <c r="LFO16" s="34"/>
      <c r="LFP16" s="34"/>
      <c r="LFQ16" s="34"/>
      <c r="LFR16" s="34"/>
      <c r="LFS16" s="34"/>
      <c r="LFT16" s="34"/>
      <c r="LFU16" s="34"/>
      <c r="LFV16" s="34"/>
      <c r="LFW16" s="34"/>
      <c r="LFX16" s="34"/>
      <c r="LFY16" s="34"/>
      <c r="LFZ16" s="34"/>
      <c r="LGA16" s="34"/>
      <c r="LGB16" s="34"/>
      <c r="LGC16" s="34"/>
      <c r="LGD16" s="34"/>
      <c r="LGE16" s="34"/>
      <c r="LGF16" s="34"/>
      <c r="LGG16" s="34"/>
      <c r="LGH16" s="34"/>
      <c r="LGI16" s="34"/>
      <c r="LGJ16" s="34"/>
      <c r="LGK16" s="34"/>
      <c r="LGL16" s="34"/>
      <c r="LGM16" s="34"/>
      <c r="LGN16" s="34"/>
      <c r="LGO16" s="34"/>
      <c r="LGP16" s="34"/>
      <c r="LGQ16" s="34"/>
      <c r="LGR16" s="34"/>
      <c r="LGS16" s="34"/>
      <c r="LGT16" s="34"/>
      <c r="LGU16" s="34"/>
      <c r="LGV16" s="34"/>
      <c r="LGW16" s="34"/>
      <c r="LGX16" s="34"/>
      <c r="LGY16" s="34"/>
      <c r="LGZ16" s="34"/>
      <c r="LHA16" s="34"/>
      <c r="LHB16" s="34"/>
      <c r="LHC16" s="34"/>
      <c r="LHD16" s="34"/>
      <c r="LHE16" s="34"/>
      <c r="LHF16" s="34"/>
      <c r="LHG16" s="34"/>
      <c r="LHH16" s="34"/>
      <c r="LHI16" s="34"/>
      <c r="LHJ16" s="34"/>
      <c r="LHK16" s="34"/>
      <c r="LHL16" s="34"/>
      <c r="LHM16" s="34"/>
      <c r="LHN16" s="34"/>
      <c r="LHO16" s="34"/>
      <c r="LHP16" s="34"/>
      <c r="LHQ16" s="34"/>
      <c r="LHR16" s="34"/>
      <c r="LHS16" s="34"/>
      <c r="LHT16" s="34"/>
      <c r="LHU16" s="34"/>
      <c r="LHV16" s="34"/>
      <c r="LHW16" s="34"/>
      <c r="LHX16" s="34"/>
      <c r="LHY16" s="34"/>
      <c r="LHZ16" s="34"/>
      <c r="LIA16" s="34"/>
      <c r="LIB16" s="34"/>
      <c r="LIC16" s="34"/>
      <c r="LID16" s="34"/>
      <c r="LIE16" s="34"/>
      <c r="LIF16" s="34"/>
      <c r="LIG16" s="34"/>
      <c r="LIH16" s="34"/>
      <c r="LII16" s="34"/>
      <c r="LIJ16" s="34"/>
      <c r="LIK16" s="34"/>
      <c r="LIL16" s="34"/>
      <c r="LIM16" s="34"/>
      <c r="LIN16" s="34"/>
      <c r="LIO16" s="34"/>
      <c r="LIP16" s="34"/>
      <c r="LIQ16" s="34"/>
      <c r="LIR16" s="34"/>
      <c r="LIS16" s="34"/>
      <c r="LIT16" s="34"/>
      <c r="LIU16" s="34"/>
      <c r="LIV16" s="34"/>
      <c r="LIW16" s="34"/>
      <c r="LIX16" s="34"/>
      <c r="LIY16" s="34"/>
      <c r="LIZ16" s="34"/>
      <c r="LJA16" s="34"/>
      <c r="LJB16" s="34"/>
      <c r="LJC16" s="34"/>
      <c r="LJD16" s="34"/>
      <c r="LJE16" s="34"/>
      <c r="LJF16" s="34"/>
      <c r="LJG16" s="34"/>
      <c r="LJH16" s="34"/>
      <c r="LJI16" s="34"/>
      <c r="LJJ16" s="34"/>
      <c r="LJK16" s="34"/>
      <c r="LJL16" s="34"/>
      <c r="LJM16" s="34"/>
      <c r="LJN16" s="34"/>
      <c r="LJO16" s="34"/>
      <c r="LJP16" s="34"/>
      <c r="LJQ16" s="34"/>
      <c r="LJR16" s="34"/>
      <c r="LJS16" s="34"/>
      <c r="LJT16" s="34"/>
      <c r="LJU16" s="34"/>
      <c r="LJV16" s="34"/>
      <c r="LJW16" s="34"/>
      <c r="LJX16" s="34"/>
      <c r="LJY16" s="34"/>
      <c r="LJZ16" s="34"/>
      <c r="LKA16" s="34"/>
      <c r="LKB16" s="34"/>
      <c r="LKC16" s="34"/>
      <c r="LKD16" s="34"/>
      <c r="LKE16" s="34"/>
      <c r="LKF16" s="34"/>
      <c r="LKG16" s="34"/>
      <c r="LKH16" s="34"/>
      <c r="LKI16" s="34"/>
      <c r="LKJ16" s="34"/>
      <c r="LKK16" s="34"/>
      <c r="LKL16" s="34"/>
      <c r="LKM16" s="34"/>
      <c r="LKN16" s="34"/>
      <c r="LKO16" s="34"/>
      <c r="LKP16" s="34"/>
      <c r="LKQ16" s="34"/>
      <c r="LKR16" s="34"/>
      <c r="LKS16" s="34"/>
      <c r="LKT16" s="34"/>
      <c r="LKU16" s="34"/>
      <c r="LKV16" s="34"/>
      <c r="LKW16" s="34"/>
      <c r="LKX16" s="34"/>
      <c r="LKY16" s="34"/>
      <c r="LKZ16" s="34"/>
      <c r="LLA16" s="34"/>
      <c r="LLB16" s="34"/>
      <c r="LLC16" s="34"/>
      <c r="LLD16" s="34"/>
      <c r="LLE16" s="34"/>
      <c r="LLF16" s="34"/>
      <c r="LLG16" s="34"/>
      <c r="LLH16" s="34"/>
      <c r="LLI16" s="34"/>
      <c r="LLJ16" s="34"/>
      <c r="LLK16" s="34"/>
      <c r="LLL16" s="34"/>
      <c r="LLM16" s="34"/>
      <c r="LLN16" s="34"/>
      <c r="LLO16" s="34"/>
      <c r="LLP16" s="34"/>
      <c r="LLQ16" s="34"/>
      <c r="LLR16" s="34"/>
      <c r="LLS16" s="34"/>
      <c r="LLT16" s="34"/>
      <c r="LLU16" s="34"/>
      <c r="LLV16" s="34"/>
      <c r="LLW16" s="34"/>
      <c r="LLX16" s="34"/>
      <c r="LLY16" s="34"/>
      <c r="LLZ16" s="34"/>
      <c r="LMA16" s="34"/>
      <c r="LMB16" s="34"/>
      <c r="LMC16" s="34"/>
      <c r="LMD16" s="34"/>
      <c r="LME16" s="34"/>
      <c r="LMF16" s="34"/>
      <c r="LMG16" s="34"/>
      <c r="LMH16" s="34"/>
      <c r="LMI16" s="34"/>
      <c r="LMJ16" s="34"/>
      <c r="LMK16" s="34"/>
      <c r="LML16" s="34"/>
      <c r="LMM16" s="34"/>
      <c r="LMN16" s="34"/>
      <c r="LMO16" s="34"/>
      <c r="LMP16" s="34"/>
      <c r="LMQ16" s="34"/>
      <c r="LMR16" s="34"/>
      <c r="LMS16" s="34"/>
      <c r="LMT16" s="34"/>
      <c r="LMU16" s="34"/>
      <c r="LMV16" s="34"/>
      <c r="LMW16" s="34"/>
      <c r="LMX16" s="34"/>
      <c r="LMY16" s="34"/>
      <c r="LMZ16" s="34"/>
      <c r="LNA16" s="34"/>
      <c r="LNB16" s="34"/>
      <c r="LNC16" s="34"/>
      <c r="LND16" s="34"/>
      <c r="LNE16" s="34"/>
      <c r="LNF16" s="34"/>
      <c r="LNG16" s="34"/>
      <c r="LNH16" s="34"/>
      <c r="LNI16" s="34"/>
      <c r="LNJ16" s="34"/>
      <c r="LNK16" s="34"/>
      <c r="LNL16" s="34"/>
      <c r="LNM16" s="34"/>
      <c r="LNN16" s="34"/>
      <c r="LNO16" s="34"/>
      <c r="LNP16" s="34"/>
      <c r="LNQ16" s="34"/>
      <c r="LNR16" s="34"/>
      <c r="LNS16" s="34"/>
      <c r="LNT16" s="34"/>
      <c r="LNU16" s="34"/>
      <c r="LNV16" s="34"/>
      <c r="LNW16" s="34"/>
      <c r="LNX16" s="34"/>
      <c r="LNY16" s="34"/>
      <c r="LNZ16" s="34"/>
      <c r="LOA16" s="34"/>
      <c r="LOB16" s="34"/>
      <c r="LOC16" s="34"/>
      <c r="LOD16" s="34"/>
      <c r="LOE16" s="34"/>
      <c r="LOF16" s="34"/>
      <c r="LOG16" s="34"/>
      <c r="LOH16" s="34"/>
      <c r="LOI16" s="34"/>
      <c r="LOJ16" s="34"/>
      <c r="LOK16" s="34"/>
      <c r="LOL16" s="34"/>
      <c r="LOM16" s="34"/>
      <c r="LON16" s="34"/>
      <c r="LOO16" s="34"/>
      <c r="LOP16" s="34"/>
      <c r="LOQ16" s="34"/>
      <c r="LOR16" s="34"/>
      <c r="LOS16" s="34"/>
      <c r="LOT16" s="34"/>
      <c r="LOU16" s="34"/>
      <c r="LOV16" s="34"/>
      <c r="LOW16" s="34"/>
      <c r="LOX16" s="34"/>
      <c r="LOY16" s="34"/>
      <c r="LOZ16" s="34"/>
      <c r="LPA16" s="34"/>
      <c r="LPB16" s="34"/>
      <c r="LPC16" s="34"/>
      <c r="LPD16" s="34"/>
      <c r="LPE16" s="34"/>
      <c r="LPF16" s="34"/>
      <c r="LPG16" s="34"/>
      <c r="LPH16" s="34"/>
      <c r="LPI16" s="34"/>
      <c r="LPJ16" s="34"/>
      <c r="LPK16" s="34"/>
      <c r="LPL16" s="34"/>
      <c r="LPM16" s="34"/>
      <c r="LPN16" s="34"/>
      <c r="LPO16" s="34"/>
      <c r="LPP16" s="34"/>
      <c r="LPQ16" s="34"/>
      <c r="LPR16" s="34"/>
      <c r="LPS16" s="34"/>
      <c r="LPT16" s="34"/>
      <c r="LPU16" s="34"/>
      <c r="LPV16" s="34"/>
      <c r="LPW16" s="34"/>
      <c r="LPX16" s="34"/>
      <c r="LPY16" s="34"/>
      <c r="LPZ16" s="34"/>
      <c r="LQA16" s="34"/>
      <c r="LQB16" s="34"/>
      <c r="LQC16" s="34"/>
      <c r="LQD16" s="34"/>
      <c r="LQE16" s="34"/>
      <c r="LQF16" s="34"/>
      <c r="LQG16" s="34"/>
      <c r="LQH16" s="34"/>
      <c r="LQI16" s="34"/>
      <c r="LQJ16" s="34"/>
      <c r="LQK16" s="34"/>
      <c r="LQL16" s="34"/>
      <c r="LQM16" s="34"/>
      <c r="LQN16" s="34"/>
      <c r="LQO16" s="34"/>
      <c r="LQP16" s="34"/>
      <c r="LQQ16" s="34"/>
      <c r="LQR16" s="34"/>
      <c r="LQS16" s="34"/>
      <c r="LQT16" s="34"/>
      <c r="LQU16" s="34"/>
      <c r="LQV16" s="34"/>
      <c r="LQW16" s="34"/>
      <c r="LQX16" s="34"/>
      <c r="LQY16" s="34"/>
      <c r="LQZ16" s="34"/>
      <c r="LRA16" s="34"/>
      <c r="LRB16" s="34"/>
      <c r="LRC16" s="34"/>
      <c r="LRD16" s="34"/>
      <c r="LRE16" s="34"/>
      <c r="LRF16" s="34"/>
      <c r="LRG16" s="34"/>
      <c r="LRH16" s="34"/>
      <c r="LRI16" s="34"/>
      <c r="LRJ16" s="34"/>
      <c r="LRK16" s="34"/>
      <c r="LRL16" s="34"/>
      <c r="LRM16" s="34"/>
      <c r="LRN16" s="34"/>
      <c r="LRO16" s="34"/>
      <c r="LRP16" s="34"/>
      <c r="LRQ16" s="34"/>
      <c r="LRR16" s="34"/>
      <c r="LRS16" s="34"/>
      <c r="LRT16" s="34"/>
      <c r="LRU16" s="34"/>
      <c r="LRV16" s="34"/>
      <c r="LRW16" s="34"/>
      <c r="LRX16" s="34"/>
      <c r="LRY16" s="34"/>
      <c r="LRZ16" s="34"/>
      <c r="LSA16" s="34"/>
      <c r="LSB16" s="34"/>
      <c r="LSC16" s="34"/>
      <c r="LSD16" s="34"/>
      <c r="LSE16" s="34"/>
      <c r="LSF16" s="34"/>
      <c r="LSG16" s="34"/>
      <c r="LSH16" s="34"/>
      <c r="LSI16" s="34"/>
      <c r="LSJ16" s="34"/>
      <c r="LSK16" s="34"/>
      <c r="LSL16" s="34"/>
      <c r="LSM16" s="34"/>
      <c r="LSN16" s="34"/>
      <c r="LSO16" s="34"/>
      <c r="LSP16" s="34"/>
      <c r="LSQ16" s="34"/>
      <c r="LSR16" s="34"/>
      <c r="LSS16" s="34"/>
      <c r="LST16" s="34"/>
      <c r="LSU16" s="34"/>
      <c r="LSV16" s="34"/>
      <c r="LSW16" s="34"/>
      <c r="LSX16" s="34"/>
      <c r="LSY16" s="34"/>
      <c r="LSZ16" s="34"/>
      <c r="LTA16" s="34"/>
      <c r="LTB16" s="34"/>
      <c r="LTC16" s="34"/>
      <c r="LTD16" s="34"/>
      <c r="LTE16" s="34"/>
      <c r="LTF16" s="34"/>
      <c r="LTG16" s="34"/>
      <c r="LTH16" s="34"/>
      <c r="LTI16" s="34"/>
      <c r="LTJ16" s="34"/>
      <c r="LTK16" s="34"/>
      <c r="LTL16" s="34"/>
      <c r="LTM16" s="34"/>
      <c r="LTN16" s="34"/>
      <c r="LTO16" s="34"/>
      <c r="LTP16" s="34"/>
      <c r="LTQ16" s="34"/>
      <c r="LTR16" s="34"/>
      <c r="LTS16" s="34"/>
      <c r="LTT16" s="34"/>
      <c r="LTU16" s="34"/>
      <c r="LTV16" s="34"/>
      <c r="LTW16" s="34"/>
      <c r="LTX16" s="34"/>
      <c r="LTY16" s="34"/>
      <c r="LTZ16" s="34"/>
      <c r="LUA16" s="34"/>
      <c r="LUB16" s="34"/>
      <c r="LUC16" s="34"/>
      <c r="LUD16" s="34"/>
      <c r="LUE16" s="34"/>
      <c r="LUF16" s="34"/>
      <c r="LUG16" s="34"/>
      <c r="LUH16" s="34"/>
      <c r="LUI16" s="34"/>
      <c r="LUJ16" s="34"/>
      <c r="LUK16" s="34"/>
      <c r="LUL16" s="34"/>
      <c r="LUM16" s="34"/>
      <c r="LUN16" s="34"/>
      <c r="LUO16" s="34"/>
      <c r="LUP16" s="34"/>
      <c r="LUQ16" s="34"/>
      <c r="LUR16" s="34"/>
      <c r="LUS16" s="34"/>
      <c r="LUT16" s="34"/>
      <c r="LUU16" s="34"/>
      <c r="LUV16" s="34"/>
      <c r="LUW16" s="34"/>
      <c r="LUX16" s="34"/>
      <c r="LUY16" s="34"/>
      <c r="LUZ16" s="34"/>
      <c r="LVA16" s="34"/>
      <c r="LVB16" s="34"/>
      <c r="LVC16" s="34"/>
      <c r="LVD16" s="34"/>
      <c r="LVE16" s="34"/>
      <c r="LVF16" s="34"/>
      <c r="LVG16" s="34"/>
      <c r="LVH16" s="34"/>
      <c r="LVI16" s="34"/>
      <c r="LVJ16" s="34"/>
      <c r="LVK16" s="34"/>
      <c r="LVL16" s="34"/>
      <c r="LVM16" s="34"/>
      <c r="LVN16" s="34"/>
      <c r="LVO16" s="34"/>
      <c r="LVP16" s="34"/>
      <c r="LVQ16" s="34"/>
      <c r="LVR16" s="34"/>
      <c r="LVS16" s="34"/>
      <c r="LVT16" s="34"/>
      <c r="LVU16" s="34"/>
      <c r="LVV16" s="34"/>
      <c r="LVW16" s="34"/>
      <c r="LVX16" s="34"/>
      <c r="LVY16" s="34"/>
      <c r="LVZ16" s="34"/>
      <c r="LWA16" s="34"/>
      <c r="LWB16" s="34"/>
      <c r="LWC16" s="34"/>
      <c r="LWD16" s="34"/>
      <c r="LWE16" s="34"/>
      <c r="LWF16" s="34"/>
      <c r="LWG16" s="34"/>
      <c r="LWH16" s="34"/>
      <c r="LWI16" s="34"/>
      <c r="LWJ16" s="34"/>
      <c r="LWK16" s="34"/>
      <c r="LWL16" s="34"/>
      <c r="LWM16" s="34"/>
      <c r="LWN16" s="34"/>
      <c r="LWO16" s="34"/>
      <c r="LWP16" s="34"/>
      <c r="LWQ16" s="34"/>
      <c r="LWR16" s="34"/>
      <c r="LWS16" s="34"/>
      <c r="LWT16" s="34"/>
      <c r="LWU16" s="34"/>
      <c r="LWV16" s="34"/>
      <c r="LWW16" s="34"/>
      <c r="LWX16" s="34"/>
      <c r="LWY16" s="34"/>
      <c r="LWZ16" s="34"/>
      <c r="LXA16" s="34"/>
      <c r="LXB16" s="34"/>
      <c r="LXC16" s="34"/>
      <c r="LXD16" s="34"/>
      <c r="LXE16" s="34"/>
      <c r="LXF16" s="34"/>
      <c r="LXG16" s="34"/>
      <c r="LXH16" s="34"/>
      <c r="LXI16" s="34"/>
      <c r="LXJ16" s="34"/>
      <c r="LXK16" s="34"/>
      <c r="LXL16" s="34"/>
      <c r="LXM16" s="34"/>
      <c r="LXN16" s="34"/>
      <c r="LXO16" s="34"/>
      <c r="LXP16" s="34"/>
      <c r="LXQ16" s="34"/>
      <c r="LXR16" s="34"/>
      <c r="LXS16" s="34"/>
      <c r="LXT16" s="34"/>
      <c r="LXU16" s="34"/>
      <c r="LXV16" s="34"/>
      <c r="LXW16" s="34"/>
      <c r="LXX16" s="34"/>
      <c r="LXY16" s="34"/>
      <c r="LXZ16" s="34"/>
      <c r="LYA16" s="34"/>
      <c r="LYB16" s="34"/>
      <c r="LYC16" s="34"/>
      <c r="LYD16" s="34"/>
      <c r="LYE16" s="34"/>
      <c r="LYF16" s="34"/>
      <c r="LYG16" s="34"/>
      <c r="LYH16" s="34"/>
      <c r="LYI16" s="34"/>
      <c r="LYJ16" s="34"/>
      <c r="LYK16" s="34"/>
      <c r="LYL16" s="34"/>
      <c r="LYM16" s="34"/>
      <c r="LYN16" s="34"/>
      <c r="LYO16" s="34"/>
      <c r="LYP16" s="34"/>
      <c r="LYQ16" s="34"/>
      <c r="LYR16" s="34"/>
      <c r="LYS16" s="34"/>
      <c r="LYT16" s="34"/>
      <c r="LYU16" s="34"/>
      <c r="LYV16" s="34"/>
      <c r="LYW16" s="34"/>
      <c r="LYX16" s="34"/>
      <c r="LYY16" s="34"/>
      <c r="LYZ16" s="34"/>
      <c r="LZA16" s="34"/>
      <c r="LZB16" s="34"/>
      <c r="LZC16" s="34"/>
      <c r="LZD16" s="34"/>
      <c r="LZE16" s="34"/>
      <c r="LZF16" s="34"/>
      <c r="LZG16" s="34"/>
      <c r="LZH16" s="34"/>
      <c r="LZI16" s="34"/>
      <c r="LZJ16" s="34"/>
      <c r="LZK16" s="34"/>
      <c r="LZL16" s="34"/>
      <c r="LZM16" s="34"/>
      <c r="LZN16" s="34"/>
      <c r="LZO16" s="34"/>
      <c r="LZP16" s="34"/>
      <c r="LZQ16" s="34"/>
      <c r="LZR16" s="34"/>
      <c r="LZS16" s="34"/>
      <c r="LZT16" s="34"/>
      <c r="LZU16" s="34"/>
      <c r="LZV16" s="34"/>
      <c r="LZW16" s="34"/>
      <c r="LZX16" s="34"/>
      <c r="LZY16" s="34"/>
      <c r="LZZ16" s="34"/>
      <c r="MAA16" s="34"/>
      <c r="MAB16" s="34"/>
      <c r="MAC16" s="34"/>
      <c r="MAD16" s="34"/>
      <c r="MAE16" s="34"/>
      <c r="MAF16" s="34"/>
      <c r="MAG16" s="34"/>
      <c r="MAH16" s="34"/>
      <c r="MAI16" s="34"/>
      <c r="MAJ16" s="34"/>
      <c r="MAK16" s="34"/>
      <c r="MAL16" s="34"/>
      <c r="MAM16" s="34"/>
      <c r="MAN16" s="34"/>
      <c r="MAO16" s="34"/>
      <c r="MAP16" s="34"/>
      <c r="MAQ16" s="34"/>
      <c r="MAR16" s="34"/>
      <c r="MAS16" s="34"/>
      <c r="MAT16" s="34"/>
      <c r="MAU16" s="34"/>
      <c r="MAV16" s="34"/>
      <c r="MAW16" s="34"/>
      <c r="MAX16" s="34"/>
      <c r="MAY16" s="34"/>
      <c r="MAZ16" s="34"/>
      <c r="MBA16" s="34"/>
      <c r="MBB16" s="34"/>
      <c r="MBC16" s="34"/>
      <c r="MBD16" s="34"/>
      <c r="MBE16" s="34"/>
      <c r="MBF16" s="34"/>
      <c r="MBG16" s="34"/>
      <c r="MBH16" s="34"/>
      <c r="MBI16" s="34"/>
      <c r="MBJ16" s="34"/>
      <c r="MBK16" s="34"/>
      <c r="MBL16" s="34"/>
      <c r="MBM16" s="34"/>
      <c r="MBN16" s="34"/>
      <c r="MBO16" s="34"/>
      <c r="MBP16" s="34"/>
      <c r="MBQ16" s="34"/>
      <c r="MBR16" s="34"/>
      <c r="MBS16" s="34"/>
      <c r="MBT16" s="34"/>
      <c r="MBU16" s="34"/>
      <c r="MBV16" s="34"/>
      <c r="MBW16" s="34"/>
      <c r="MBX16" s="34"/>
      <c r="MBY16" s="34"/>
      <c r="MBZ16" s="34"/>
      <c r="MCA16" s="34"/>
      <c r="MCB16" s="34"/>
      <c r="MCC16" s="34"/>
      <c r="MCD16" s="34"/>
      <c r="MCE16" s="34"/>
      <c r="MCF16" s="34"/>
      <c r="MCG16" s="34"/>
      <c r="MCH16" s="34"/>
      <c r="MCI16" s="34"/>
      <c r="MCJ16" s="34"/>
      <c r="MCK16" s="34"/>
      <c r="MCL16" s="34"/>
      <c r="MCM16" s="34"/>
      <c r="MCN16" s="34"/>
      <c r="MCO16" s="34"/>
      <c r="MCP16" s="34"/>
      <c r="MCQ16" s="34"/>
      <c r="MCR16" s="34"/>
      <c r="MCS16" s="34"/>
      <c r="MCT16" s="34"/>
      <c r="MCU16" s="34"/>
      <c r="MCV16" s="34"/>
      <c r="MCW16" s="34"/>
      <c r="MCX16" s="34"/>
      <c r="MCY16" s="34"/>
      <c r="MCZ16" s="34"/>
      <c r="MDA16" s="34"/>
      <c r="MDB16" s="34"/>
      <c r="MDC16" s="34"/>
      <c r="MDD16" s="34"/>
      <c r="MDE16" s="34"/>
      <c r="MDF16" s="34"/>
      <c r="MDG16" s="34"/>
      <c r="MDH16" s="34"/>
      <c r="MDI16" s="34"/>
      <c r="MDJ16" s="34"/>
      <c r="MDK16" s="34"/>
      <c r="MDL16" s="34"/>
      <c r="MDM16" s="34"/>
      <c r="MDN16" s="34"/>
      <c r="MDO16" s="34"/>
      <c r="MDP16" s="34"/>
      <c r="MDQ16" s="34"/>
      <c r="MDR16" s="34"/>
      <c r="MDS16" s="34"/>
      <c r="MDT16" s="34"/>
      <c r="MDU16" s="34"/>
      <c r="MDV16" s="34"/>
      <c r="MDW16" s="34"/>
      <c r="MDX16" s="34"/>
      <c r="MDY16" s="34"/>
      <c r="MDZ16" s="34"/>
      <c r="MEA16" s="34"/>
      <c r="MEB16" s="34"/>
      <c r="MEC16" s="34"/>
      <c r="MED16" s="34"/>
      <c r="MEE16" s="34"/>
      <c r="MEF16" s="34"/>
      <c r="MEG16" s="34"/>
      <c r="MEH16" s="34"/>
      <c r="MEI16" s="34"/>
      <c r="MEJ16" s="34"/>
      <c r="MEK16" s="34"/>
      <c r="MEL16" s="34"/>
      <c r="MEM16" s="34"/>
      <c r="MEN16" s="34"/>
      <c r="MEO16" s="34"/>
      <c r="MEP16" s="34"/>
      <c r="MEQ16" s="34"/>
      <c r="MER16" s="34"/>
      <c r="MES16" s="34"/>
      <c r="MET16" s="34"/>
      <c r="MEU16" s="34"/>
      <c r="MEV16" s="34"/>
      <c r="MEW16" s="34"/>
      <c r="MEX16" s="34"/>
      <c r="MEY16" s="34"/>
      <c r="MEZ16" s="34"/>
      <c r="MFA16" s="34"/>
      <c r="MFB16" s="34"/>
      <c r="MFC16" s="34"/>
      <c r="MFD16" s="34"/>
      <c r="MFE16" s="34"/>
      <c r="MFF16" s="34"/>
      <c r="MFG16" s="34"/>
      <c r="MFH16" s="34"/>
      <c r="MFI16" s="34"/>
      <c r="MFJ16" s="34"/>
      <c r="MFK16" s="34"/>
      <c r="MFL16" s="34"/>
      <c r="MFM16" s="34"/>
      <c r="MFN16" s="34"/>
      <c r="MFO16" s="34"/>
      <c r="MFP16" s="34"/>
      <c r="MFQ16" s="34"/>
      <c r="MFR16" s="34"/>
      <c r="MFS16" s="34"/>
      <c r="MFT16" s="34"/>
      <c r="MFU16" s="34"/>
      <c r="MFV16" s="34"/>
      <c r="MFW16" s="34"/>
      <c r="MFX16" s="34"/>
      <c r="MFY16" s="34"/>
      <c r="MFZ16" s="34"/>
      <c r="MGA16" s="34"/>
      <c r="MGB16" s="34"/>
      <c r="MGC16" s="34"/>
      <c r="MGD16" s="34"/>
      <c r="MGE16" s="34"/>
      <c r="MGF16" s="34"/>
      <c r="MGG16" s="34"/>
      <c r="MGH16" s="34"/>
      <c r="MGI16" s="34"/>
      <c r="MGJ16" s="34"/>
      <c r="MGK16" s="34"/>
      <c r="MGL16" s="34"/>
      <c r="MGM16" s="34"/>
      <c r="MGN16" s="34"/>
      <c r="MGO16" s="34"/>
      <c r="MGP16" s="34"/>
      <c r="MGQ16" s="34"/>
      <c r="MGR16" s="34"/>
      <c r="MGS16" s="34"/>
      <c r="MGT16" s="34"/>
      <c r="MGU16" s="34"/>
      <c r="MGV16" s="34"/>
      <c r="MGW16" s="34"/>
      <c r="MGX16" s="34"/>
      <c r="MGY16" s="34"/>
      <c r="MGZ16" s="34"/>
      <c r="MHA16" s="34"/>
      <c r="MHB16" s="34"/>
      <c r="MHC16" s="34"/>
      <c r="MHD16" s="34"/>
      <c r="MHE16" s="34"/>
      <c r="MHF16" s="34"/>
      <c r="MHG16" s="34"/>
      <c r="MHH16" s="34"/>
      <c r="MHI16" s="34"/>
      <c r="MHJ16" s="34"/>
      <c r="MHK16" s="34"/>
      <c r="MHL16" s="34"/>
      <c r="MHM16" s="34"/>
      <c r="MHN16" s="34"/>
      <c r="MHO16" s="34"/>
      <c r="MHP16" s="34"/>
      <c r="MHQ16" s="34"/>
      <c r="MHR16" s="34"/>
      <c r="MHS16" s="34"/>
      <c r="MHT16" s="34"/>
      <c r="MHU16" s="34"/>
      <c r="MHV16" s="34"/>
      <c r="MHW16" s="34"/>
      <c r="MHX16" s="34"/>
      <c r="MHY16" s="34"/>
      <c r="MHZ16" s="34"/>
      <c r="MIA16" s="34"/>
      <c r="MIB16" s="34"/>
      <c r="MIC16" s="34"/>
      <c r="MID16" s="34"/>
      <c r="MIE16" s="34"/>
      <c r="MIF16" s="34"/>
      <c r="MIG16" s="34"/>
      <c r="MIH16" s="34"/>
      <c r="MII16" s="34"/>
      <c r="MIJ16" s="34"/>
      <c r="MIK16" s="34"/>
      <c r="MIL16" s="34"/>
      <c r="MIM16" s="34"/>
      <c r="MIN16" s="34"/>
      <c r="MIO16" s="34"/>
      <c r="MIP16" s="34"/>
      <c r="MIQ16" s="34"/>
      <c r="MIR16" s="34"/>
      <c r="MIS16" s="34"/>
      <c r="MIT16" s="34"/>
      <c r="MIU16" s="34"/>
      <c r="MIV16" s="34"/>
      <c r="MIW16" s="34"/>
      <c r="MIX16" s="34"/>
      <c r="MIY16" s="34"/>
      <c r="MIZ16" s="34"/>
      <c r="MJA16" s="34"/>
      <c r="MJB16" s="34"/>
      <c r="MJC16" s="34"/>
      <c r="MJD16" s="34"/>
      <c r="MJE16" s="34"/>
      <c r="MJF16" s="34"/>
      <c r="MJG16" s="34"/>
      <c r="MJH16" s="34"/>
      <c r="MJI16" s="34"/>
      <c r="MJJ16" s="34"/>
      <c r="MJK16" s="34"/>
      <c r="MJL16" s="34"/>
      <c r="MJM16" s="34"/>
      <c r="MJN16" s="34"/>
      <c r="MJO16" s="34"/>
      <c r="MJP16" s="34"/>
      <c r="MJQ16" s="34"/>
      <c r="MJR16" s="34"/>
      <c r="MJS16" s="34"/>
      <c r="MJT16" s="34"/>
      <c r="MJU16" s="34"/>
      <c r="MJV16" s="34"/>
      <c r="MJW16" s="34"/>
      <c r="MJX16" s="34"/>
      <c r="MJY16" s="34"/>
      <c r="MJZ16" s="34"/>
      <c r="MKA16" s="34"/>
      <c r="MKB16" s="34"/>
      <c r="MKC16" s="34"/>
      <c r="MKD16" s="34"/>
      <c r="MKE16" s="34"/>
      <c r="MKF16" s="34"/>
      <c r="MKG16" s="34"/>
      <c r="MKH16" s="34"/>
      <c r="MKI16" s="34"/>
      <c r="MKJ16" s="34"/>
      <c r="MKK16" s="34"/>
      <c r="MKL16" s="34"/>
      <c r="MKM16" s="34"/>
      <c r="MKN16" s="34"/>
      <c r="MKO16" s="34"/>
      <c r="MKP16" s="34"/>
      <c r="MKQ16" s="34"/>
      <c r="MKR16" s="34"/>
      <c r="MKS16" s="34"/>
      <c r="MKT16" s="34"/>
      <c r="MKU16" s="34"/>
      <c r="MKV16" s="34"/>
      <c r="MKW16" s="34"/>
      <c r="MKX16" s="34"/>
      <c r="MKY16" s="34"/>
      <c r="MKZ16" s="34"/>
      <c r="MLA16" s="34"/>
      <c r="MLB16" s="34"/>
      <c r="MLC16" s="34"/>
      <c r="MLD16" s="34"/>
      <c r="MLE16" s="34"/>
      <c r="MLF16" s="34"/>
      <c r="MLG16" s="34"/>
      <c r="MLH16" s="34"/>
      <c r="MLI16" s="34"/>
      <c r="MLJ16" s="34"/>
      <c r="MLK16" s="34"/>
      <c r="MLL16" s="34"/>
      <c r="MLM16" s="34"/>
      <c r="MLN16" s="34"/>
      <c r="MLO16" s="34"/>
      <c r="MLP16" s="34"/>
      <c r="MLQ16" s="34"/>
      <c r="MLR16" s="34"/>
      <c r="MLS16" s="34"/>
      <c r="MLT16" s="34"/>
      <c r="MLU16" s="34"/>
      <c r="MLV16" s="34"/>
      <c r="MLW16" s="34"/>
      <c r="MLX16" s="34"/>
      <c r="MLY16" s="34"/>
      <c r="MLZ16" s="34"/>
      <c r="MMA16" s="34"/>
      <c r="MMB16" s="34"/>
      <c r="MMC16" s="34"/>
      <c r="MMD16" s="34"/>
      <c r="MME16" s="34"/>
      <c r="MMF16" s="34"/>
      <c r="MMG16" s="34"/>
      <c r="MMH16" s="34"/>
      <c r="MMI16" s="34"/>
      <c r="MMJ16" s="34"/>
      <c r="MMK16" s="34"/>
      <c r="MML16" s="34"/>
      <c r="MMM16" s="34"/>
      <c r="MMN16" s="34"/>
      <c r="MMO16" s="34"/>
      <c r="MMP16" s="34"/>
      <c r="MMQ16" s="34"/>
      <c r="MMR16" s="34"/>
      <c r="MMS16" s="34"/>
      <c r="MMT16" s="34"/>
      <c r="MMU16" s="34"/>
      <c r="MMV16" s="34"/>
      <c r="MMW16" s="34"/>
      <c r="MMX16" s="34"/>
      <c r="MMY16" s="34"/>
      <c r="MMZ16" s="34"/>
      <c r="MNA16" s="34"/>
      <c r="MNB16" s="34"/>
      <c r="MNC16" s="34"/>
      <c r="MND16" s="34"/>
      <c r="MNE16" s="34"/>
      <c r="MNF16" s="34"/>
      <c r="MNG16" s="34"/>
      <c r="MNH16" s="34"/>
      <c r="MNI16" s="34"/>
      <c r="MNJ16" s="34"/>
      <c r="MNK16" s="34"/>
      <c r="MNL16" s="34"/>
      <c r="MNM16" s="34"/>
      <c r="MNN16" s="34"/>
      <c r="MNO16" s="34"/>
      <c r="MNP16" s="34"/>
      <c r="MNQ16" s="34"/>
      <c r="MNR16" s="34"/>
      <c r="MNS16" s="34"/>
      <c r="MNT16" s="34"/>
      <c r="MNU16" s="34"/>
      <c r="MNV16" s="34"/>
      <c r="MNW16" s="34"/>
      <c r="MNX16" s="34"/>
      <c r="MNY16" s="34"/>
      <c r="MNZ16" s="34"/>
      <c r="MOA16" s="34"/>
      <c r="MOB16" s="34"/>
      <c r="MOC16" s="34"/>
      <c r="MOD16" s="34"/>
      <c r="MOE16" s="34"/>
      <c r="MOF16" s="34"/>
      <c r="MOG16" s="34"/>
      <c r="MOH16" s="34"/>
      <c r="MOI16" s="34"/>
      <c r="MOJ16" s="34"/>
      <c r="MOK16" s="34"/>
      <c r="MOL16" s="34"/>
      <c r="MOM16" s="34"/>
      <c r="MON16" s="34"/>
      <c r="MOO16" s="34"/>
      <c r="MOP16" s="34"/>
      <c r="MOQ16" s="34"/>
      <c r="MOR16" s="34"/>
      <c r="MOS16" s="34"/>
      <c r="MOT16" s="34"/>
      <c r="MOU16" s="34"/>
      <c r="MOV16" s="34"/>
      <c r="MOW16" s="34"/>
      <c r="MOX16" s="34"/>
      <c r="MOY16" s="34"/>
      <c r="MOZ16" s="34"/>
      <c r="MPA16" s="34"/>
      <c r="MPB16" s="34"/>
      <c r="MPC16" s="34"/>
      <c r="MPD16" s="34"/>
      <c r="MPE16" s="34"/>
      <c r="MPF16" s="34"/>
      <c r="MPG16" s="34"/>
      <c r="MPH16" s="34"/>
      <c r="MPI16" s="34"/>
      <c r="MPJ16" s="34"/>
      <c r="MPK16" s="34"/>
      <c r="MPL16" s="34"/>
      <c r="MPM16" s="34"/>
      <c r="MPN16" s="34"/>
      <c r="MPO16" s="34"/>
      <c r="MPP16" s="34"/>
      <c r="MPQ16" s="34"/>
      <c r="MPR16" s="34"/>
      <c r="MPS16" s="34"/>
      <c r="MPT16" s="34"/>
      <c r="MPU16" s="34"/>
      <c r="MPV16" s="34"/>
      <c r="MPW16" s="34"/>
      <c r="MPX16" s="34"/>
      <c r="MPY16" s="34"/>
      <c r="MPZ16" s="34"/>
      <c r="MQA16" s="34"/>
      <c r="MQB16" s="34"/>
      <c r="MQC16" s="34"/>
      <c r="MQD16" s="34"/>
      <c r="MQE16" s="34"/>
      <c r="MQF16" s="34"/>
      <c r="MQG16" s="34"/>
      <c r="MQH16" s="34"/>
      <c r="MQI16" s="34"/>
      <c r="MQJ16" s="34"/>
      <c r="MQK16" s="34"/>
      <c r="MQL16" s="34"/>
      <c r="MQM16" s="34"/>
      <c r="MQN16" s="34"/>
      <c r="MQO16" s="34"/>
      <c r="MQP16" s="34"/>
      <c r="MQQ16" s="34"/>
      <c r="MQR16" s="34"/>
      <c r="MQS16" s="34"/>
      <c r="MQT16" s="34"/>
      <c r="MQU16" s="34"/>
      <c r="MQV16" s="34"/>
      <c r="MQW16" s="34"/>
      <c r="MQX16" s="34"/>
      <c r="MQY16" s="34"/>
      <c r="MQZ16" s="34"/>
      <c r="MRA16" s="34"/>
      <c r="MRB16" s="34"/>
      <c r="MRC16" s="34"/>
      <c r="MRD16" s="34"/>
      <c r="MRE16" s="34"/>
      <c r="MRF16" s="34"/>
      <c r="MRG16" s="34"/>
      <c r="MRH16" s="34"/>
      <c r="MRI16" s="34"/>
      <c r="MRJ16" s="34"/>
      <c r="MRK16" s="34"/>
      <c r="MRL16" s="34"/>
      <c r="MRM16" s="34"/>
      <c r="MRN16" s="34"/>
      <c r="MRO16" s="34"/>
      <c r="MRP16" s="34"/>
      <c r="MRQ16" s="34"/>
      <c r="MRR16" s="34"/>
      <c r="MRS16" s="34"/>
      <c r="MRT16" s="34"/>
      <c r="MRU16" s="34"/>
      <c r="MRV16" s="34"/>
      <c r="MRW16" s="34"/>
      <c r="MRX16" s="34"/>
      <c r="MRY16" s="34"/>
      <c r="MRZ16" s="34"/>
      <c r="MSA16" s="34"/>
      <c r="MSB16" s="34"/>
      <c r="MSC16" s="34"/>
      <c r="MSD16" s="34"/>
      <c r="MSE16" s="34"/>
      <c r="MSF16" s="34"/>
      <c r="MSG16" s="34"/>
      <c r="MSH16" s="34"/>
      <c r="MSI16" s="34"/>
      <c r="MSJ16" s="34"/>
      <c r="MSK16" s="34"/>
      <c r="MSL16" s="34"/>
      <c r="MSM16" s="34"/>
      <c r="MSN16" s="34"/>
      <c r="MSO16" s="34"/>
      <c r="MSP16" s="34"/>
      <c r="MSQ16" s="34"/>
      <c r="MSR16" s="34"/>
      <c r="MSS16" s="34"/>
      <c r="MST16" s="34"/>
      <c r="MSU16" s="34"/>
      <c r="MSV16" s="34"/>
      <c r="MSW16" s="34"/>
      <c r="MSX16" s="34"/>
      <c r="MSY16" s="34"/>
      <c r="MSZ16" s="34"/>
      <c r="MTA16" s="34"/>
      <c r="MTB16" s="34"/>
      <c r="MTC16" s="34"/>
      <c r="MTD16" s="34"/>
      <c r="MTE16" s="34"/>
      <c r="MTF16" s="34"/>
      <c r="MTG16" s="34"/>
      <c r="MTH16" s="34"/>
      <c r="MTI16" s="34"/>
      <c r="MTJ16" s="34"/>
      <c r="MTK16" s="34"/>
      <c r="MTL16" s="34"/>
      <c r="MTM16" s="34"/>
      <c r="MTN16" s="34"/>
      <c r="MTO16" s="34"/>
      <c r="MTP16" s="34"/>
      <c r="MTQ16" s="34"/>
      <c r="MTR16" s="34"/>
      <c r="MTS16" s="34"/>
      <c r="MTT16" s="34"/>
      <c r="MTU16" s="34"/>
      <c r="MTV16" s="34"/>
      <c r="MTW16" s="34"/>
      <c r="MTX16" s="34"/>
      <c r="MTY16" s="34"/>
      <c r="MTZ16" s="34"/>
      <c r="MUA16" s="34"/>
      <c r="MUB16" s="34"/>
      <c r="MUC16" s="34"/>
      <c r="MUD16" s="34"/>
      <c r="MUE16" s="34"/>
      <c r="MUF16" s="34"/>
      <c r="MUG16" s="34"/>
      <c r="MUH16" s="34"/>
      <c r="MUI16" s="34"/>
      <c r="MUJ16" s="34"/>
      <c r="MUK16" s="34"/>
      <c r="MUL16" s="34"/>
      <c r="MUM16" s="34"/>
      <c r="MUN16" s="34"/>
      <c r="MUO16" s="34"/>
      <c r="MUP16" s="34"/>
      <c r="MUQ16" s="34"/>
      <c r="MUR16" s="34"/>
      <c r="MUS16" s="34"/>
      <c r="MUT16" s="34"/>
      <c r="MUU16" s="34"/>
      <c r="MUV16" s="34"/>
      <c r="MUW16" s="34"/>
      <c r="MUX16" s="34"/>
      <c r="MUY16" s="34"/>
      <c r="MUZ16" s="34"/>
      <c r="MVA16" s="34"/>
      <c r="MVB16" s="34"/>
      <c r="MVC16" s="34"/>
      <c r="MVD16" s="34"/>
      <c r="MVE16" s="34"/>
      <c r="MVF16" s="34"/>
      <c r="MVG16" s="34"/>
      <c r="MVH16" s="34"/>
      <c r="MVI16" s="34"/>
      <c r="MVJ16" s="34"/>
      <c r="MVK16" s="34"/>
      <c r="MVL16" s="34"/>
      <c r="MVM16" s="34"/>
      <c r="MVN16" s="34"/>
      <c r="MVO16" s="34"/>
      <c r="MVP16" s="34"/>
      <c r="MVQ16" s="34"/>
      <c r="MVR16" s="34"/>
      <c r="MVS16" s="34"/>
      <c r="MVT16" s="34"/>
      <c r="MVU16" s="34"/>
      <c r="MVV16" s="34"/>
      <c r="MVW16" s="34"/>
      <c r="MVX16" s="34"/>
      <c r="MVY16" s="34"/>
      <c r="MVZ16" s="34"/>
      <c r="MWA16" s="34"/>
      <c r="MWB16" s="34"/>
      <c r="MWC16" s="34"/>
      <c r="MWD16" s="34"/>
      <c r="MWE16" s="34"/>
      <c r="MWF16" s="34"/>
      <c r="MWG16" s="34"/>
      <c r="MWH16" s="34"/>
      <c r="MWI16" s="34"/>
      <c r="MWJ16" s="34"/>
      <c r="MWK16" s="34"/>
      <c r="MWL16" s="34"/>
      <c r="MWM16" s="34"/>
      <c r="MWN16" s="34"/>
      <c r="MWO16" s="34"/>
      <c r="MWP16" s="34"/>
      <c r="MWQ16" s="34"/>
      <c r="MWR16" s="34"/>
      <c r="MWS16" s="34"/>
      <c r="MWT16" s="34"/>
      <c r="MWU16" s="34"/>
      <c r="MWV16" s="34"/>
      <c r="MWW16" s="34"/>
      <c r="MWX16" s="34"/>
      <c r="MWY16" s="34"/>
      <c r="MWZ16" s="34"/>
      <c r="MXA16" s="34"/>
      <c r="MXB16" s="34"/>
      <c r="MXC16" s="34"/>
      <c r="MXD16" s="34"/>
      <c r="MXE16" s="34"/>
      <c r="MXF16" s="34"/>
      <c r="MXG16" s="34"/>
      <c r="MXH16" s="34"/>
      <c r="MXI16" s="34"/>
      <c r="MXJ16" s="34"/>
      <c r="MXK16" s="34"/>
      <c r="MXL16" s="34"/>
      <c r="MXM16" s="34"/>
      <c r="MXN16" s="34"/>
      <c r="MXO16" s="34"/>
      <c r="MXP16" s="34"/>
      <c r="MXQ16" s="34"/>
      <c r="MXR16" s="34"/>
      <c r="MXS16" s="34"/>
      <c r="MXT16" s="34"/>
      <c r="MXU16" s="34"/>
      <c r="MXV16" s="34"/>
      <c r="MXW16" s="34"/>
      <c r="MXX16" s="34"/>
      <c r="MXY16" s="34"/>
      <c r="MXZ16" s="34"/>
      <c r="MYA16" s="34"/>
      <c r="MYB16" s="34"/>
      <c r="MYC16" s="34"/>
      <c r="MYD16" s="34"/>
      <c r="MYE16" s="34"/>
      <c r="MYF16" s="34"/>
      <c r="MYG16" s="34"/>
      <c r="MYH16" s="34"/>
      <c r="MYI16" s="34"/>
      <c r="MYJ16" s="34"/>
      <c r="MYK16" s="34"/>
      <c r="MYL16" s="34"/>
      <c r="MYM16" s="34"/>
      <c r="MYN16" s="34"/>
      <c r="MYO16" s="34"/>
      <c r="MYP16" s="34"/>
      <c r="MYQ16" s="34"/>
      <c r="MYR16" s="34"/>
      <c r="MYS16" s="34"/>
      <c r="MYT16" s="34"/>
      <c r="MYU16" s="34"/>
      <c r="MYV16" s="34"/>
      <c r="MYW16" s="34"/>
      <c r="MYX16" s="34"/>
      <c r="MYY16" s="34"/>
      <c r="MYZ16" s="34"/>
      <c r="MZA16" s="34"/>
      <c r="MZB16" s="34"/>
      <c r="MZC16" s="34"/>
      <c r="MZD16" s="34"/>
      <c r="MZE16" s="34"/>
      <c r="MZF16" s="34"/>
      <c r="MZG16" s="34"/>
      <c r="MZH16" s="34"/>
      <c r="MZI16" s="34"/>
      <c r="MZJ16" s="34"/>
      <c r="MZK16" s="34"/>
      <c r="MZL16" s="34"/>
      <c r="MZM16" s="34"/>
      <c r="MZN16" s="34"/>
      <c r="MZO16" s="34"/>
      <c r="MZP16" s="34"/>
      <c r="MZQ16" s="34"/>
      <c r="MZR16" s="34"/>
      <c r="MZS16" s="34"/>
      <c r="MZT16" s="34"/>
      <c r="MZU16" s="34"/>
      <c r="MZV16" s="34"/>
      <c r="MZW16" s="34"/>
      <c r="MZX16" s="34"/>
      <c r="MZY16" s="34"/>
      <c r="MZZ16" s="34"/>
      <c r="NAA16" s="34"/>
      <c r="NAB16" s="34"/>
      <c r="NAC16" s="34"/>
      <c r="NAD16" s="34"/>
      <c r="NAE16" s="34"/>
      <c r="NAF16" s="34"/>
      <c r="NAG16" s="34"/>
      <c r="NAH16" s="34"/>
      <c r="NAI16" s="34"/>
      <c r="NAJ16" s="34"/>
      <c r="NAK16" s="34"/>
      <c r="NAL16" s="34"/>
      <c r="NAM16" s="34"/>
      <c r="NAN16" s="34"/>
      <c r="NAO16" s="34"/>
      <c r="NAP16" s="34"/>
      <c r="NAQ16" s="34"/>
      <c r="NAR16" s="34"/>
      <c r="NAS16" s="34"/>
      <c r="NAT16" s="34"/>
      <c r="NAU16" s="34"/>
      <c r="NAV16" s="34"/>
      <c r="NAW16" s="34"/>
      <c r="NAX16" s="34"/>
      <c r="NAY16" s="34"/>
      <c r="NAZ16" s="34"/>
      <c r="NBA16" s="34"/>
      <c r="NBB16" s="34"/>
      <c r="NBC16" s="34"/>
      <c r="NBD16" s="34"/>
      <c r="NBE16" s="34"/>
      <c r="NBF16" s="34"/>
      <c r="NBG16" s="34"/>
      <c r="NBH16" s="34"/>
      <c r="NBI16" s="34"/>
      <c r="NBJ16" s="34"/>
      <c r="NBK16" s="34"/>
      <c r="NBL16" s="34"/>
      <c r="NBM16" s="34"/>
      <c r="NBN16" s="34"/>
      <c r="NBO16" s="34"/>
      <c r="NBP16" s="34"/>
      <c r="NBQ16" s="34"/>
      <c r="NBR16" s="34"/>
      <c r="NBS16" s="34"/>
      <c r="NBT16" s="34"/>
      <c r="NBU16" s="34"/>
      <c r="NBV16" s="34"/>
      <c r="NBW16" s="34"/>
      <c r="NBX16" s="34"/>
      <c r="NBY16" s="34"/>
      <c r="NBZ16" s="34"/>
      <c r="NCA16" s="34"/>
      <c r="NCB16" s="34"/>
      <c r="NCC16" s="34"/>
      <c r="NCD16" s="34"/>
      <c r="NCE16" s="34"/>
      <c r="NCF16" s="34"/>
      <c r="NCG16" s="34"/>
      <c r="NCH16" s="34"/>
      <c r="NCI16" s="34"/>
      <c r="NCJ16" s="34"/>
      <c r="NCK16" s="34"/>
      <c r="NCL16" s="34"/>
      <c r="NCM16" s="34"/>
      <c r="NCN16" s="34"/>
      <c r="NCO16" s="34"/>
      <c r="NCP16" s="34"/>
      <c r="NCQ16" s="34"/>
      <c r="NCR16" s="34"/>
      <c r="NCS16" s="34"/>
      <c r="NCT16" s="34"/>
      <c r="NCU16" s="34"/>
      <c r="NCV16" s="34"/>
      <c r="NCW16" s="34"/>
      <c r="NCX16" s="34"/>
      <c r="NCY16" s="34"/>
      <c r="NCZ16" s="34"/>
      <c r="NDA16" s="34"/>
      <c r="NDB16" s="34"/>
      <c r="NDC16" s="34"/>
      <c r="NDD16" s="34"/>
      <c r="NDE16" s="34"/>
      <c r="NDF16" s="34"/>
      <c r="NDG16" s="34"/>
      <c r="NDH16" s="34"/>
      <c r="NDI16" s="34"/>
      <c r="NDJ16" s="34"/>
      <c r="NDK16" s="34"/>
      <c r="NDL16" s="34"/>
      <c r="NDM16" s="34"/>
      <c r="NDN16" s="34"/>
      <c r="NDO16" s="34"/>
      <c r="NDP16" s="34"/>
      <c r="NDQ16" s="34"/>
      <c r="NDR16" s="34"/>
      <c r="NDS16" s="34"/>
      <c r="NDT16" s="34"/>
      <c r="NDU16" s="34"/>
      <c r="NDV16" s="34"/>
      <c r="NDW16" s="34"/>
      <c r="NDX16" s="34"/>
      <c r="NDY16" s="34"/>
      <c r="NDZ16" s="34"/>
      <c r="NEA16" s="34"/>
      <c r="NEB16" s="34"/>
      <c r="NEC16" s="34"/>
      <c r="NED16" s="34"/>
      <c r="NEE16" s="34"/>
      <c r="NEF16" s="34"/>
      <c r="NEG16" s="34"/>
      <c r="NEH16" s="34"/>
      <c r="NEI16" s="34"/>
      <c r="NEJ16" s="34"/>
      <c r="NEK16" s="34"/>
      <c r="NEL16" s="34"/>
      <c r="NEM16" s="34"/>
      <c r="NEN16" s="34"/>
      <c r="NEO16" s="34"/>
      <c r="NEP16" s="34"/>
      <c r="NEQ16" s="34"/>
      <c r="NER16" s="34"/>
      <c r="NES16" s="34"/>
      <c r="NET16" s="34"/>
      <c r="NEU16" s="34"/>
      <c r="NEV16" s="34"/>
      <c r="NEW16" s="34"/>
      <c r="NEX16" s="34"/>
      <c r="NEY16" s="34"/>
      <c r="NEZ16" s="34"/>
      <c r="NFA16" s="34"/>
      <c r="NFB16" s="34"/>
      <c r="NFC16" s="34"/>
      <c r="NFD16" s="34"/>
      <c r="NFE16" s="34"/>
      <c r="NFF16" s="34"/>
      <c r="NFG16" s="34"/>
      <c r="NFH16" s="34"/>
      <c r="NFI16" s="34"/>
      <c r="NFJ16" s="34"/>
      <c r="NFK16" s="34"/>
      <c r="NFL16" s="34"/>
      <c r="NFM16" s="34"/>
      <c r="NFN16" s="34"/>
      <c r="NFO16" s="34"/>
      <c r="NFP16" s="34"/>
      <c r="NFQ16" s="34"/>
      <c r="NFR16" s="34"/>
      <c r="NFS16" s="34"/>
      <c r="NFT16" s="34"/>
      <c r="NFU16" s="34"/>
      <c r="NFV16" s="34"/>
      <c r="NFW16" s="34"/>
      <c r="NFX16" s="34"/>
      <c r="NFY16" s="34"/>
      <c r="NFZ16" s="34"/>
      <c r="NGA16" s="34"/>
      <c r="NGB16" s="34"/>
      <c r="NGC16" s="34"/>
      <c r="NGD16" s="34"/>
      <c r="NGE16" s="34"/>
      <c r="NGF16" s="34"/>
      <c r="NGG16" s="34"/>
      <c r="NGH16" s="34"/>
      <c r="NGI16" s="34"/>
      <c r="NGJ16" s="34"/>
      <c r="NGK16" s="34"/>
      <c r="NGL16" s="34"/>
      <c r="NGM16" s="34"/>
      <c r="NGN16" s="34"/>
      <c r="NGO16" s="34"/>
      <c r="NGP16" s="34"/>
      <c r="NGQ16" s="34"/>
      <c r="NGR16" s="34"/>
      <c r="NGS16" s="34"/>
      <c r="NGT16" s="34"/>
      <c r="NGU16" s="34"/>
      <c r="NGV16" s="34"/>
      <c r="NGW16" s="34"/>
      <c r="NGX16" s="34"/>
      <c r="NGY16" s="34"/>
      <c r="NGZ16" s="34"/>
      <c r="NHA16" s="34"/>
      <c r="NHB16" s="34"/>
      <c r="NHC16" s="34"/>
      <c r="NHD16" s="34"/>
      <c r="NHE16" s="34"/>
      <c r="NHF16" s="34"/>
      <c r="NHG16" s="34"/>
      <c r="NHH16" s="34"/>
      <c r="NHI16" s="34"/>
      <c r="NHJ16" s="34"/>
      <c r="NHK16" s="34"/>
      <c r="NHL16" s="34"/>
      <c r="NHM16" s="34"/>
      <c r="NHN16" s="34"/>
      <c r="NHO16" s="34"/>
      <c r="NHP16" s="34"/>
      <c r="NHQ16" s="34"/>
      <c r="NHR16" s="34"/>
      <c r="NHS16" s="34"/>
      <c r="NHT16" s="34"/>
      <c r="NHU16" s="34"/>
      <c r="NHV16" s="34"/>
      <c r="NHW16" s="34"/>
      <c r="NHX16" s="34"/>
      <c r="NHY16" s="34"/>
      <c r="NHZ16" s="34"/>
      <c r="NIA16" s="34"/>
      <c r="NIB16" s="34"/>
      <c r="NIC16" s="34"/>
      <c r="NID16" s="34"/>
      <c r="NIE16" s="34"/>
      <c r="NIF16" s="34"/>
      <c r="NIG16" s="34"/>
      <c r="NIH16" s="34"/>
      <c r="NII16" s="34"/>
      <c r="NIJ16" s="34"/>
      <c r="NIK16" s="34"/>
      <c r="NIL16" s="34"/>
      <c r="NIM16" s="34"/>
      <c r="NIN16" s="34"/>
      <c r="NIO16" s="34"/>
      <c r="NIP16" s="34"/>
      <c r="NIQ16" s="34"/>
      <c r="NIR16" s="34"/>
      <c r="NIS16" s="34"/>
      <c r="NIT16" s="34"/>
      <c r="NIU16" s="34"/>
      <c r="NIV16" s="34"/>
      <c r="NIW16" s="34"/>
      <c r="NIX16" s="34"/>
      <c r="NIY16" s="34"/>
      <c r="NIZ16" s="34"/>
      <c r="NJA16" s="34"/>
      <c r="NJB16" s="34"/>
      <c r="NJC16" s="34"/>
      <c r="NJD16" s="34"/>
      <c r="NJE16" s="34"/>
      <c r="NJF16" s="34"/>
      <c r="NJG16" s="34"/>
      <c r="NJH16" s="34"/>
      <c r="NJI16" s="34"/>
      <c r="NJJ16" s="34"/>
      <c r="NJK16" s="34"/>
      <c r="NJL16" s="34"/>
      <c r="NJM16" s="34"/>
      <c r="NJN16" s="34"/>
      <c r="NJO16" s="34"/>
      <c r="NJP16" s="34"/>
      <c r="NJQ16" s="34"/>
      <c r="NJR16" s="34"/>
      <c r="NJS16" s="34"/>
      <c r="NJT16" s="34"/>
      <c r="NJU16" s="34"/>
      <c r="NJV16" s="34"/>
      <c r="NJW16" s="34"/>
      <c r="NJX16" s="34"/>
      <c r="NJY16" s="34"/>
      <c r="NJZ16" s="34"/>
      <c r="NKA16" s="34"/>
      <c r="NKB16" s="34"/>
      <c r="NKC16" s="34"/>
      <c r="NKD16" s="34"/>
      <c r="NKE16" s="34"/>
      <c r="NKF16" s="34"/>
      <c r="NKG16" s="34"/>
      <c r="NKH16" s="34"/>
      <c r="NKI16" s="34"/>
      <c r="NKJ16" s="34"/>
      <c r="NKK16" s="34"/>
      <c r="NKL16" s="34"/>
      <c r="NKM16" s="34"/>
      <c r="NKN16" s="34"/>
      <c r="NKO16" s="34"/>
      <c r="NKP16" s="34"/>
      <c r="NKQ16" s="34"/>
      <c r="NKR16" s="34"/>
      <c r="NKS16" s="34"/>
      <c r="NKT16" s="34"/>
      <c r="NKU16" s="34"/>
      <c r="NKV16" s="34"/>
      <c r="NKW16" s="34"/>
      <c r="NKX16" s="34"/>
      <c r="NKY16" s="34"/>
      <c r="NKZ16" s="34"/>
      <c r="NLA16" s="34"/>
      <c r="NLB16" s="34"/>
      <c r="NLC16" s="34"/>
      <c r="NLD16" s="34"/>
      <c r="NLE16" s="34"/>
      <c r="NLF16" s="34"/>
      <c r="NLG16" s="34"/>
      <c r="NLH16" s="34"/>
      <c r="NLI16" s="34"/>
      <c r="NLJ16" s="34"/>
      <c r="NLK16" s="34"/>
      <c r="NLL16" s="34"/>
      <c r="NLM16" s="34"/>
      <c r="NLN16" s="34"/>
      <c r="NLO16" s="34"/>
      <c r="NLP16" s="34"/>
      <c r="NLQ16" s="34"/>
      <c r="NLR16" s="34"/>
      <c r="NLS16" s="34"/>
      <c r="NLT16" s="34"/>
      <c r="NLU16" s="34"/>
      <c r="NLV16" s="34"/>
      <c r="NLW16" s="34"/>
      <c r="NLX16" s="34"/>
      <c r="NLY16" s="34"/>
      <c r="NLZ16" s="34"/>
      <c r="NMA16" s="34"/>
      <c r="NMB16" s="34"/>
      <c r="NMC16" s="34"/>
      <c r="NMD16" s="34"/>
      <c r="NME16" s="34"/>
      <c r="NMF16" s="34"/>
      <c r="NMG16" s="34"/>
      <c r="NMH16" s="34"/>
      <c r="NMI16" s="34"/>
      <c r="NMJ16" s="34"/>
      <c r="NMK16" s="34"/>
      <c r="NML16" s="34"/>
      <c r="NMM16" s="34"/>
      <c r="NMN16" s="34"/>
      <c r="NMO16" s="34"/>
      <c r="NMP16" s="34"/>
      <c r="NMQ16" s="34"/>
      <c r="NMR16" s="34"/>
      <c r="NMS16" s="34"/>
      <c r="NMT16" s="34"/>
      <c r="NMU16" s="34"/>
      <c r="NMV16" s="34"/>
      <c r="NMW16" s="34"/>
      <c r="NMX16" s="34"/>
      <c r="NMY16" s="34"/>
      <c r="NMZ16" s="34"/>
      <c r="NNA16" s="34"/>
      <c r="NNB16" s="34"/>
      <c r="NNC16" s="34"/>
      <c r="NND16" s="34"/>
      <c r="NNE16" s="34"/>
      <c r="NNF16" s="34"/>
      <c r="NNG16" s="34"/>
      <c r="NNH16" s="34"/>
      <c r="NNI16" s="34"/>
      <c r="NNJ16" s="34"/>
      <c r="NNK16" s="34"/>
      <c r="NNL16" s="34"/>
      <c r="NNM16" s="34"/>
      <c r="NNN16" s="34"/>
      <c r="NNO16" s="34"/>
      <c r="NNP16" s="34"/>
      <c r="NNQ16" s="34"/>
      <c r="NNR16" s="34"/>
      <c r="NNS16" s="34"/>
      <c r="NNT16" s="34"/>
      <c r="NNU16" s="34"/>
      <c r="NNV16" s="34"/>
      <c r="NNW16" s="34"/>
      <c r="NNX16" s="34"/>
      <c r="NNY16" s="34"/>
      <c r="NNZ16" s="34"/>
      <c r="NOA16" s="34"/>
      <c r="NOB16" s="34"/>
      <c r="NOC16" s="34"/>
      <c r="NOD16" s="34"/>
      <c r="NOE16" s="34"/>
      <c r="NOF16" s="34"/>
      <c r="NOG16" s="34"/>
      <c r="NOH16" s="34"/>
      <c r="NOI16" s="34"/>
      <c r="NOJ16" s="34"/>
      <c r="NOK16" s="34"/>
      <c r="NOL16" s="34"/>
      <c r="NOM16" s="34"/>
      <c r="NON16" s="34"/>
      <c r="NOO16" s="34"/>
      <c r="NOP16" s="34"/>
      <c r="NOQ16" s="34"/>
      <c r="NOR16" s="34"/>
      <c r="NOS16" s="34"/>
      <c r="NOT16" s="34"/>
      <c r="NOU16" s="34"/>
      <c r="NOV16" s="34"/>
      <c r="NOW16" s="34"/>
      <c r="NOX16" s="34"/>
      <c r="NOY16" s="34"/>
      <c r="NOZ16" s="34"/>
      <c r="NPA16" s="34"/>
      <c r="NPB16" s="34"/>
      <c r="NPC16" s="34"/>
      <c r="NPD16" s="34"/>
      <c r="NPE16" s="34"/>
      <c r="NPF16" s="34"/>
      <c r="NPG16" s="34"/>
      <c r="NPH16" s="34"/>
      <c r="NPI16" s="34"/>
      <c r="NPJ16" s="34"/>
      <c r="NPK16" s="34"/>
      <c r="NPL16" s="34"/>
      <c r="NPM16" s="34"/>
      <c r="NPN16" s="34"/>
      <c r="NPO16" s="34"/>
      <c r="NPP16" s="34"/>
      <c r="NPQ16" s="34"/>
      <c r="NPR16" s="34"/>
      <c r="NPS16" s="34"/>
      <c r="NPT16" s="34"/>
      <c r="NPU16" s="34"/>
      <c r="NPV16" s="34"/>
      <c r="NPW16" s="34"/>
      <c r="NPX16" s="34"/>
      <c r="NPY16" s="34"/>
      <c r="NPZ16" s="34"/>
      <c r="NQA16" s="34"/>
      <c r="NQB16" s="34"/>
      <c r="NQC16" s="34"/>
      <c r="NQD16" s="34"/>
      <c r="NQE16" s="34"/>
      <c r="NQF16" s="34"/>
      <c r="NQG16" s="34"/>
      <c r="NQH16" s="34"/>
      <c r="NQI16" s="34"/>
      <c r="NQJ16" s="34"/>
      <c r="NQK16" s="34"/>
      <c r="NQL16" s="34"/>
      <c r="NQM16" s="34"/>
      <c r="NQN16" s="34"/>
      <c r="NQO16" s="34"/>
      <c r="NQP16" s="34"/>
      <c r="NQQ16" s="34"/>
      <c r="NQR16" s="34"/>
      <c r="NQS16" s="34"/>
      <c r="NQT16" s="34"/>
      <c r="NQU16" s="34"/>
      <c r="NQV16" s="34"/>
      <c r="NQW16" s="34"/>
      <c r="NQX16" s="34"/>
      <c r="NQY16" s="34"/>
      <c r="NQZ16" s="34"/>
      <c r="NRA16" s="34"/>
      <c r="NRB16" s="34"/>
      <c r="NRC16" s="34"/>
      <c r="NRD16" s="34"/>
      <c r="NRE16" s="34"/>
      <c r="NRF16" s="34"/>
      <c r="NRG16" s="34"/>
      <c r="NRH16" s="34"/>
      <c r="NRI16" s="34"/>
      <c r="NRJ16" s="34"/>
      <c r="NRK16" s="34"/>
      <c r="NRL16" s="34"/>
      <c r="NRM16" s="34"/>
      <c r="NRN16" s="34"/>
      <c r="NRO16" s="34"/>
      <c r="NRP16" s="34"/>
      <c r="NRQ16" s="34"/>
      <c r="NRR16" s="34"/>
      <c r="NRS16" s="34"/>
      <c r="NRT16" s="34"/>
      <c r="NRU16" s="34"/>
      <c r="NRV16" s="34"/>
      <c r="NRW16" s="34"/>
      <c r="NRX16" s="34"/>
      <c r="NRY16" s="34"/>
      <c r="NRZ16" s="34"/>
      <c r="NSA16" s="34"/>
      <c r="NSB16" s="34"/>
      <c r="NSC16" s="34"/>
      <c r="NSD16" s="34"/>
      <c r="NSE16" s="34"/>
      <c r="NSF16" s="34"/>
      <c r="NSG16" s="34"/>
      <c r="NSH16" s="34"/>
      <c r="NSI16" s="34"/>
      <c r="NSJ16" s="34"/>
      <c r="NSK16" s="34"/>
      <c r="NSL16" s="34"/>
      <c r="NSM16" s="34"/>
      <c r="NSN16" s="34"/>
      <c r="NSO16" s="34"/>
      <c r="NSP16" s="34"/>
      <c r="NSQ16" s="34"/>
      <c r="NSR16" s="34"/>
      <c r="NSS16" s="34"/>
      <c r="NST16" s="34"/>
      <c r="NSU16" s="34"/>
      <c r="NSV16" s="34"/>
      <c r="NSW16" s="34"/>
      <c r="NSX16" s="34"/>
      <c r="NSY16" s="34"/>
      <c r="NSZ16" s="34"/>
      <c r="NTA16" s="34"/>
      <c r="NTB16" s="34"/>
      <c r="NTC16" s="34"/>
      <c r="NTD16" s="34"/>
      <c r="NTE16" s="34"/>
      <c r="NTF16" s="34"/>
      <c r="NTG16" s="34"/>
      <c r="NTH16" s="34"/>
      <c r="NTI16" s="34"/>
      <c r="NTJ16" s="34"/>
      <c r="NTK16" s="34"/>
      <c r="NTL16" s="34"/>
      <c r="NTM16" s="34"/>
      <c r="NTN16" s="34"/>
      <c r="NTO16" s="34"/>
      <c r="NTP16" s="34"/>
      <c r="NTQ16" s="34"/>
      <c r="NTR16" s="34"/>
      <c r="NTS16" s="34"/>
      <c r="NTT16" s="34"/>
      <c r="NTU16" s="34"/>
      <c r="NTV16" s="34"/>
      <c r="NTW16" s="34"/>
      <c r="NTX16" s="34"/>
      <c r="NTY16" s="34"/>
      <c r="NTZ16" s="34"/>
      <c r="NUA16" s="34"/>
      <c r="NUB16" s="34"/>
      <c r="NUC16" s="34"/>
      <c r="NUD16" s="34"/>
      <c r="NUE16" s="34"/>
      <c r="NUF16" s="34"/>
      <c r="NUG16" s="34"/>
      <c r="NUH16" s="34"/>
      <c r="NUI16" s="34"/>
      <c r="NUJ16" s="34"/>
      <c r="NUK16" s="34"/>
      <c r="NUL16" s="34"/>
      <c r="NUM16" s="34"/>
      <c r="NUN16" s="34"/>
      <c r="NUO16" s="34"/>
      <c r="NUP16" s="34"/>
      <c r="NUQ16" s="34"/>
      <c r="NUR16" s="34"/>
      <c r="NUS16" s="34"/>
      <c r="NUT16" s="34"/>
      <c r="NUU16" s="34"/>
      <c r="NUV16" s="34"/>
      <c r="NUW16" s="34"/>
      <c r="NUX16" s="34"/>
      <c r="NUY16" s="34"/>
      <c r="NUZ16" s="34"/>
      <c r="NVA16" s="34"/>
      <c r="NVB16" s="34"/>
      <c r="NVC16" s="34"/>
      <c r="NVD16" s="34"/>
      <c r="NVE16" s="34"/>
      <c r="NVF16" s="34"/>
      <c r="NVG16" s="34"/>
      <c r="NVH16" s="34"/>
      <c r="NVI16" s="34"/>
      <c r="NVJ16" s="34"/>
      <c r="NVK16" s="34"/>
      <c r="NVL16" s="34"/>
      <c r="NVM16" s="34"/>
      <c r="NVN16" s="34"/>
      <c r="NVO16" s="34"/>
      <c r="NVP16" s="34"/>
      <c r="NVQ16" s="34"/>
      <c r="NVR16" s="34"/>
      <c r="NVS16" s="34"/>
      <c r="NVT16" s="34"/>
      <c r="NVU16" s="34"/>
      <c r="NVV16" s="34"/>
      <c r="NVW16" s="34"/>
      <c r="NVX16" s="34"/>
      <c r="NVY16" s="34"/>
      <c r="NVZ16" s="34"/>
      <c r="NWA16" s="34"/>
      <c r="NWB16" s="34"/>
      <c r="NWC16" s="34"/>
      <c r="NWD16" s="34"/>
      <c r="NWE16" s="34"/>
      <c r="NWF16" s="34"/>
      <c r="NWG16" s="34"/>
      <c r="NWH16" s="34"/>
      <c r="NWI16" s="34"/>
      <c r="NWJ16" s="34"/>
      <c r="NWK16" s="34"/>
      <c r="NWL16" s="34"/>
      <c r="NWM16" s="34"/>
      <c r="NWN16" s="34"/>
      <c r="NWO16" s="34"/>
      <c r="NWP16" s="34"/>
      <c r="NWQ16" s="34"/>
      <c r="NWR16" s="34"/>
      <c r="NWS16" s="34"/>
      <c r="NWT16" s="34"/>
      <c r="NWU16" s="34"/>
      <c r="NWV16" s="34"/>
      <c r="NWW16" s="34"/>
      <c r="NWX16" s="34"/>
      <c r="NWY16" s="34"/>
      <c r="NWZ16" s="34"/>
      <c r="NXA16" s="34"/>
      <c r="NXB16" s="34"/>
      <c r="NXC16" s="34"/>
      <c r="NXD16" s="34"/>
      <c r="NXE16" s="34"/>
      <c r="NXF16" s="34"/>
      <c r="NXG16" s="34"/>
      <c r="NXH16" s="34"/>
      <c r="NXI16" s="34"/>
      <c r="NXJ16" s="34"/>
      <c r="NXK16" s="34"/>
      <c r="NXL16" s="34"/>
      <c r="NXM16" s="34"/>
      <c r="NXN16" s="34"/>
      <c r="NXO16" s="34"/>
      <c r="NXP16" s="34"/>
      <c r="NXQ16" s="34"/>
      <c r="NXR16" s="34"/>
      <c r="NXS16" s="34"/>
      <c r="NXT16" s="34"/>
      <c r="NXU16" s="34"/>
      <c r="NXV16" s="34"/>
      <c r="NXW16" s="34"/>
      <c r="NXX16" s="34"/>
      <c r="NXY16" s="34"/>
      <c r="NXZ16" s="34"/>
      <c r="NYA16" s="34"/>
      <c r="NYB16" s="34"/>
      <c r="NYC16" s="34"/>
      <c r="NYD16" s="34"/>
      <c r="NYE16" s="34"/>
      <c r="NYF16" s="34"/>
      <c r="NYG16" s="34"/>
      <c r="NYH16" s="34"/>
      <c r="NYI16" s="34"/>
      <c r="NYJ16" s="34"/>
      <c r="NYK16" s="34"/>
      <c r="NYL16" s="34"/>
      <c r="NYM16" s="34"/>
      <c r="NYN16" s="34"/>
      <c r="NYO16" s="34"/>
      <c r="NYP16" s="34"/>
      <c r="NYQ16" s="34"/>
      <c r="NYR16" s="34"/>
      <c r="NYS16" s="34"/>
      <c r="NYT16" s="34"/>
      <c r="NYU16" s="34"/>
      <c r="NYV16" s="34"/>
      <c r="NYW16" s="34"/>
      <c r="NYX16" s="34"/>
      <c r="NYY16" s="34"/>
      <c r="NYZ16" s="34"/>
      <c r="NZA16" s="34"/>
      <c r="NZB16" s="34"/>
      <c r="NZC16" s="34"/>
      <c r="NZD16" s="34"/>
      <c r="NZE16" s="34"/>
      <c r="NZF16" s="34"/>
      <c r="NZG16" s="34"/>
      <c r="NZH16" s="34"/>
      <c r="NZI16" s="34"/>
      <c r="NZJ16" s="34"/>
      <c r="NZK16" s="34"/>
      <c r="NZL16" s="34"/>
      <c r="NZM16" s="34"/>
      <c r="NZN16" s="34"/>
      <c r="NZO16" s="34"/>
      <c r="NZP16" s="34"/>
      <c r="NZQ16" s="34"/>
      <c r="NZR16" s="34"/>
      <c r="NZS16" s="34"/>
      <c r="NZT16" s="34"/>
      <c r="NZU16" s="34"/>
      <c r="NZV16" s="34"/>
      <c r="NZW16" s="34"/>
      <c r="NZX16" s="34"/>
      <c r="NZY16" s="34"/>
      <c r="NZZ16" s="34"/>
      <c r="OAA16" s="34"/>
      <c r="OAB16" s="34"/>
      <c r="OAC16" s="34"/>
      <c r="OAD16" s="34"/>
      <c r="OAE16" s="34"/>
      <c r="OAF16" s="34"/>
      <c r="OAG16" s="34"/>
      <c r="OAH16" s="34"/>
      <c r="OAI16" s="34"/>
      <c r="OAJ16" s="34"/>
      <c r="OAK16" s="34"/>
      <c r="OAL16" s="34"/>
      <c r="OAM16" s="34"/>
      <c r="OAN16" s="34"/>
      <c r="OAO16" s="34"/>
      <c r="OAP16" s="34"/>
      <c r="OAQ16" s="34"/>
      <c r="OAR16" s="34"/>
      <c r="OAS16" s="34"/>
      <c r="OAT16" s="34"/>
      <c r="OAU16" s="34"/>
      <c r="OAV16" s="34"/>
      <c r="OAW16" s="34"/>
      <c r="OAX16" s="34"/>
      <c r="OAY16" s="34"/>
      <c r="OAZ16" s="34"/>
      <c r="OBA16" s="34"/>
      <c r="OBB16" s="34"/>
      <c r="OBC16" s="34"/>
      <c r="OBD16" s="34"/>
      <c r="OBE16" s="34"/>
      <c r="OBF16" s="34"/>
      <c r="OBG16" s="34"/>
      <c r="OBH16" s="34"/>
      <c r="OBI16" s="34"/>
      <c r="OBJ16" s="34"/>
      <c r="OBK16" s="34"/>
      <c r="OBL16" s="34"/>
      <c r="OBM16" s="34"/>
      <c r="OBN16" s="34"/>
      <c r="OBO16" s="34"/>
      <c r="OBP16" s="34"/>
      <c r="OBQ16" s="34"/>
      <c r="OBR16" s="34"/>
      <c r="OBS16" s="34"/>
      <c r="OBT16" s="34"/>
      <c r="OBU16" s="34"/>
      <c r="OBV16" s="34"/>
      <c r="OBW16" s="34"/>
      <c r="OBX16" s="34"/>
      <c r="OBY16" s="34"/>
      <c r="OBZ16" s="34"/>
      <c r="OCA16" s="34"/>
      <c r="OCB16" s="34"/>
      <c r="OCC16" s="34"/>
      <c r="OCD16" s="34"/>
      <c r="OCE16" s="34"/>
      <c r="OCF16" s="34"/>
      <c r="OCG16" s="34"/>
      <c r="OCH16" s="34"/>
      <c r="OCI16" s="34"/>
      <c r="OCJ16" s="34"/>
      <c r="OCK16" s="34"/>
      <c r="OCL16" s="34"/>
      <c r="OCM16" s="34"/>
      <c r="OCN16" s="34"/>
      <c r="OCO16" s="34"/>
      <c r="OCP16" s="34"/>
      <c r="OCQ16" s="34"/>
      <c r="OCR16" s="34"/>
      <c r="OCS16" s="34"/>
      <c r="OCT16" s="34"/>
      <c r="OCU16" s="34"/>
      <c r="OCV16" s="34"/>
      <c r="OCW16" s="34"/>
      <c r="OCX16" s="34"/>
      <c r="OCY16" s="34"/>
      <c r="OCZ16" s="34"/>
      <c r="ODA16" s="34"/>
      <c r="ODB16" s="34"/>
      <c r="ODC16" s="34"/>
      <c r="ODD16" s="34"/>
      <c r="ODE16" s="34"/>
      <c r="ODF16" s="34"/>
      <c r="ODG16" s="34"/>
      <c r="ODH16" s="34"/>
      <c r="ODI16" s="34"/>
      <c r="ODJ16" s="34"/>
      <c r="ODK16" s="34"/>
      <c r="ODL16" s="34"/>
      <c r="ODM16" s="34"/>
      <c r="ODN16" s="34"/>
      <c r="ODO16" s="34"/>
      <c r="ODP16" s="34"/>
      <c r="ODQ16" s="34"/>
      <c r="ODR16" s="34"/>
      <c r="ODS16" s="34"/>
      <c r="ODT16" s="34"/>
      <c r="ODU16" s="34"/>
      <c r="ODV16" s="34"/>
      <c r="ODW16" s="34"/>
      <c r="ODX16" s="34"/>
      <c r="ODY16" s="34"/>
      <c r="ODZ16" s="34"/>
      <c r="OEA16" s="34"/>
      <c r="OEB16" s="34"/>
      <c r="OEC16" s="34"/>
      <c r="OED16" s="34"/>
      <c r="OEE16" s="34"/>
      <c r="OEF16" s="34"/>
      <c r="OEG16" s="34"/>
      <c r="OEH16" s="34"/>
      <c r="OEI16" s="34"/>
      <c r="OEJ16" s="34"/>
      <c r="OEK16" s="34"/>
      <c r="OEL16" s="34"/>
      <c r="OEM16" s="34"/>
      <c r="OEN16" s="34"/>
      <c r="OEO16" s="34"/>
      <c r="OEP16" s="34"/>
      <c r="OEQ16" s="34"/>
      <c r="OER16" s="34"/>
      <c r="OES16" s="34"/>
      <c r="OET16" s="34"/>
      <c r="OEU16" s="34"/>
      <c r="OEV16" s="34"/>
      <c r="OEW16" s="34"/>
      <c r="OEX16" s="34"/>
      <c r="OEY16" s="34"/>
      <c r="OEZ16" s="34"/>
      <c r="OFA16" s="34"/>
      <c r="OFB16" s="34"/>
      <c r="OFC16" s="34"/>
      <c r="OFD16" s="34"/>
      <c r="OFE16" s="34"/>
      <c r="OFF16" s="34"/>
      <c r="OFG16" s="34"/>
      <c r="OFH16" s="34"/>
      <c r="OFI16" s="34"/>
      <c r="OFJ16" s="34"/>
      <c r="OFK16" s="34"/>
      <c r="OFL16" s="34"/>
      <c r="OFM16" s="34"/>
      <c r="OFN16" s="34"/>
      <c r="OFO16" s="34"/>
      <c r="OFP16" s="34"/>
      <c r="OFQ16" s="34"/>
      <c r="OFR16" s="34"/>
      <c r="OFS16" s="34"/>
      <c r="OFT16" s="34"/>
      <c r="OFU16" s="34"/>
      <c r="OFV16" s="34"/>
      <c r="OFW16" s="34"/>
      <c r="OFX16" s="34"/>
      <c r="OFY16" s="34"/>
      <c r="OFZ16" s="34"/>
      <c r="OGA16" s="34"/>
      <c r="OGB16" s="34"/>
      <c r="OGC16" s="34"/>
      <c r="OGD16" s="34"/>
      <c r="OGE16" s="34"/>
      <c r="OGF16" s="34"/>
      <c r="OGG16" s="34"/>
      <c r="OGH16" s="34"/>
      <c r="OGI16" s="34"/>
      <c r="OGJ16" s="34"/>
      <c r="OGK16" s="34"/>
      <c r="OGL16" s="34"/>
      <c r="OGM16" s="34"/>
      <c r="OGN16" s="34"/>
      <c r="OGO16" s="34"/>
      <c r="OGP16" s="34"/>
      <c r="OGQ16" s="34"/>
      <c r="OGR16" s="34"/>
      <c r="OGS16" s="34"/>
      <c r="OGT16" s="34"/>
      <c r="OGU16" s="34"/>
      <c r="OGV16" s="34"/>
      <c r="OGW16" s="34"/>
      <c r="OGX16" s="34"/>
      <c r="OGY16" s="34"/>
      <c r="OGZ16" s="34"/>
      <c r="OHA16" s="34"/>
      <c r="OHB16" s="34"/>
      <c r="OHC16" s="34"/>
      <c r="OHD16" s="34"/>
      <c r="OHE16" s="34"/>
      <c r="OHF16" s="34"/>
      <c r="OHG16" s="34"/>
      <c r="OHH16" s="34"/>
      <c r="OHI16" s="34"/>
      <c r="OHJ16" s="34"/>
      <c r="OHK16" s="34"/>
      <c r="OHL16" s="34"/>
      <c r="OHM16" s="34"/>
      <c r="OHN16" s="34"/>
      <c r="OHO16" s="34"/>
      <c r="OHP16" s="34"/>
      <c r="OHQ16" s="34"/>
      <c r="OHR16" s="34"/>
      <c r="OHS16" s="34"/>
      <c r="OHT16" s="34"/>
      <c r="OHU16" s="34"/>
      <c r="OHV16" s="34"/>
      <c r="OHW16" s="34"/>
      <c r="OHX16" s="34"/>
      <c r="OHY16" s="34"/>
      <c r="OHZ16" s="34"/>
      <c r="OIA16" s="34"/>
      <c r="OIB16" s="34"/>
      <c r="OIC16" s="34"/>
      <c r="OID16" s="34"/>
      <c r="OIE16" s="34"/>
      <c r="OIF16" s="34"/>
      <c r="OIG16" s="34"/>
      <c r="OIH16" s="34"/>
      <c r="OII16" s="34"/>
      <c r="OIJ16" s="34"/>
      <c r="OIK16" s="34"/>
      <c r="OIL16" s="34"/>
      <c r="OIM16" s="34"/>
      <c r="OIN16" s="34"/>
      <c r="OIO16" s="34"/>
      <c r="OIP16" s="34"/>
      <c r="OIQ16" s="34"/>
      <c r="OIR16" s="34"/>
      <c r="OIS16" s="34"/>
      <c r="OIT16" s="34"/>
      <c r="OIU16" s="34"/>
      <c r="OIV16" s="34"/>
      <c r="OIW16" s="34"/>
      <c r="OIX16" s="34"/>
      <c r="OIY16" s="34"/>
      <c r="OIZ16" s="34"/>
      <c r="OJA16" s="34"/>
      <c r="OJB16" s="34"/>
      <c r="OJC16" s="34"/>
      <c r="OJD16" s="34"/>
      <c r="OJE16" s="34"/>
      <c r="OJF16" s="34"/>
      <c r="OJG16" s="34"/>
      <c r="OJH16" s="34"/>
      <c r="OJI16" s="34"/>
      <c r="OJJ16" s="34"/>
      <c r="OJK16" s="34"/>
      <c r="OJL16" s="34"/>
      <c r="OJM16" s="34"/>
      <c r="OJN16" s="34"/>
      <c r="OJO16" s="34"/>
      <c r="OJP16" s="34"/>
      <c r="OJQ16" s="34"/>
      <c r="OJR16" s="34"/>
      <c r="OJS16" s="34"/>
      <c r="OJT16" s="34"/>
      <c r="OJU16" s="34"/>
      <c r="OJV16" s="34"/>
      <c r="OJW16" s="34"/>
      <c r="OJX16" s="34"/>
      <c r="OJY16" s="34"/>
      <c r="OJZ16" s="34"/>
      <c r="OKA16" s="34"/>
      <c r="OKB16" s="34"/>
      <c r="OKC16" s="34"/>
      <c r="OKD16" s="34"/>
      <c r="OKE16" s="34"/>
      <c r="OKF16" s="34"/>
      <c r="OKG16" s="34"/>
      <c r="OKH16" s="34"/>
      <c r="OKI16" s="34"/>
      <c r="OKJ16" s="34"/>
      <c r="OKK16" s="34"/>
      <c r="OKL16" s="34"/>
      <c r="OKM16" s="34"/>
      <c r="OKN16" s="34"/>
      <c r="OKO16" s="34"/>
      <c r="OKP16" s="34"/>
      <c r="OKQ16" s="34"/>
      <c r="OKR16" s="34"/>
      <c r="OKS16" s="34"/>
      <c r="OKT16" s="34"/>
      <c r="OKU16" s="34"/>
      <c r="OKV16" s="34"/>
      <c r="OKW16" s="34"/>
      <c r="OKX16" s="34"/>
      <c r="OKY16" s="34"/>
      <c r="OKZ16" s="34"/>
      <c r="OLA16" s="34"/>
      <c r="OLB16" s="34"/>
      <c r="OLC16" s="34"/>
      <c r="OLD16" s="34"/>
      <c r="OLE16" s="34"/>
      <c r="OLF16" s="34"/>
      <c r="OLG16" s="34"/>
      <c r="OLH16" s="34"/>
      <c r="OLI16" s="34"/>
      <c r="OLJ16" s="34"/>
      <c r="OLK16" s="34"/>
      <c r="OLL16" s="34"/>
      <c r="OLM16" s="34"/>
      <c r="OLN16" s="34"/>
      <c r="OLO16" s="34"/>
      <c r="OLP16" s="34"/>
      <c r="OLQ16" s="34"/>
      <c r="OLR16" s="34"/>
      <c r="OLS16" s="34"/>
      <c r="OLT16" s="34"/>
      <c r="OLU16" s="34"/>
      <c r="OLV16" s="34"/>
      <c r="OLW16" s="34"/>
      <c r="OLX16" s="34"/>
      <c r="OLY16" s="34"/>
      <c r="OLZ16" s="34"/>
      <c r="OMA16" s="34"/>
      <c r="OMB16" s="34"/>
      <c r="OMC16" s="34"/>
      <c r="OMD16" s="34"/>
      <c r="OME16" s="34"/>
      <c r="OMF16" s="34"/>
      <c r="OMG16" s="34"/>
      <c r="OMH16" s="34"/>
      <c r="OMI16" s="34"/>
      <c r="OMJ16" s="34"/>
      <c r="OMK16" s="34"/>
      <c r="OML16" s="34"/>
      <c r="OMM16" s="34"/>
      <c r="OMN16" s="34"/>
      <c r="OMO16" s="34"/>
      <c r="OMP16" s="34"/>
      <c r="OMQ16" s="34"/>
      <c r="OMR16" s="34"/>
      <c r="OMS16" s="34"/>
      <c r="OMT16" s="34"/>
      <c r="OMU16" s="34"/>
      <c r="OMV16" s="34"/>
      <c r="OMW16" s="34"/>
      <c r="OMX16" s="34"/>
      <c r="OMY16" s="34"/>
      <c r="OMZ16" s="34"/>
      <c r="ONA16" s="34"/>
      <c r="ONB16" s="34"/>
      <c r="ONC16" s="34"/>
      <c r="OND16" s="34"/>
      <c r="ONE16" s="34"/>
      <c r="ONF16" s="34"/>
      <c r="ONG16" s="34"/>
      <c r="ONH16" s="34"/>
      <c r="ONI16" s="34"/>
      <c r="ONJ16" s="34"/>
      <c r="ONK16" s="34"/>
      <c r="ONL16" s="34"/>
      <c r="ONM16" s="34"/>
      <c r="ONN16" s="34"/>
      <c r="ONO16" s="34"/>
      <c r="ONP16" s="34"/>
      <c r="ONQ16" s="34"/>
      <c r="ONR16" s="34"/>
      <c r="ONS16" s="34"/>
      <c r="ONT16" s="34"/>
      <c r="ONU16" s="34"/>
      <c r="ONV16" s="34"/>
      <c r="ONW16" s="34"/>
      <c r="ONX16" s="34"/>
      <c r="ONY16" s="34"/>
      <c r="ONZ16" s="34"/>
      <c r="OOA16" s="34"/>
      <c r="OOB16" s="34"/>
      <c r="OOC16" s="34"/>
      <c r="OOD16" s="34"/>
      <c r="OOE16" s="34"/>
      <c r="OOF16" s="34"/>
      <c r="OOG16" s="34"/>
      <c r="OOH16" s="34"/>
      <c r="OOI16" s="34"/>
      <c r="OOJ16" s="34"/>
      <c r="OOK16" s="34"/>
      <c r="OOL16" s="34"/>
      <c r="OOM16" s="34"/>
      <c r="OON16" s="34"/>
      <c r="OOO16" s="34"/>
      <c r="OOP16" s="34"/>
      <c r="OOQ16" s="34"/>
      <c r="OOR16" s="34"/>
      <c r="OOS16" s="34"/>
      <c r="OOT16" s="34"/>
      <c r="OOU16" s="34"/>
      <c r="OOV16" s="34"/>
      <c r="OOW16" s="34"/>
      <c r="OOX16" s="34"/>
      <c r="OOY16" s="34"/>
      <c r="OOZ16" s="34"/>
      <c r="OPA16" s="34"/>
      <c r="OPB16" s="34"/>
      <c r="OPC16" s="34"/>
      <c r="OPD16" s="34"/>
      <c r="OPE16" s="34"/>
      <c r="OPF16" s="34"/>
      <c r="OPG16" s="34"/>
      <c r="OPH16" s="34"/>
      <c r="OPI16" s="34"/>
      <c r="OPJ16" s="34"/>
      <c r="OPK16" s="34"/>
      <c r="OPL16" s="34"/>
      <c r="OPM16" s="34"/>
      <c r="OPN16" s="34"/>
      <c r="OPO16" s="34"/>
      <c r="OPP16" s="34"/>
      <c r="OPQ16" s="34"/>
      <c r="OPR16" s="34"/>
      <c r="OPS16" s="34"/>
      <c r="OPT16" s="34"/>
      <c r="OPU16" s="34"/>
      <c r="OPV16" s="34"/>
      <c r="OPW16" s="34"/>
      <c r="OPX16" s="34"/>
      <c r="OPY16" s="34"/>
      <c r="OPZ16" s="34"/>
      <c r="OQA16" s="34"/>
      <c r="OQB16" s="34"/>
      <c r="OQC16" s="34"/>
      <c r="OQD16" s="34"/>
      <c r="OQE16" s="34"/>
      <c r="OQF16" s="34"/>
      <c r="OQG16" s="34"/>
      <c r="OQH16" s="34"/>
      <c r="OQI16" s="34"/>
      <c r="OQJ16" s="34"/>
      <c r="OQK16" s="34"/>
      <c r="OQL16" s="34"/>
      <c r="OQM16" s="34"/>
      <c r="OQN16" s="34"/>
      <c r="OQO16" s="34"/>
      <c r="OQP16" s="34"/>
      <c r="OQQ16" s="34"/>
      <c r="OQR16" s="34"/>
      <c r="OQS16" s="34"/>
      <c r="OQT16" s="34"/>
      <c r="OQU16" s="34"/>
      <c r="OQV16" s="34"/>
      <c r="OQW16" s="34"/>
      <c r="OQX16" s="34"/>
      <c r="OQY16" s="34"/>
      <c r="OQZ16" s="34"/>
      <c r="ORA16" s="34"/>
      <c r="ORB16" s="34"/>
      <c r="ORC16" s="34"/>
      <c r="ORD16" s="34"/>
      <c r="ORE16" s="34"/>
      <c r="ORF16" s="34"/>
      <c r="ORG16" s="34"/>
      <c r="ORH16" s="34"/>
      <c r="ORI16" s="34"/>
      <c r="ORJ16" s="34"/>
      <c r="ORK16" s="34"/>
      <c r="ORL16" s="34"/>
      <c r="ORM16" s="34"/>
      <c r="ORN16" s="34"/>
      <c r="ORO16" s="34"/>
      <c r="ORP16" s="34"/>
      <c r="ORQ16" s="34"/>
      <c r="ORR16" s="34"/>
      <c r="ORS16" s="34"/>
      <c r="ORT16" s="34"/>
      <c r="ORU16" s="34"/>
      <c r="ORV16" s="34"/>
      <c r="ORW16" s="34"/>
      <c r="ORX16" s="34"/>
      <c r="ORY16" s="34"/>
      <c r="ORZ16" s="34"/>
      <c r="OSA16" s="34"/>
      <c r="OSB16" s="34"/>
      <c r="OSC16" s="34"/>
      <c r="OSD16" s="34"/>
      <c r="OSE16" s="34"/>
      <c r="OSF16" s="34"/>
      <c r="OSG16" s="34"/>
      <c r="OSH16" s="34"/>
      <c r="OSI16" s="34"/>
      <c r="OSJ16" s="34"/>
      <c r="OSK16" s="34"/>
      <c r="OSL16" s="34"/>
      <c r="OSM16" s="34"/>
      <c r="OSN16" s="34"/>
      <c r="OSO16" s="34"/>
      <c r="OSP16" s="34"/>
      <c r="OSQ16" s="34"/>
      <c r="OSR16" s="34"/>
      <c r="OSS16" s="34"/>
      <c r="OST16" s="34"/>
      <c r="OSU16" s="34"/>
      <c r="OSV16" s="34"/>
      <c r="OSW16" s="34"/>
      <c r="OSX16" s="34"/>
      <c r="OSY16" s="34"/>
      <c r="OSZ16" s="34"/>
      <c r="OTA16" s="34"/>
      <c r="OTB16" s="34"/>
      <c r="OTC16" s="34"/>
      <c r="OTD16" s="34"/>
      <c r="OTE16" s="34"/>
      <c r="OTF16" s="34"/>
      <c r="OTG16" s="34"/>
      <c r="OTH16" s="34"/>
      <c r="OTI16" s="34"/>
      <c r="OTJ16" s="34"/>
      <c r="OTK16" s="34"/>
      <c r="OTL16" s="34"/>
      <c r="OTM16" s="34"/>
      <c r="OTN16" s="34"/>
      <c r="OTO16" s="34"/>
      <c r="OTP16" s="34"/>
      <c r="OTQ16" s="34"/>
      <c r="OTR16" s="34"/>
      <c r="OTS16" s="34"/>
      <c r="OTT16" s="34"/>
      <c r="OTU16" s="34"/>
      <c r="OTV16" s="34"/>
      <c r="OTW16" s="34"/>
      <c r="OTX16" s="34"/>
      <c r="OTY16" s="34"/>
      <c r="OTZ16" s="34"/>
      <c r="OUA16" s="34"/>
      <c r="OUB16" s="34"/>
      <c r="OUC16" s="34"/>
      <c r="OUD16" s="34"/>
      <c r="OUE16" s="34"/>
      <c r="OUF16" s="34"/>
      <c r="OUG16" s="34"/>
      <c r="OUH16" s="34"/>
      <c r="OUI16" s="34"/>
      <c r="OUJ16" s="34"/>
      <c r="OUK16" s="34"/>
      <c r="OUL16" s="34"/>
      <c r="OUM16" s="34"/>
      <c r="OUN16" s="34"/>
      <c r="OUO16" s="34"/>
      <c r="OUP16" s="34"/>
      <c r="OUQ16" s="34"/>
      <c r="OUR16" s="34"/>
      <c r="OUS16" s="34"/>
      <c r="OUT16" s="34"/>
      <c r="OUU16" s="34"/>
      <c r="OUV16" s="34"/>
      <c r="OUW16" s="34"/>
      <c r="OUX16" s="34"/>
      <c r="OUY16" s="34"/>
      <c r="OUZ16" s="34"/>
      <c r="OVA16" s="34"/>
      <c r="OVB16" s="34"/>
      <c r="OVC16" s="34"/>
      <c r="OVD16" s="34"/>
      <c r="OVE16" s="34"/>
      <c r="OVF16" s="34"/>
      <c r="OVG16" s="34"/>
      <c r="OVH16" s="34"/>
      <c r="OVI16" s="34"/>
      <c r="OVJ16" s="34"/>
      <c r="OVK16" s="34"/>
      <c r="OVL16" s="34"/>
      <c r="OVM16" s="34"/>
      <c r="OVN16" s="34"/>
      <c r="OVO16" s="34"/>
      <c r="OVP16" s="34"/>
      <c r="OVQ16" s="34"/>
      <c r="OVR16" s="34"/>
      <c r="OVS16" s="34"/>
      <c r="OVT16" s="34"/>
      <c r="OVU16" s="34"/>
      <c r="OVV16" s="34"/>
      <c r="OVW16" s="34"/>
      <c r="OVX16" s="34"/>
      <c r="OVY16" s="34"/>
      <c r="OVZ16" s="34"/>
      <c r="OWA16" s="34"/>
      <c r="OWB16" s="34"/>
      <c r="OWC16" s="34"/>
      <c r="OWD16" s="34"/>
      <c r="OWE16" s="34"/>
      <c r="OWF16" s="34"/>
      <c r="OWG16" s="34"/>
      <c r="OWH16" s="34"/>
      <c r="OWI16" s="34"/>
      <c r="OWJ16" s="34"/>
      <c r="OWK16" s="34"/>
      <c r="OWL16" s="34"/>
      <c r="OWM16" s="34"/>
      <c r="OWN16" s="34"/>
      <c r="OWO16" s="34"/>
      <c r="OWP16" s="34"/>
      <c r="OWQ16" s="34"/>
      <c r="OWR16" s="34"/>
      <c r="OWS16" s="34"/>
      <c r="OWT16" s="34"/>
      <c r="OWU16" s="34"/>
      <c r="OWV16" s="34"/>
      <c r="OWW16" s="34"/>
      <c r="OWX16" s="34"/>
      <c r="OWY16" s="34"/>
      <c r="OWZ16" s="34"/>
      <c r="OXA16" s="34"/>
      <c r="OXB16" s="34"/>
      <c r="OXC16" s="34"/>
      <c r="OXD16" s="34"/>
      <c r="OXE16" s="34"/>
      <c r="OXF16" s="34"/>
      <c r="OXG16" s="34"/>
      <c r="OXH16" s="34"/>
      <c r="OXI16" s="34"/>
      <c r="OXJ16" s="34"/>
      <c r="OXK16" s="34"/>
      <c r="OXL16" s="34"/>
      <c r="OXM16" s="34"/>
      <c r="OXN16" s="34"/>
      <c r="OXO16" s="34"/>
      <c r="OXP16" s="34"/>
      <c r="OXQ16" s="34"/>
      <c r="OXR16" s="34"/>
      <c r="OXS16" s="34"/>
      <c r="OXT16" s="34"/>
      <c r="OXU16" s="34"/>
      <c r="OXV16" s="34"/>
      <c r="OXW16" s="34"/>
      <c r="OXX16" s="34"/>
      <c r="OXY16" s="34"/>
      <c r="OXZ16" s="34"/>
      <c r="OYA16" s="34"/>
      <c r="OYB16" s="34"/>
      <c r="OYC16" s="34"/>
      <c r="OYD16" s="34"/>
      <c r="OYE16" s="34"/>
      <c r="OYF16" s="34"/>
      <c r="OYG16" s="34"/>
      <c r="OYH16" s="34"/>
      <c r="OYI16" s="34"/>
      <c r="OYJ16" s="34"/>
      <c r="OYK16" s="34"/>
      <c r="OYL16" s="34"/>
      <c r="OYM16" s="34"/>
      <c r="OYN16" s="34"/>
      <c r="OYO16" s="34"/>
      <c r="OYP16" s="34"/>
      <c r="OYQ16" s="34"/>
      <c r="OYR16" s="34"/>
      <c r="OYS16" s="34"/>
      <c r="OYT16" s="34"/>
      <c r="OYU16" s="34"/>
      <c r="OYV16" s="34"/>
      <c r="OYW16" s="34"/>
      <c r="OYX16" s="34"/>
      <c r="OYY16" s="34"/>
      <c r="OYZ16" s="34"/>
      <c r="OZA16" s="34"/>
      <c r="OZB16" s="34"/>
      <c r="OZC16" s="34"/>
      <c r="OZD16" s="34"/>
      <c r="OZE16" s="34"/>
      <c r="OZF16" s="34"/>
      <c r="OZG16" s="34"/>
      <c r="OZH16" s="34"/>
      <c r="OZI16" s="34"/>
      <c r="OZJ16" s="34"/>
      <c r="OZK16" s="34"/>
      <c r="OZL16" s="34"/>
      <c r="OZM16" s="34"/>
      <c r="OZN16" s="34"/>
      <c r="OZO16" s="34"/>
      <c r="OZP16" s="34"/>
      <c r="OZQ16" s="34"/>
      <c r="OZR16" s="34"/>
      <c r="OZS16" s="34"/>
      <c r="OZT16" s="34"/>
      <c r="OZU16" s="34"/>
      <c r="OZV16" s="34"/>
      <c r="OZW16" s="34"/>
      <c r="OZX16" s="34"/>
      <c r="OZY16" s="34"/>
      <c r="OZZ16" s="34"/>
      <c r="PAA16" s="34"/>
      <c r="PAB16" s="34"/>
      <c r="PAC16" s="34"/>
      <c r="PAD16" s="34"/>
      <c r="PAE16" s="34"/>
      <c r="PAF16" s="34"/>
      <c r="PAG16" s="34"/>
      <c r="PAH16" s="34"/>
      <c r="PAI16" s="34"/>
      <c r="PAJ16" s="34"/>
      <c r="PAK16" s="34"/>
      <c r="PAL16" s="34"/>
      <c r="PAM16" s="34"/>
      <c r="PAN16" s="34"/>
      <c r="PAO16" s="34"/>
      <c r="PAP16" s="34"/>
      <c r="PAQ16" s="34"/>
      <c r="PAR16" s="34"/>
      <c r="PAS16" s="34"/>
      <c r="PAT16" s="34"/>
      <c r="PAU16" s="34"/>
      <c r="PAV16" s="34"/>
      <c r="PAW16" s="34"/>
      <c r="PAX16" s="34"/>
      <c r="PAY16" s="34"/>
      <c r="PAZ16" s="34"/>
      <c r="PBA16" s="34"/>
      <c r="PBB16" s="34"/>
      <c r="PBC16" s="34"/>
      <c r="PBD16" s="34"/>
      <c r="PBE16" s="34"/>
      <c r="PBF16" s="34"/>
      <c r="PBG16" s="34"/>
      <c r="PBH16" s="34"/>
      <c r="PBI16" s="34"/>
      <c r="PBJ16" s="34"/>
      <c r="PBK16" s="34"/>
      <c r="PBL16" s="34"/>
      <c r="PBM16" s="34"/>
      <c r="PBN16" s="34"/>
      <c r="PBO16" s="34"/>
      <c r="PBP16" s="34"/>
      <c r="PBQ16" s="34"/>
      <c r="PBR16" s="34"/>
      <c r="PBS16" s="34"/>
      <c r="PBT16" s="34"/>
      <c r="PBU16" s="34"/>
      <c r="PBV16" s="34"/>
      <c r="PBW16" s="34"/>
      <c r="PBX16" s="34"/>
      <c r="PBY16" s="34"/>
      <c r="PBZ16" s="34"/>
      <c r="PCA16" s="34"/>
      <c r="PCB16" s="34"/>
      <c r="PCC16" s="34"/>
      <c r="PCD16" s="34"/>
      <c r="PCE16" s="34"/>
      <c r="PCF16" s="34"/>
      <c r="PCG16" s="34"/>
      <c r="PCH16" s="34"/>
      <c r="PCI16" s="34"/>
      <c r="PCJ16" s="34"/>
      <c r="PCK16" s="34"/>
      <c r="PCL16" s="34"/>
      <c r="PCM16" s="34"/>
      <c r="PCN16" s="34"/>
      <c r="PCO16" s="34"/>
      <c r="PCP16" s="34"/>
      <c r="PCQ16" s="34"/>
      <c r="PCR16" s="34"/>
      <c r="PCS16" s="34"/>
      <c r="PCT16" s="34"/>
      <c r="PCU16" s="34"/>
      <c r="PCV16" s="34"/>
      <c r="PCW16" s="34"/>
      <c r="PCX16" s="34"/>
      <c r="PCY16" s="34"/>
      <c r="PCZ16" s="34"/>
      <c r="PDA16" s="34"/>
      <c r="PDB16" s="34"/>
      <c r="PDC16" s="34"/>
      <c r="PDD16" s="34"/>
      <c r="PDE16" s="34"/>
      <c r="PDF16" s="34"/>
      <c r="PDG16" s="34"/>
      <c r="PDH16" s="34"/>
      <c r="PDI16" s="34"/>
      <c r="PDJ16" s="34"/>
      <c r="PDK16" s="34"/>
      <c r="PDL16" s="34"/>
      <c r="PDM16" s="34"/>
      <c r="PDN16" s="34"/>
      <c r="PDO16" s="34"/>
      <c r="PDP16" s="34"/>
      <c r="PDQ16" s="34"/>
      <c r="PDR16" s="34"/>
      <c r="PDS16" s="34"/>
      <c r="PDT16" s="34"/>
      <c r="PDU16" s="34"/>
      <c r="PDV16" s="34"/>
      <c r="PDW16" s="34"/>
      <c r="PDX16" s="34"/>
      <c r="PDY16" s="34"/>
      <c r="PDZ16" s="34"/>
      <c r="PEA16" s="34"/>
      <c r="PEB16" s="34"/>
      <c r="PEC16" s="34"/>
      <c r="PED16" s="34"/>
      <c r="PEE16" s="34"/>
      <c r="PEF16" s="34"/>
      <c r="PEG16" s="34"/>
      <c r="PEH16" s="34"/>
      <c r="PEI16" s="34"/>
      <c r="PEJ16" s="34"/>
      <c r="PEK16" s="34"/>
      <c r="PEL16" s="34"/>
      <c r="PEM16" s="34"/>
      <c r="PEN16" s="34"/>
      <c r="PEO16" s="34"/>
      <c r="PEP16" s="34"/>
      <c r="PEQ16" s="34"/>
      <c r="PER16" s="34"/>
      <c r="PES16" s="34"/>
      <c r="PET16" s="34"/>
      <c r="PEU16" s="34"/>
      <c r="PEV16" s="34"/>
      <c r="PEW16" s="34"/>
      <c r="PEX16" s="34"/>
      <c r="PEY16" s="34"/>
      <c r="PEZ16" s="34"/>
      <c r="PFA16" s="34"/>
      <c r="PFB16" s="34"/>
      <c r="PFC16" s="34"/>
      <c r="PFD16" s="34"/>
      <c r="PFE16" s="34"/>
      <c r="PFF16" s="34"/>
      <c r="PFG16" s="34"/>
      <c r="PFH16" s="34"/>
      <c r="PFI16" s="34"/>
      <c r="PFJ16" s="34"/>
      <c r="PFK16" s="34"/>
      <c r="PFL16" s="34"/>
      <c r="PFM16" s="34"/>
      <c r="PFN16" s="34"/>
      <c r="PFO16" s="34"/>
      <c r="PFP16" s="34"/>
      <c r="PFQ16" s="34"/>
      <c r="PFR16" s="34"/>
      <c r="PFS16" s="34"/>
      <c r="PFT16" s="34"/>
      <c r="PFU16" s="34"/>
      <c r="PFV16" s="34"/>
      <c r="PFW16" s="34"/>
      <c r="PFX16" s="34"/>
      <c r="PFY16" s="34"/>
      <c r="PFZ16" s="34"/>
      <c r="PGA16" s="34"/>
      <c r="PGB16" s="34"/>
      <c r="PGC16" s="34"/>
      <c r="PGD16" s="34"/>
      <c r="PGE16" s="34"/>
      <c r="PGF16" s="34"/>
      <c r="PGG16" s="34"/>
      <c r="PGH16" s="34"/>
      <c r="PGI16" s="34"/>
      <c r="PGJ16" s="34"/>
      <c r="PGK16" s="34"/>
      <c r="PGL16" s="34"/>
      <c r="PGM16" s="34"/>
      <c r="PGN16" s="34"/>
      <c r="PGO16" s="34"/>
      <c r="PGP16" s="34"/>
      <c r="PGQ16" s="34"/>
      <c r="PGR16" s="34"/>
      <c r="PGS16" s="34"/>
      <c r="PGT16" s="34"/>
      <c r="PGU16" s="34"/>
      <c r="PGV16" s="34"/>
      <c r="PGW16" s="34"/>
      <c r="PGX16" s="34"/>
      <c r="PGY16" s="34"/>
      <c r="PGZ16" s="34"/>
      <c r="PHA16" s="34"/>
      <c r="PHB16" s="34"/>
      <c r="PHC16" s="34"/>
      <c r="PHD16" s="34"/>
      <c r="PHE16" s="34"/>
      <c r="PHF16" s="34"/>
      <c r="PHG16" s="34"/>
      <c r="PHH16" s="34"/>
      <c r="PHI16" s="34"/>
      <c r="PHJ16" s="34"/>
      <c r="PHK16" s="34"/>
      <c r="PHL16" s="34"/>
      <c r="PHM16" s="34"/>
      <c r="PHN16" s="34"/>
      <c r="PHO16" s="34"/>
      <c r="PHP16" s="34"/>
      <c r="PHQ16" s="34"/>
      <c r="PHR16" s="34"/>
      <c r="PHS16" s="34"/>
      <c r="PHT16" s="34"/>
      <c r="PHU16" s="34"/>
      <c r="PHV16" s="34"/>
      <c r="PHW16" s="34"/>
      <c r="PHX16" s="34"/>
      <c r="PHY16" s="34"/>
      <c r="PHZ16" s="34"/>
      <c r="PIA16" s="34"/>
      <c r="PIB16" s="34"/>
      <c r="PIC16" s="34"/>
      <c r="PID16" s="34"/>
      <c r="PIE16" s="34"/>
      <c r="PIF16" s="34"/>
      <c r="PIG16" s="34"/>
      <c r="PIH16" s="34"/>
      <c r="PII16" s="34"/>
      <c r="PIJ16" s="34"/>
      <c r="PIK16" s="34"/>
      <c r="PIL16" s="34"/>
      <c r="PIM16" s="34"/>
      <c r="PIN16" s="34"/>
      <c r="PIO16" s="34"/>
      <c r="PIP16" s="34"/>
      <c r="PIQ16" s="34"/>
      <c r="PIR16" s="34"/>
      <c r="PIS16" s="34"/>
      <c r="PIT16" s="34"/>
      <c r="PIU16" s="34"/>
      <c r="PIV16" s="34"/>
      <c r="PIW16" s="34"/>
      <c r="PIX16" s="34"/>
      <c r="PIY16" s="34"/>
      <c r="PIZ16" s="34"/>
      <c r="PJA16" s="34"/>
      <c r="PJB16" s="34"/>
      <c r="PJC16" s="34"/>
      <c r="PJD16" s="34"/>
      <c r="PJE16" s="34"/>
      <c r="PJF16" s="34"/>
      <c r="PJG16" s="34"/>
      <c r="PJH16" s="34"/>
      <c r="PJI16" s="34"/>
      <c r="PJJ16" s="34"/>
      <c r="PJK16" s="34"/>
      <c r="PJL16" s="34"/>
      <c r="PJM16" s="34"/>
      <c r="PJN16" s="34"/>
      <c r="PJO16" s="34"/>
      <c r="PJP16" s="34"/>
      <c r="PJQ16" s="34"/>
      <c r="PJR16" s="34"/>
      <c r="PJS16" s="34"/>
      <c r="PJT16" s="34"/>
      <c r="PJU16" s="34"/>
      <c r="PJV16" s="34"/>
      <c r="PJW16" s="34"/>
      <c r="PJX16" s="34"/>
      <c r="PJY16" s="34"/>
      <c r="PJZ16" s="34"/>
      <c r="PKA16" s="34"/>
      <c r="PKB16" s="34"/>
      <c r="PKC16" s="34"/>
      <c r="PKD16" s="34"/>
      <c r="PKE16" s="34"/>
      <c r="PKF16" s="34"/>
      <c r="PKG16" s="34"/>
      <c r="PKH16" s="34"/>
      <c r="PKI16" s="34"/>
      <c r="PKJ16" s="34"/>
      <c r="PKK16" s="34"/>
      <c r="PKL16" s="34"/>
      <c r="PKM16" s="34"/>
      <c r="PKN16" s="34"/>
      <c r="PKO16" s="34"/>
      <c r="PKP16" s="34"/>
      <c r="PKQ16" s="34"/>
      <c r="PKR16" s="34"/>
      <c r="PKS16" s="34"/>
      <c r="PKT16" s="34"/>
      <c r="PKU16" s="34"/>
      <c r="PKV16" s="34"/>
      <c r="PKW16" s="34"/>
      <c r="PKX16" s="34"/>
      <c r="PKY16" s="34"/>
      <c r="PKZ16" s="34"/>
      <c r="PLA16" s="34"/>
      <c r="PLB16" s="34"/>
      <c r="PLC16" s="34"/>
      <c r="PLD16" s="34"/>
      <c r="PLE16" s="34"/>
      <c r="PLF16" s="34"/>
      <c r="PLG16" s="34"/>
      <c r="PLH16" s="34"/>
      <c r="PLI16" s="34"/>
      <c r="PLJ16" s="34"/>
      <c r="PLK16" s="34"/>
      <c r="PLL16" s="34"/>
      <c r="PLM16" s="34"/>
      <c r="PLN16" s="34"/>
      <c r="PLO16" s="34"/>
      <c r="PLP16" s="34"/>
      <c r="PLQ16" s="34"/>
      <c r="PLR16" s="34"/>
      <c r="PLS16" s="34"/>
      <c r="PLT16" s="34"/>
      <c r="PLU16" s="34"/>
      <c r="PLV16" s="34"/>
      <c r="PLW16" s="34"/>
      <c r="PLX16" s="34"/>
      <c r="PLY16" s="34"/>
      <c r="PLZ16" s="34"/>
      <c r="PMA16" s="34"/>
      <c r="PMB16" s="34"/>
      <c r="PMC16" s="34"/>
      <c r="PMD16" s="34"/>
      <c r="PME16" s="34"/>
      <c r="PMF16" s="34"/>
      <c r="PMG16" s="34"/>
      <c r="PMH16" s="34"/>
      <c r="PMI16" s="34"/>
      <c r="PMJ16" s="34"/>
      <c r="PMK16" s="34"/>
      <c r="PML16" s="34"/>
      <c r="PMM16" s="34"/>
      <c r="PMN16" s="34"/>
      <c r="PMO16" s="34"/>
      <c r="PMP16" s="34"/>
      <c r="PMQ16" s="34"/>
      <c r="PMR16" s="34"/>
      <c r="PMS16" s="34"/>
      <c r="PMT16" s="34"/>
      <c r="PMU16" s="34"/>
      <c r="PMV16" s="34"/>
      <c r="PMW16" s="34"/>
      <c r="PMX16" s="34"/>
      <c r="PMY16" s="34"/>
      <c r="PMZ16" s="34"/>
      <c r="PNA16" s="34"/>
      <c r="PNB16" s="34"/>
      <c r="PNC16" s="34"/>
      <c r="PND16" s="34"/>
      <c r="PNE16" s="34"/>
      <c r="PNF16" s="34"/>
      <c r="PNG16" s="34"/>
      <c r="PNH16" s="34"/>
      <c r="PNI16" s="34"/>
      <c r="PNJ16" s="34"/>
      <c r="PNK16" s="34"/>
      <c r="PNL16" s="34"/>
      <c r="PNM16" s="34"/>
      <c r="PNN16" s="34"/>
      <c r="PNO16" s="34"/>
      <c r="PNP16" s="34"/>
      <c r="PNQ16" s="34"/>
      <c r="PNR16" s="34"/>
      <c r="PNS16" s="34"/>
      <c r="PNT16" s="34"/>
      <c r="PNU16" s="34"/>
      <c r="PNV16" s="34"/>
      <c r="PNW16" s="34"/>
      <c r="PNX16" s="34"/>
      <c r="PNY16" s="34"/>
      <c r="PNZ16" s="34"/>
      <c r="POA16" s="34"/>
      <c r="POB16" s="34"/>
      <c r="POC16" s="34"/>
      <c r="POD16" s="34"/>
      <c r="POE16" s="34"/>
      <c r="POF16" s="34"/>
      <c r="POG16" s="34"/>
      <c r="POH16" s="34"/>
      <c r="POI16" s="34"/>
      <c r="POJ16" s="34"/>
      <c r="POK16" s="34"/>
      <c r="POL16" s="34"/>
      <c r="POM16" s="34"/>
      <c r="PON16" s="34"/>
      <c r="POO16" s="34"/>
      <c r="POP16" s="34"/>
      <c r="POQ16" s="34"/>
      <c r="POR16" s="34"/>
      <c r="POS16" s="34"/>
      <c r="POT16" s="34"/>
      <c r="POU16" s="34"/>
      <c r="POV16" s="34"/>
      <c r="POW16" s="34"/>
      <c r="POX16" s="34"/>
      <c r="POY16" s="34"/>
      <c r="POZ16" s="34"/>
      <c r="PPA16" s="34"/>
      <c r="PPB16" s="34"/>
      <c r="PPC16" s="34"/>
      <c r="PPD16" s="34"/>
      <c r="PPE16" s="34"/>
      <c r="PPF16" s="34"/>
      <c r="PPG16" s="34"/>
      <c r="PPH16" s="34"/>
      <c r="PPI16" s="34"/>
      <c r="PPJ16" s="34"/>
      <c r="PPK16" s="34"/>
      <c r="PPL16" s="34"/>
      <c r="PPM16" s="34"/>
      <c r="PPN16" s="34"/>
      <c r="PPO16" s="34"/>
      <c r="PPP16" s="34"/>
      <c r="PPQ16" s="34"/>
      <c r="PPR16" s="34"/>
      <c r="PPS16" s="34"/>
      <c r="PPT16" s="34"/>
      <c r="PPU16" s="34"/>
      <c r="PPV16" s="34"/>
      <c r="PPW16" s="34"/>
      <c r="PPX16" s="34"/>
      <c r="PPY16" s="34"/>
      <c r="PPZ16" s="34"/>
      <c r="PQA16" s="34"/>
      <c r="PQB16" s="34"/>
      <c r="PQC16" s="34"/>
      <c r="PQD16" s="34"/>
      <c r="PQE16" s="34"/>
      <c r="PQF16" s="34"/>
      <c r="PQG16" s="34"/>
      <c r="PQH16" s="34"/>
      <c r="PQI16" s="34"/>
      <c r="PQJ16" s="34"/>
      <c r="PQK16" s="34"/>
      <c r="PQL16" s="34"/>
      <c r="PQM16" s="34"/>
      <c r="PQN16" s="34"/>
      <c r="PQO16" s="34"/>
      <c r="PQP16" s="34"/>
      <c r="PQQ16" s="34"/>
      <c r="PQR16" s="34"/>
      <c r="PQS16" s="34"/>
      <c r="PQT16" s="34"/>
      <c r="PQU16" s="34"/>
      <c r="PQV16" s="34"/>
      <c r="PQW16" s="34"/>
      <c r="PQX16" s="34"/>
      <c r="PQY16" s="34"/>
      <c r="PQZ16" s="34"/>
      <c r="PRA16" s="34"/>
      <c r="PRB16" s="34"/>
      <c r="PRC16" s="34"/>
      <c r="PRD16" s="34"/>
      <c r="PRE16" s="34"/>
      <c r="PRF16" s="34"/>
      <c r="PRG16" s="34"/>
      <c r="PRH16" s="34"/>
      <c r="PRI16" s="34"/>
      <c r="PRJ16" s="34"/>
      <c r="PRK16" s="34"/>
      <c r="PRL16" s="34"/>
      <c r="PRM16" s="34"/>
      <c r="PRN16" s="34"/>
      <c r="PRO16" s="34"/>
      <c r="PRP16" s="34"/>
      <c r="PRQ16" s="34"/>
      <c r="PRR16" s="34"/>
      <c r="PRS16" s="34"/>
      <c r="PRT16" s="34"/>
      <c r="PRU16" s="34"/>
      <c r="PRV16" s="34"/>
      <c r="PRW16" s="34"/>
      <c r="PRX16" s="34"/>
      <c r="PRY16" s="34"/>
      <c r="PRZ16" s="34"/>
      <c r="PSA16" s="34"/>
      <c r="PSB16" s="34"/>
      <c r="PSC16" s="34"/>
      <c r="PSD16" s="34"/>
      <c r="PSE16" s="34"/>
      <c r="PSF16" s="34"/>
      <c r="PSG16" s="34"/>
      <c r="PSH16" s="34"/>
      <c r="PSI16" s="34"/>
      <c r="PSJ16" s="34"/>
      <c r="PSK16" s="34"/>
      <c r="PSL16" s="34"/>
      <c r="PSM16" s="34"/>
      <c r="PSN16" s="34"/>
      <c r="PSO16" s="34"/>
      <c r="PSP16" s="34"/>
      <c r="PSQ16" s="34"/>
      <c r="PSR16" s="34"/>
      <c r="PSS16" s="34"/>
      <c r="PST16" s="34"/>
      <c r="PSU16" s="34"/>
      <c r="PSV16" s="34"/>
      <c r="PSW16" s="34"/>
      <c r="PSX16" s="34"/>
      <c r="PSY16" s="34"/>
      <c r="PSZ16" s="34"/>
      <c r="PTA16" s="34"/>
      <c r="PTB16" s="34"/>
      <c r="PTC16" s="34"/>
      <c r="PTD16" s="34"/>
      <c r="PTE16" s="34"/>
      <c r="PTF16" s="34"/>
      <c r="PTG16" s="34"/>
      <c r="PTH16" s="34"/>
      <c r="PTI16" s="34"/>
      <c r="PTJ16" s="34"/>
      <c r="PTK16" s="34"/>
      <c r="PTL16" s="34"/>
      <c r="PTM16" s="34"/>
      <c r="PTN16" s="34"/>
      <c r="PTO16" s="34"/>
      <c r="PTP16" s="34"/>
      <c r="PTQ16" s="34"/>
      <c r="PTR16" s="34"/>
      <c r="PTS16" s="34"/>
      <c r="PTT16" s="34"/>
      <c r="PTU16" s="34"/>
      <c r="PTV16" s="34"/>
      <c r="PTW16" s="34"/>
      <c r="PTX16" s="34"/>
      <c r="PTY16" s="34"/>
      <c r="PTZ16" s="34"/>
      <c r="PUA16" s="34"/>
      <c r="PUB16" s="34"/>
      <c r="PUC16" s="34"/>
      <c r="PUD16" s="34"/>
      <c r="PUE16" s="34"/>
      <c r="PUF16" s="34"/>
      <c r="PUG16" s="34"/>
      <c r="PUH16" s="34"/>
      <c r="PUI16" s="34"/>
      <c r="PUJ16" s="34"/>
      <c r="PUK16" s="34"/>
      <c r="PUL16" s="34"/>
      <c r="PUM16" s="34"/>
      <c r="PUN16" s="34"/>
      <c r="PUO16" s="34"/>
      <c r="PUP16" s="34"/>
      <c r="PUQ16" s="34"/>
      <c r="PUR16" s="34"/>
      <c r="PUS16" s="34"/>
      <c r="PUT16" s="34"/>
      <c r="PUU16" s="34"/>
      <c r="PUV16" s="34"/>
      <c r="PUW16" s="34"/>
      <c r="PUX16" s="34"/>
      <c r="PUY16" s="34"/>
      <c r="PUZ16" s="34"/>
      <c r="PVA16" s="34"/>
      <c r="PVB16" s="34"/>
      <c r="PVC16" s="34"/>
      <c r="PVD16" s="34"/>
      <c r="PVE16" s="34"/>
      <c r="PVF16" s="34"/>
      <c r="PVG16" s="34"/>
      <c r="PVH16" s="34"/>
      <c r="PVI16" s="34"/>
      <c r="PVJ16" s="34"/>
      <c r="PVK16" s="34"/>
      <c r="PVL16" s="34"/>
      <c r="PVM16" s="34"/>
      <c r="PVN16" s="34"/>
      <c r="PVO16" s="34"/>
      <c r="PVP16" s="34"/>
      <c r="PVQ16" s="34"/>
      <c r="PVR16" s="34"/>
      <c r="PVS16" s="34"/>
      <c r="PVT16" s="34"/>
      <c r="PVU16" s="34"/>
      <c r="PVV16" s="34"/>
      <c r="PVW16" s="34"/>
      <c r="PVX16" s="34"/>
      <c r="PVY16" s="34"/>
      <c r="PVZ16" s="34"/>
      <c r="PWA16" s="34"/>
      <c r="PWB16" s="34"/>
      <c r="PWC16" s="34"/>
      <c r="PWD16" s="34"/>
      <c r="PWE16" s="34"/>
      <c r="PWF16" s="34"/>
      <c r="PWG16" s="34"/>
      <c r="PWH16" s="34"/>
      <c r="PWI16" s="34"/>
      <c r="PWJ16" s="34"/>
      <c r="PWK16" s="34"/>
      <c r="PWL16" s="34"/>
      <c r="PWM16" s="34"/>
      <c r="PWN16" s="34"/>
      <c r="PWO16" s="34"/>
      <c r="PWP16" s="34"/>
      <c r="PWQ16" s="34"/>
      <c r="PWR16" s="34"/>
      <c r="PWS16" s="34"/>
      <c r="PWT16" s="34"/>
      <c r="PWU16" s="34"/>
      <c r="PWV16" s="34"/>
      <c r="PWW16" s="34"/>
      <c r="PWX16" s="34"/>
      <c r="PWY16" s="34"/>
      <c r="PWZ16" s="34"/>
      <c r="PXA16" s="34"/>
      <c r="PXB16" s="34"/>
      <c r="PXC16" s="34"/>
      <c r="PXD16" s="34"/>
      <c r="PXE16" s="34"/>
      <c r="PXF16" s="34"/>
      <c r="PXG16" s="34"/>
      <c r="PXH16" s="34"/>
      <c r="PXI16" s="34"/>
      <c r="PXJ16" s="34"/>
      <c r="PXK16" s="34"/>
      <c r="PXL16" s="34"/>
      <c r="PXM16" s="34"/>
      <c r="PXN16" s="34"/>
      <c r="PXO16" s="34"/>
      <c r="PXP16" s="34"/>
      <c r="PXQ16" s="34"/>
      <c r="PXR16" s="34"/>
      <c r="PXS16" s="34"/>
      <c r="PXT16" s="34"/>
      <c r="PXU16" s="34"/>
      <c r="PXV16" s="34"/>
      <c r="PXW16" s="34"/>
      <c r="PXX16" s="34"/>
      <c r="PXY16" s="34"/>
      <c r="PXZ16" s="34"/>
      <c r="PYA16" s="34"/>
      <c r="PYB16" s="34"/>
      <c r="PYC16" s="34"/>
      <c r="PYD16" s="34"/>
      <c r="PYE16" s="34"/>
      <c r="PYF16" s="34"/>
      <c r="PYG16" s="34"/>
      <c r="PYH16" s="34"/>
      <c r="PYI16" s="34"/>
      <c r="PYJ16" s="34"/>
      <c r="PYK16" s="34"/>
      <c r="PYL16" s="34"/>
      <c r="PYM16" s="34"/>
      <c r="PYN16" s="34"/>
      <c r="PYO16" s="34"/>
      <c r="PYP16" s="34"/>
      <c r="PYQ16" s="34"/>
      <c r="PYR16" s="34"/>
      <c r="PYS16" s="34"/>
      <c r="PYT16" s="34"/>
      <c r="PYU16" s="34"/>
      <c r="PYV16" s="34"/>
      <c r="PYW16" s="34"/>
      <c r="PYX16" s="34"/>
      <c r="PYY16" s="34"/>
      <c r="PYZ16" s="34"/>
      <c r="PZA16" s="34"/>
      <c r="PZB16" s="34"/>
      <c r="PZC16" s="34"/>
      <c r="PZD16" s="34"/>
      <c r="PZE16" s="34"/>
      <c r="PZF16" s="34"/>
      <c r="PZG16" s="34"/>
      <c r="PZH16" s="34"/>
      <c r="PZI16" s="34"/>
      <c r="PZJ16" s="34"/>
      <c r="PZK16" s="34"/>
      <c r="PZL16" s="34"/>
      <c r="PZM16" s="34"/>
      <c r="PZN16" s="34"/>
      <c r="PZO16" s="34"/>
      <c r="PZP16" s="34"/>
      <c r="PZQ16" s="34"/>
      <c r="PZR16" s="34"/>
      <c r="PZS16" s="34"/>
      <c r="PZT16" s="34"/>
      <c r="PZU16" s="34"/>
      <c r="PZV16" s="34"/>
      <c r="PZW16" s="34"/>
      <c r="PZX16" s="34"/>
      <c r="PZY16" s="34"/>
      <c r="PZZ16" s="34"/>
      <c r="QAA16" s="34"/>
      <c r="QAB16" s="34"/>
      <c r="QAC16" s="34"/>
      <c r="QAD16" s="34"/>
      <c r="QAE16" s="34"/>
      <c r="QAF16" s="34"/>
      <c r="QAG16" s="34"/>
      <c r="QAH16" s="34"/>
      <c r="QAI16" s="34"/>
      <c r="QAJ16" s="34"/>
      <c r="QAK16" s="34"/>
      <c r="QAL16" s="34"/>
      <c r="QAM16" s="34"/>
      <c r="QAN16" s="34"/>
      <c r="QAO16" s="34"/>
      <c r="QAP16" s="34"/>
      <c r="QAQ16" s="34"/>
      <c r="QAR16" s="34"/>
      <c r="QAS16" s="34"/>
      <c r="QAT16" s="34"/>
      <c r="QAU16" s="34"/>
      <c r="QAV16" s="34"/>
      <c r="QAW16" s="34"/>
      <c r="QAX16" s="34"/>
      <c r="QAY16" s="34"/>
      <c r="QAZ16" s="34"/>
      <c r="QBA16" s="34"/>
      <c r="QBB16" s="34"/>
      <c r="QBC16" s="34"/>
      <c r="QBD16" s="34"/>
      <c r="QBE16" s="34"/>
      <c r="QBF16" s="34"/>
      <c r="QBG16" s="34"/>
      <c r="QBH16" s="34"/>
      <c r="QBI16" s="34"/>
      <c r="QBJ16" s="34"/>
      <c r="QBK16" s="34"/>
      <c r="QBL16" s="34"/>
      <c r="QBM16" s="34"/>
      <c r="QBN16" s="34"/>
      <c r="QBO16" s="34"/>
      <c r="QBP16" s="34"/>
      <c r="QBQ16" s="34"/>
      <c r="QBR16" s="34"/>
      <c r="QBS16" s="34"/>
      <c r="QBT16" s="34"/>
      <c r="QBU16" s="34"/>
      <c r="QBV16" s="34"/>
      <c r="QBW16" s="34"/>
      <c r="QBX16" s="34"/>
      <c r="QBY16" s="34"/>
      <c r="QBZ16" s="34"/>
      <c r="QCA16" s="34"/>
      <c r="QCB16" s="34"/>
      <c r="QCC16" s="34"/>
      <c r="QCD16" s="34"/>
      <c r="QCE16" s="34"/>
      <c r="QCF16" s="34"/>
      <c r="QCG16" s="34"/>
      <c r="QCH16" s="34"/>
      <c r="QCI16" s="34"/>
      <c r="QCJ16" s="34"/>
      <c r="QCK16" s="34"/>
      <c r="QCL16" s="34"/>
      <c r="QCM16" s="34"/>
      <c r="QCN16" s="34"/>
      <c r="QCO16" s="34"/>
      <c r="QCP16" s="34"/>
      <c r="QCQ16" s="34"/>
      <c r="QCR16" s="34"/>
      <c r="QCS16" s="34"/>
      <c r="QCT16" s="34"/>
      <c r="QCU16" s="34"/>
      <c r="QCV16" s="34"/>
      <c r="QCW16" s="34"/>
      <c r="QCX16" s="34"/>
      <c r="QCY16" s="34"/>
      <c r="QCZ16" s="34"/>
      <c r="QDA16" s="34"/>
      <c r="QDB16" s="34"/>
      <c r="QDC16" s="34"/>
      <c r="QDD16" s="34"/>
      <c r="QDE16" s="34"/>
      <c r="QDF16" s="34"/>
      <c r="QDG16" s="34"/>
      <c r="QDH16" s="34"/>
      <c r="QDI16" s="34"/>
      <c r="QDJ16" s="34"/>
      <c r="QDK16" s="34"/>
      <c r="QDL16" s="34"/>
      <c r="QDM16" s="34"/>
      <c r="QDN16" s="34"/>
      <c r="QDO16" s="34"/>
      <c r="QDP16" s="34"/>
      <c r="QDQ16" s="34"/>
      <c r="QDR16" s="34"/>
      <c r="QDS16" s="34"/>
      <c r="QDT16" s="34"/>
      <c r="QDU16" s="34"/>
      <c r="QDV16" s="34"/>
      <c r="QDW16" s="34"/>
      <c r="QDX16" s="34"/>
      <c r="QDY16" s="34"/>
      <c r="QDZ16" s="34"/>
      <c r="QEA16" s="34"/>
      <c r="QEB16" s="34"/>
      <c r="QEC16" s="34"/>
      <c r="QED16" s="34"/>
      <c r="QEE16" s="34"/>
      <c r="QEF16" s="34"/>
      <c r="QEG16" s="34"/>
      <c r="QEH16" s="34"/>
      <c r="QEI16" s="34"/>
      <c r="QEJ16" s="34"/>
      <c r="QEK16" s="34"/>
      <c r="QEL16" s="34"/>
      <c r="QEM16" s="34"/>
      <c r="QEN16" s="34"/>
      <c r="QEO16" s="34"/>
      <c r="QEP16" s="34"/>
      <c r="QEQ16" s="34"/>
      <c r="QER16" s="34"/>
      <c r="QES16" s="34"/>
      <c r="QET16" s="34"/>
      <c r="QEU16" s="34"/>
      <c r="QEV16" s="34"/>
      <c r="QEW16" s="34"/>
      <c r="QEX16" s="34"/>
      <c r="QEY16" s="34"/>
      <c r="QEZ16" s="34"/>
      <c r="QFA16" s="34"/>
      <c r="QFB16" s="34"/>
      <c r="QFC16" s="34"/>
      <c r="QFD16" s="34"/>
      <c r="QFE16" s="34"/>
      <c r="QFF16" s="34"/>
      <c r="QFG16" s="34"/>
      <c r="QFH16" s="34"/>
      <c r="QFI16" s="34"/>
      <c r="QFJ16" s="34"/>
      <c r="QFK16" s="34"/>
      <c r="QFL16" s="34"/>
      <c r="QFM16" s="34"/>
      <c r="QFN16" s="34"/>
      <c r="QFO16" s="34"/>
      <c r="QFP16" s="34"/>
      <c r="QFQ16" s="34"/>
      <c r="QFR16" s="34"/>
      <c r="QFS16" s="34"/>
      <c r="QFT16" s="34"/>
      <c r="QFU16" s="34"/>
      <c r="QFV16" s="34"/>
      <c r="QFW16" s="34"/>
      <c r="QFX16" s="34"/>
      <c r="QFY16" s="34"/>
      <c r="QFZ16" s="34"/>
      <c r="QGA16" s="34"/>
      <c r="QGB16" s="34"/>
      <c r="QGC16" s="34"/>
      <c r="QGD16" s="34"/>
      <c r="QGE16" s="34"/>
      <c r="QGF16" s="34"/>
      <c r="QGG16" s="34"/>
      <c r="QGH16" s="34"/>
      <c r="QGI16" s="34"/>
      <c r="QGJ16" s="34"/>
      <c r="QGK16" s="34"/>
      <c r="QGL16" s="34"/>
      <c r="QGM16" s="34"/>
      <c r="QGN16" s="34"/>
      <c r="QGO16" s="34"/>
      <c r="QGP16" s="34"/>
      <c r="QGQ16" s="34"/>
      <c r="QGR16" s="34"/>
      <c r="QGS16" s="34"/>
      <c r="QGT16" s="34"/>
      <c r="QGU16" s="34"/>
      <c r="QGV16" s="34"/>
      <c r="QGW16" s="34"/>
      <c r="QGX16" s="34"/>
      <c r="QGY16" s="34"/>
      <c r="QGZ16" s="34"/>
      <c r="QHA16" s="34"/>
      <c r="QHB16" s="34"/>
      <c r="QHC16" s="34"/>
      <c r="QHD16" s="34"/>
      <c r="QHE16" s="34"/>
      <c r="QHF16" s="34"/>
      <c r="QHG16" s="34"/>
      <c r="QHH16" s="34"/>
      <c r="QHI16" s="34"/>
      <c r="QHJ16" s="34"/>
      <c r="QHK16" s="34"/>
      <c r="QHL16" s="34"/>
      <c r="QHM16" s="34"/>
      <c r="QHN16" s="34"/>
      <c r="QHO16" s="34"/>
      <c r="QHP16" s="34"/>
      <c r="QHQ16" s="34"/>
      <c r="QHR16" s="34"/>
      <c r="QHS16" s="34"/>
      <c r="QHT16" s="34"/>
      <c r="QHU16" s="34"/>
      <c r="QHV16" s="34"/>
      <c r="QHW16" s="34"/>
      <c r="QHX16" s="34"/>
      <c r="QHY16" s="34"/>
      <c r="QHZ16" s="34"/>
      <c r="QIA16" s="34"/>
      <c r="QIB16" s="34"/>
      <c r="QIC16" s="34"/>
      <c r="QID16" s="34"/>
      <c r="QIE16" s="34"/>
      <c r="QIF16" s="34"/>
      <c r="QIG16" s="34"/>
      <c r="QIH16" s="34"/>
      <c r="QII16" s="34"/>
      <c r="QIJ16" s="34"/>
      <c r="QIK16" s="34"/>
      <c r="QIL16" s="34"/>
      <c r="QIM16" s="34"/>
      <c r="QIN16" s="34"/>
      <c r="QIO16" s="34"/>
      <c r="QIP16" s="34"/>
      <c r="QIQ16" s="34"/>
      <c r="QIR16" s="34"/>
      <c r="QIS16" s="34"/>
      <c r="QIT16" s="34"/>
      <c r="QIU16" s="34"/>
      <c r="QIV16" s="34"/>
      <c r="QIW16" s="34"/>
      <c r="QIX16" s="34"/>
      <c r="QIY16" s="34"/>
      <c r="QIZ16" s="34"/>
      <c r="QJA16" s="34"/>
      <c r="QJB16" s="34"/>
      <c r="QJC16" s="34"/>
      <c r="QJD16" s="34"/>
      <c r="QJE16" s="34"/>
      <c r="QJF16" s="34"/>
      <c r="QJG16" s="34"/>
      <c r="QJH16" s="34"/>
      <c r="QJI16" s="34"/>
      <c r="QJJ16" s="34"/>
      <c r="QJK16" s="34"/>
      <c r="QJL16" s="34"/>
      <c r="QJM16" s="34"/>
      <c r="QJN16" s="34"/>
      <c r="QJO16" s="34"/>
      <c r="QJP16" s="34"/>
      <c r="QJQ16" s="34"/>
      <c r="QJR16" s="34"/>
      <c r="QJS16" s="34"/>
      <c r="QJT16" s="34"/>
      <c r="QJU16" s="34"/>
      <c r="QJV16" s="34"/>
      <c r="QJW16" s="34"/>
      <c r="QJX16" s="34"/>
      <c r="QJY16" s="34"/>
      <c r="QJZ16" s="34"/>
      <c r="QKA16" s="34"/>
      <c r="QKB16" s="34"/>
      <c r="QKC16" s="34"/>
      <c r="QKD16" s="34"/>
      <c r="QKE16" s="34"/>
      <c r="QKF16" s="34"/>
      <c r="QKG16" s="34"/>
      <c r="QKH16" s="34"/>
      <c r="QKI16" s="34"/>
      <c r="QKJ16" s="34"/>
      <c r="QKK16" s="34"/>
      <c r="QKL16" s="34"/>
      <c r="QKM16" s="34"/>
      <c r="QKN16" s="34"/>
      <c r="QKO16" s="34"/>
      <c r="QKP16" s="34"/>
      <c r="QKQ16" s="34"/>
      <c r="QKR16" s="34"/>
      <c r="QKS16" s="34"/>
      <c r="QKT16" s="34"/>
      <c r="QKU16" s="34"/>
      <c r="QKV16" s="34"/>
      <c r="QKW16" s="34"/>
      <c r="QKX16" s="34"/>
      <c r="QKY16" s="34"/>
      <c r="QKZ16" s="34"/>
      <c r="QLA16" s="34"/>
      <c r="QLB16" s="34"/>
      <c r="QLC16" s="34"/>
      <c r="QLD16" s="34"/>
      <c r="QLE16" s="34"/>
      <c r="QLF16" s="34"/>
      <c r="QLG16" s="34"/>
      <c r="QLH16" s="34"/>
      <c r="QLI16" s="34"/>
      <c r="QLJ16" s="34"/>
      <c r="QLK16" s="34"/>
      <c r="QLL16" s="34"/>
      <c r="QLM16" s="34"/>
      <c r="QLN16" s="34"/>
      <c r="QLO16" s="34"/>
      <c r="QLP16" s="34"/>
      <c r="QLQ16" s="34"/>
      <c r="QLR16" s="34"/>
      <c r="QLS16" s="34"/>
      <c r="QLT16" s="34"/>
      <c r="QLU16" s="34"/>
      <c r="QLV16" s="34"/>
      <c r="QLW16" s="34"/>
      <c r="QLX16" s="34"/>
      <c r="QLY16" s="34"/>
      <c r="QLZ16" s="34"/>
      <c r="QMA16" s="34"/>
      <c r="QMB16" s="34"/>
      <c r="QMC16" s="34"/>
      <c r="QMD16" s="34"/>
      <c r="QME16" s="34"/>
      <c r="QMF16" s="34"/>
      <c r="QMG16" s="34"/>
      <c r="QMH16" s="34"/>
      <c r="QMI16" s="34"/>
      <c r="QMJ16" s="34"/>
      <c r="QMK16" s="34"/>
      <c r="QML16" s="34"/>
      <c r="QMM16" s="34"/>
      <c r="QMN16" s="34"/>
      <c r="QMO16" s="34"/>
      <c r="QMP16" s="34"/>
      <c r="QMQ16" s="34"/>
      <c r="QMR16" s="34"/>
      <c r="QMS16" s="34"/>
      <c r="QMT16" s="34"/>
      <c r="QMU16" s="34"/>
      <c r="QMV16" s="34"/>
      <c r="QMW16" s="34"/>
      <c r="QMX16" s="34"/>
      <c r="QMY16" s="34"/>
      <c r="QMZ16" s="34"/>
      <c r="QNA16" s="34"/>
      <c r="QNB16" s="34"/>
      <c r="QNC16" s="34"/>
      <c r="QND16" s="34"/>
      <c r="QNE16" s="34"/>
      <c r="QNF16" s="34"/>
      <c r="QNG16" s="34"/>
      <c r="QNH16" s="34"/>
      <c r="QNI16" s="34"/>
      <c r="QNJ16" s="34"/>
      <c r="QNK16" s="34"/>
      <c r="QNL16" s="34"/>
      <c r="QNM16" s="34"/>
      <c r="QNN16" s="34"/>
      <c r="QNO16" s="34"/>
      <c r="QNP16" s="34"/>
      <c r="QNQ16" s="34"/>
      <c r="QNR16" s="34"/>
      <c r="QNS16" s="34"/>
      <c r="QNT16" s="34"/>
      <c r="QNU16" s="34"/>
      <c r="QNV16" s="34"/>
      <c r="QNW16" s="34"/>
      <c r="QNX16" s="34"/>
      <c r="QNY16" s="34"/>
      <c r="QNZ16" s="34"/>
      <c r="QOA16" s="34"/>
      <c r="QOB16" s="34"/>
      <c r="QOC16" s="34"/>
      <c r="QOD16" s="34"/>
      <c r="QOE16" s="34"/>
      <c r="QOF16" s="34"/>
      <c r="QOG16" s="34"/>
      <c r="QOH16" s="34"/>
      <c r="QOI16" s="34"/>
      <c r="QOJ16" s="34"/>
      <c r="QOK16" s="34"/>
      <c r="QOL16" s="34"/>
      <c r="QOM16" s="34"/>
      <c r="QON16" s="34"/>
      <c r="QOO16" s="34"/>
      <c r="QOP16" s="34"/>
      <c r="QOQ16" s="34"/>
      <c r="QOR16" s="34"/>
      <c r="QOS16" s="34"/>
      <c r="QOT16" s="34"/>
      <c r="QOU16" s="34"/>
      <c r="QOV16" s="34"/>
      <c r="QOW16" s="34"/>
      <c r="QOX16" s="34"/>
      <c r="QOY16" s="34"/>
      <c r="QOZ16" s="34"/>
      <c r="QPA16" s="34"/>
      <c r="QPB16" s="34"/>
      <c r="QPC16" s="34"/>
      <c r="QPD16" s="34"/>
      <c r="QPE16" s="34"/>
      <c r="QPF16" s="34"/>
      <c r="QPG16" s="34"/>
      <c r="QPH16" s="34"/>
      <c r="QPI16" s="34"/>
      <c r="QPJ16" s="34"/>
      <c r="QPK16" s="34"/>
      <c r="QPL16" s="34"/>
      <c r="QPM16" s="34"/>
      <c r="QPN16" s="34"/>
      <c r="QPO16" s="34"/>
      <c r="QPP16" s="34"/>
      <c r="QPQ16" s="34"/>
      <c r="QPR16" s="34"/>
      <c r="QPS16" s="34"/>
      <c r="QPT16" s="34"/>
      <c r="QPU16" s="34"/>
      <c r="QPV16" s="34"/>
      <c r="QPW16" s="34"/>
      <c r="QPX16" s="34"/>
      <c r="QPY16" s="34"/>
      <c r="QPZ16" s="34"/>
      <c r="QQA16" s="34"/>
      <c r="QQB16" s="34"/>
      <c r="QQC16" s="34"/>
      <c r="QQD16" s="34"/>
      <c r="QQE16" s="34"/>
      <c r="QQF16" s="34"/>
      <c r="QQG16" s="34"/>
      <c r="QQH16" s="34"/>
      <c r="QQI16" s="34"/>
      <c r="QQJ16" s="34"/>
      <c r="QQK16" s="34"/>
      <c r="QQL16" s="34"/>
      <c r="QQM16" s="34"/>
      <c r="QQN16" s="34"/>
      <c r="QQO16" s="34"/>
      <c r="QQP16" s="34"/>
      <c r="QQQ16" s="34"/>
      <c r="QQR16" s="34"/>
      <c r="QQS16" s="34"/>
      <c r="QQT16" s="34"/>
      <c r="QQU16" s="34"/>
      <c r="QQV16" s="34"/>
      <c r="QQW16" s="34"/>
      <c r="QQX16" s="34"/>
      <c r="QQY16" s="34"/>
      <c r="QQZ16" s="34"/>
      <c r="QRA16" s="34"/>
      <c r="QRB16" s="34"/>
      <c r="QRC16" s="34"/>
      <c r="QRD16" s="34"/>
      <c r="QRE16" s="34"/>
      <c r="QRF16" s="34"/>
      <c r="QRG16" s="34"/>
      <c r="QRH16" s="34"/>
      <c r="QRI16" s="34"/>
      <c r="QRJ16" s="34"/>
      <c r="QRK16" s="34"/>
      <c r="QRL16" s="34"/>
      <c r="QRM16" s="34"/>
      <c r="QRN16" s="34"/>
      <c r="QRO16" s="34"/>
      <c r="QRP16" s="34"/>
      <c r="QRQ16" s="34"/>
      <c r="QRR16" s="34"/>
      <c r="QRS16" s="34"/>
      <c r="QRT16" s="34"/>
      <c r="QRU16" s="34"/>
      <c r="QRV16" s="34"/>
      <c r="QRW16" s="34"/>
      <c r="QRX16" s="34"/>
      <c r="QRY16" s="34"/>
      <c r="QRZ16" s="34"/>
      <c r="QSA16" s="34"/>
      <c r="QSB16" s="34"/>
      <c r="QSC16" s="34"/>
      <c r="QSD16" s="34"/>
      <c r="QSE16" s="34"/>
      <c r="QSF16" s="34"/>
      <c r="QSG16" s="34"/>
      <c r="QSH16" s="34"/>
      <c r="QSI16" s="34"/>
      <c r="QSJ16" s="34"/>
      <c r="QSK16" s="34"/>
      <c r="QSL16" s="34"/>
      <c r="QSM16" s="34"/>
      <c r="QSN16" s="34"/>
      <c r="QSO16" s="34"/>
      <c r="QSP16" s="34"/>
      <c r="QSQ16" s="34"/>
      <c r="QSR16" s="34"/>
      <c r="QSS16" s="34"/>
      <c r="QST16" s="34"/>
      <c r="QSU16" s="34"/>
      <c r="QSV16" s="34"/>
      <c r="QSW16" s="34"/>
      <c r="QSX16" s="34"/>
      <c r="QSY16" s="34"/>
      <c r="QSZ16" s="34"/>
      <c r="QTA16" s="34"/>
      <c r="QTB16" s="34"/>
      <c r="QTC16" s="34"/>
      <c r="QTD16" s="34"/>
      <c r="QTE16" s="34"/>
      <c r="QTF16" s="34"/>
      <c r="QTG16" s="34"/>
      <c r="QTH16" s="34"/>
      <c r="QTI16" s="34"/>
      <c r="QTJ16" s="34"/>
      <c r="QTK16" s="34"/>
      <c r="QTL16" s="34"/>
      <c r="QTM16" s="34"/>
      <c r="QTN16" s="34"/>
      <c r="QTO16" s="34"/>
      <c r="QTP16" s="34"/>
      <c r="QTQ16" s="34"/>
      <c r="QTR16" s="34"/>
      <c r="QTS16" s="34"/>
      <c r="QTT16" s="34"/>
      <c r="QTU16" s="34"/>
      <c r="QTV16" s="34"/>
      <c r="QTW16" s="34"/>
      <c r="QTX16" s="34"/>
      <c r="QTY16" s="34"/>
      <c r="QTZ16" s="34"/>
      <c r="QUA16" s="34"/>
      <c r="QUB16" s="34"/>
      <c r="QUC16" s="34"/>
      <c r="QUD16" s="34"/>
      <c r="QUE16" s="34"/>
      <c r="QUF16" s="34"/>
      <c r="QUG16" s="34"/>
      <c r="QUH16" s="34"/>
      <c r="QUI16" s="34"/>
      <c r="QUJ16" s="34"/>
      <c r="QUK16" s="34"/>
      <c r="QUL16" s="34"/>
      <c r="QUM16" s="34"/>
      <c r="QUN16" s="34"/>
      <c r="QUO16" s="34"/>
      <c r="QUP16" s="34"/>
      <c r="QUQ16" s="34"/>
      <c r="QUR16" s="34"/>
      <c r="QUS16" s="34"/>
      <c r="QUT16" s="34"/>
      <c r="QUU16" s="34"/>
      <c r="QUV16" s="34"/>
      <c r="QUW16" s="34"/>
      <c r="QUX16" s="34"/>
      <c r="QUY16" s="34"/>
      <c r="QUZ16" s="34"/>
      <c r="QVA16" s="34"/>
      <c r="QVB16" s="34"/>
      <c r="QVC16" s="34"/>
      <c r="QVD16" s="34"/>
      <c r="QVE16" s="34"/>
      <c r="QVF16" s="34"/>
      <c r="QVG16" s="34"/>
      <c r="QVH16" s="34"/>
      <c r="QVI16" s="34"/>
      <c r="QVJ16" s="34"/>
      <c r="QVK16" s="34"/>
      <c r="QVL16" s="34"/>
      <c r="QVM16" s="34"/>
      <c r="QVN16" s="34"/>
      <c r="QVO16" s="34"/>
      <c r="QVP16" s="34"/>
      <c r="QVQ16" s="34"/>
      <c r="QVR16" s="34"/>
      <c r="QVS16" s="34"/>
      <c r="QVT16" s="34"/>
      <c r="QVU16" s="34"/>
      <c r="QVV16" s="34"/>
      <c r="QVW16" s="34"/>
      <c r="QVX16" s="34"/>
      <c r="QVY16" s="34"/>
      <c r="QVZ16" s="34"/>
      <c r="QWA16" s="34"/>
      <c r="QWB16" s="34"/>
      <c r="QWC16" s="34"/>
      <c r="QWD16" s="34"/>
      <c r="QWE16" s="34"/>
      <c r="QWF16" s="34"/>
      <c r="QWG16" s="34"/>
      <c r="QWH16" s="34"/>
      <c r="QWI16" s="34"/>
      <c r="QWJ16" s="34"/>
      <c r="QWK16" s="34"/>
      <c r="QWL16" s="34"/>
      <c r="QWM16" s="34"/>
      <c r="QWN16" s="34"/>
      <c r="QWO16" s="34"/>
      <c r="QWP16" s="34"/>
      <c r="QWQ16" s="34"/>
      <c r="QWR16" s="34"/>
      <c r="QWS16" s="34"/>
      <c r="QWT16" s="34"/>
      <c r="QWU16" s="34"/>
      <c r="QWV16" s="34"/>
      <c r="QWW16" s="34"/>
      <c r="QWX16" s="34"/>
      <c r="QWY16" s="34"/>
      <c r="QWZ16" s="34"/>
      <c r="QXA16" s="34"/>
      <c r="QXB16" s="34"/>
      <c r="QXC16" s="34"/>
      <c r="QXD16" s="34"/>
      <c r="QXE16" s="34"/>
      <c r="QXF16" s="34"/>
      <c r="QXG16" s="34"/>
      <c r="QXH16" s="34"/>
      <c r="QXI16" s="34"/>
      <c r="QXJ16" s="34"/>
      <c r="QXK16" s="34"/>
      <c r="QXL16" s="34"/>
      <c r="QXM16" s="34"/>
      <c r="QXN16" s="34"/>
      <c r="QXO16" s="34"/>
      <c r="QXP16" s="34"/>
      <c r="QXQ16" s="34"/>
      <c r="QXR16" s="34"/>
      <c r="QXS16" s="34"/>
      <c r="QXT16" s="34"/>
      <c r="QXU16" s="34"/>
      <c r="QXV16" s="34"/>
      <c r="QXW16" s="34"/>
      <c r="QXX16" s="34"/>
      <c r="QXY16" s="34"/>
      <c r="QXZ16" s="34"/>
      <c r="QYA16" s="34"/>
      <c r="QYB16" s="34"/>
      <c r="QYC16" s="34"/>
      <c r="QYD16" s="34"/>
      <c r="QYE16" s="34"/>
      <c r="QYF16" s="34"/>
      <c r="QYG16" s="34"/>
      <c r="QYH16" s="34"/>
      <c r="QYI16" s="34"/>
      <c r="QYJ16" s="34"/>
      <c r="QYK16" s="34"/>
      <c r="QYL16" s="34"/>
      <c r="QYM16" s="34"/>
      <c r="QYN16" s="34"/>
      <c r="QYO16" s="34"/>
      <c r="QYP16" s="34"/>
      <c r="QYQ16" s="34"/>
      <c r="QYR16" s="34"/>
      <c r="QYS16" s="34"/>
      <c r="QYT16" s="34"/>
      <c r="QYU16" s="34"/>
      <c r="QYV16" s="34"/>
      <c r="QYW16" s="34"/>
      <c r="QYX16" s="34"/>
      <c r="QYY16" s="34"/>
      <c r="QYZ16" s="34"/>
      <c r="QZA16" s="34"/>
      <c r="QZB16" s="34"/>
      <c r="QZC16" s="34"/>
      <c r="QZD16" s="34"/>
      <c r="QZE16" s="34"/>
      <c r="QZF16" s="34"/>
      <c r="QZG16" s="34"/>
      <c r="QZH16" s="34"/>
      <c r="QZI16" s="34"/>
      <c r="QZJ16" s="34"/>
      <c r="QZK16" s="34"/>
      <c r="QZL16" s="34"/>
      <c r="QZM16" s="34"/>
      <c r="QZN16" s="34"/>
      <c r="QZO16" s="34"/>
      <c r="QZP16" s="34"/>
      <c r="QZQ16" s="34"/>
      <c r="QZR16" s="34"/>
      <c r="QZS16" s="34"/>
      <c r="QZT16" s="34"/>
      <c r="QZU16" s="34"/>
      <c r="QZV16" s="34"/>
      <c r="QZW16" s="34"/>
      <c r="QZX16" s="34"/>
      <c r="QZY16" s="34"/>
      <c r="QZZ16" s="34"/>
      <c r="RAA16" s="34"/>
      <c r="RAB16" s="34"/>
      <c r="RAC16" s="34"/>
      <c r="RAD16" s="34"/>
      <c r="RAE16" s="34"/>
      <c r="RAF16" s="34"/>
      <c r="RAG16" s="34"/>
      <c r="RAH16" s="34"/>
      <c r="RAI16" s="34"/>
      <c r="RAJ16" s="34"/>
      <c r="RAK16" s="34"/>
      <c r="RAL16" s="34"/>
      <c r="RAM16" s="34"/>
      <c r="RAN16" s="34"/>
      <c r="RAO16" s="34"/>
      <c r="RAP16" s="34"/>
      <c r="RAQ16" s="34"/>
      <c r="RAR16" s="34"/>
      <c r="RAS16" s="34"/>
      <c r="RAT16" s="34"/>
      <c r="RAU16" s="34"/>
      <c r="RAV16" s="34"/>
      <c r="RAW16" s="34"/>
      <c r="RAX16" s="34"/>
      <c r="RAY16" s="34"/>
      <c r="RAZ16" s="34"/>
      <c r="RBA16" s="34"/>
      <c r="RBB16" s="34"/>
      <c r="RBC16" s="34"/>
      <c r="RBD16" s="34"/>
      <c r="RBE16" s="34"/>
      <c r="RBF16" s="34"/>
      <c r="RBG16" s="34"/>
      <c r="RBH16" s="34"/>
      <c r="RBI16" s="34"/>
      <c r="RBJ16" s="34"/>
      <c r="RBK16" s="34"/>
      <c r="RBL16" s="34"/>
      <c r="RBM16" s="34"/>
      <c r="RBN16" s="34"/>
      <c r="RBO16" s="34"/>
      <c r="RBP16" s="34"/>
      <c r="RBQ16" s="34"/>
      <c r="RBR16" s="34"/>
      <c r="RBS16" s="34"/>
      <c r="RBT16" s="34"/>
      <c r="RBU16" s="34"/>
      <c r="RBV16" s="34"/>
      <c r="RBW16" s="34"/>
      <c r="RBX16" s="34"/>
      <c r="RBY16" s="34"/>
      <c r="RBZ16" s="34"/>
      <c r="RCA16" s="34"/>
      <c r="RCB16" s="34"/>
      <c r="RCC16" s="34"/>
      <c r="RCD16" s="34"/>
      <c r="RCE16" s="34"/>
      <c r="RCF16" s="34"/>
      <c r="RCG16" s="34"/>
      <c r="RCH16" s="34"/>
      <c r="RCI16" s="34"/>
      <c r="RCJ16" s="34"/>
      <c r="RCK16" s="34"/>
      <c r="RCL16" s="34"/>
      <c r="RCM16" s="34"/>
      <c r="RCN16" s="34"/>
      <c r="RCO16" s="34"/>
      <c r="RCP16" s="34"/>
      <c r="RCQ16" s="34"/>
      <c r="RCR16" s="34"/>
      <c r="RCS16" s="34"/>
      <c r="RCT16" s="34"/>
      <c r="RCU16" s="34"/>
      <c r="RCV16" s="34"/>
      <c r="RCW16" s="34"/>
      <c r="RCX16" s="34"/>
      <c r="RCY16" s="34"/>
      <c r="RCZ16" s="34"/>
      <c r="RDA16" s="34"/>
      <c r="RDB16" s="34"/>
      <c r="RDC16" s="34"/>
      <c r="RDD16" s="34"/>
      <c r="RDE16" s="34"/>
      <c r="RDF16" s="34"/>
      <c r="RDG16" s="34"/>
      <c r="RDH16" s="34"/>
      <c r="RDI16" s="34"/>
      <c r="RDJ16" s="34"/>
      <c r="RDK16" s="34"/>
      <c r="RDL16" s="34"/>
      <c r="RDM16" s="34"/>
      <c r="RDN16" s="34"/>
      <c r="RDO16" s="34"/>
      <c r="RDP16" s="34"/>
      <c r="RDQ16" s="34"/>
      <c r="RDR16" s="34"/>
      <c r="RDS16" s="34"/>
      <c r="RDT16" s="34"/>
      <c r="RDU16" s="34"/>
      <c r="RDV16" s="34"/>
      <c r="RDW16" s="34"/>
      <c r="RDX16" s="34"/>
      <c r="RDY16" s="34"/>
      <c r="RDZ16" s="34"/>
      <c r="REA16" s="34"/>
      <c r="REB16" s="34"/>
      <c r="REC16" s="34"/>
      <c r="RED16" s="34"/>
      <c r="REE16" s="34"/>
      <c r="REF16" s="34"/>
      <c r="REG16" s="34"/>
      <c r="REH16" s="34"/>
      <c r="REI16" s="34"/>
      <c r="REJ16" s="34"/>
      <c r="REK16" s="34"/>
      <c r="REL16" s="34"/>
      <c r="REM16" s="34"/>
      <c r="REN16" s="34"/>
      <c r="REO16" s="34"/>
      <c r="REP16" s="34"/>
      <c r="REQ16" s="34"/>
      <c r="RER16" s="34"/>
      <c r="RES16" s="34"/>
      <c r="RET16" s="34"/>
      <c r="REU16" s="34"/>
      <c r="REV16" s="34"/>
      <c r="REW16" s="34"/>
      <c r="REX16" s="34"/>
      <c r="REY16" s="34"/>
      <c r="REZ16" s="34"/>
      <c r="RFA16" s="34"/>
      <c r="RFB16" s="34"/>
      <c r="RFC16" s="34"/>
      <c r="RFD16" s="34"/>
      <c r="RFE16" s="34"/>
      <c r="RFF16" s="34"/>
      <c r="RFG16" s="34"/>
      <c r="RFH16" s="34"/>
      <c r="RFI16" s="34"/>
      <c r="RFJ16" s="34"/>
      <c r="RFK16" s="34"/>
      <c r="RFL16" s="34"/>
      <c r="RFM16" s="34"/>
      <c r="RFN16" s="34"/>
      <c r="RFO16" s="34"/>
      <c r="RFP16" s="34"/>
      <c r="RFQ16" s="34"/>
      <c r="RFR16" s="34"/>
      <c r="RFS16" s="34"/>
      <c r="RFT16" s="34"/>
      <c r="RFU16" s="34"/>
      <c r="RFV16" s="34"/>
      <c r="RFW16" s="34"/>
      <c r="RFX16" s="34"/>
      <c r="RFY16" s="34"/>
      <c r="RFZ16" s="34"/>
      <c r="RGA16" s="34"/>
      <c r="RGB16" s="34"/>
      <c r="RGC16" s="34"/>
      <c r="RGD16" s="34"/>
      <c r="RGE16" s="34"/>
      <c r="RGF16" s="34"/>
      <c r="RGG16" s="34"/>
      <c r="RGH16" s="34"/>
      <c r="RGI16" s="34"/>
      <c r="RGJ16" s="34"/>
      <c r="RGK16" s="34"/>
      <c r="RGL16" s="34"/>
      <c r="RGM16" s="34"/>
      <c r="RGN16" s="34"/>
      <c r="RGO16" s="34"/>
      <c r="RGP16" s="34"/>
      <c r="RGQ16" s="34"/>
      <c r="RGR16" s="34"/>
      <c r="RGS16" s="34"/>
      <c r="RGT16" s="34"/>
      <c r="RGU16" s="34"/>
      <c r="RGV16" s="34"/>
      <c r="RGW16" s="34"/>
      <c r="RGX16" s="34"/>
      <c r="RGY16" s="34"/>
      <c r="RGZ16" s="34"/>
      <c r="RHA16" s="34"/>
      <c r="RHB16" s="34"/>
      <c r="RHC16" s="34"/>
      <c r="RHD16" s="34"/>
      <c r="RHE16" s="34"/>
      <c r="RHF16" s="34"/>
      <c r="RHG16" s="34"/>
      <c r="RHH16" s="34"/>
      <c r="RHI16" s="34"/>
      <c r="RHJ16" s="34"/>
      <c r="RHK16" s="34"/>
      <c r="RHL16" s="34"/>
      <c r="RHM16" s="34"/>
      <c r="RHN16" s="34"/>
      <c r="RHO16" s="34"/>
      <c r="RHP16" s="34"/>
      <c r="RHQ16" s="34"/>
      <c r="RHR16" s="34"/>
      <c r="RHS16" s="34"/>
      <c r="RHT16" s="34"/>
      <c r="RHU16" s="34"/>
      <c r="RHV16" s="34"/>
      <c r="RHW16" s="34"/>
      <c r="RHX16" s="34"/>
      <c r="RHY16" s="34"/>
      <c r="RHZ16" s="34"/>
      <c r="RIA16" s="34"/>
      <c r="RIB16" s="34"/>
      <c r="RIC16" s="34"/>
      <c r="RID16" s="34"/>
      <c r="RIE16" s="34"/>
      <c r="RIF16" s="34"/>
      <c r="RIG16" s="34"/>
      <c r="RIH16" s="34"/>
      <c r="RII16" s="34"/>
      <c r="RIJ16" s="34"/>
      <c r="RIK16" s="34"/>
      <c r="RIL16" s="34"/>
      <c r="RIM16" s="34"/>
      <c r="RIN16" s="34"/>
      <c r="RIO16" s="34"/>
      <c r="RIP16" s="34"/>
      <c r="RIQ16" s="34"/>
      <c r="RIR16" s="34"/>
      <c r="RIS16" s="34"/>
      <c r="RIT16" s="34"/>
      <c r="RIU16" s="34"/>
      <c r="RIV16" s="34"/>
      <c r="RIW16" s="34"/>
      <c r="RIX16" s="34"/>
      <c r="RIY16" s="34"/>
      <c r="RIZ16" s="34"/>
      <c r="RJA16" s="34"/>
      <c r="RJB16" s="34"/>
      <c r="RJC16" s="34"/>
      <c r="RJD16" s="34"/>
      <c r="RJE16" s="34"/>
      <c r="RJF16" s="34"/>
      <c r="RJG16" s="34"/>
      <c r="RJH16" s="34"/>
      <c r="RJI16" s="34"/>
      <c r="RJJ16" s="34"/>
      <c r="RJK16" s="34"/>
      <c r="RJL16" s="34"/>
      <c r="RJM16" s="34"/>
      <c r="RJN16" s="34"/>
      <c r="RJO16" s="34"/>
      <c r="RJP16" s="34"/>
      <c r="RJQ16" s="34"/>
      <c r="RJR16" s="34"/>
      <c r="RJS16" s="34"/>
      <c r="RJT16" s="34"/>
      <c r="RJU16" s="34"/>
      <c r="RJV16" s="34"/>
      <c r="RJW16" s="34"/>
      <c r="RJX16" s="34"/>
      <c r="RJY16" s="34"/>
      <c r="RJZ16" s="34"/>
      <c r="RKA16" s="34"/>
      <c r="RKB16" s="34"/>
      <c r="RKC16" s="34"/>
      <c r="RKD16" s="34"/>
      <c r="RKE16" s="34"/>
      <c r="RKF16" s="34"/>
      <c r="RKG16" s="34"/>
      <c r="RKH16" s="34"/>
      <c r="RKI16" s="34"/>
      <c r="RKJ16" s="34"/>
      <c r="RKK16" s="34"/>
      <c r="RKL16" s="34"/>
      <c r="RKM16" s="34"/>
      <c r="RKN16" s="34"/>
      <c r="RKO16" s="34"/>
      <c r="RKP16" s="34"/>
      <c r="RKQ16" s="34"/>
      <c r="RKR16" s="34"/>
      <c r="RKS16" s="34"/>
      <c r="RKT16" s="34"/>
      <c r="RKU16" s="34"/>
      <c r="RKV16" s="34"/>
      <c r="RKW16" s="34"/>
      <c r="RKX16" s="34"/>
      <c r="RKY16" s="34"/>
      <c r="RKZ16" s="34"/>
      <c r="RLA16" s="34"/>
      <c r="RLB16" s="34"/>
      <c r="RLC16" s="34"/>
      <c r="RLD16" s="34"/>
      <c r="RLE16" s="34"/>
      <c r="RLF16" s="34"/>
      <c r="RLG16" s="34"/>
      <c r="RLH16" s="34"/>
      <c r="RLI16" s="34"/>
      <c r="RLJ16" s="34"/>
      <c r="RLK16" s="34"/>
      <c r="RLL16" s="34"/>
      <c r="RLM16" s="34"/>
      <c r="RLN16" s="34"/>
      <c r="RLO16" s="34"/>
      <c r="RLP16" s="34"/>
      <c r="RLQ16" s="34"/>
      <c r="RLR16" s="34"/>
      <c r="RLS16" s="34"/>
      <c r="RLT16" s="34"/>
      <c r="RLU16" s="34"/>
      <c r="RLV16" s="34"/>
      <c r="RLW16" s="34"/>
      <c r="RLX16" s="34"/>
      <c r="RLY16" s="34"/>
      <c r="RLZ16" s="34"/>
      <c r="RMA16" s="34"/>
      <c r="RMB16" s="34"/>
      <c r="RMC16" s="34"/>
      <c r="RMD16" s="34"/>
      <c r="RME16" s="34"/>
      <c r="RMF16" s="34"/>
      <c r="RMG16" s="34"/>
      <c r="RMH16" s="34"/>
      <c r="RMI16" s="34"/>
      <c r="RMJ16" s="34"/>
      <c r="RMK16" s="34"/>
      <c r="RML16" s="34"/>
      <c r="RMM16" s="34"/>
      <c r="RMN16" s="34"/>
      <c r="RMO16" s="34"/>
      <c r="RMP16" s="34"/>
      <c r="RMQ16" s="34"/>
      <c r="RMR16" s="34"/>
      <c r="RMS16" s="34"/>
      <c r="RMT16" s="34"/>
      <c r="RMU16" s="34"/>
      <c r="RMV16" s="34"/>
      <c r="RMW16" s="34"/>
      <c r="RMX16" s="34"/>
      <c r="RMY16" s="34"/>
      <c r="RMZ16" s="34"/>
      <c r="RNA16" s="34"/>
      <c r="RNB16" s="34"/>
      <c r="RNC16" s="34"/>
      <c r="RND16" s="34"/>
      <c r="RNE16" s="34"/>
      <c r="RNF16" s="34"/>
      <c r="RNG16" s="34"/>
      <c r="RNH16" s="34"/>
      <c r="RNI16" s="34"/>
      <c r="RNJ16" s="34"/>
      <c r="RNK16" s="34"/>
      <c r="RNL16" s="34"/>
      <c r="RNM16" s="34"/>
      <c r="RNN16" s="34"/>
      <c r="RNO16" s="34"/>
      <c r="RNP16" s="34"/>
      <c r="RNQ16" s="34"/>
      <c r="RNR16" s="34"/>
      <c r="RNS16" s="34"/>
      <c r="RNT16" s="34"/>
      <c r="RNU16" s="34"/>
      <c r="RNV16" s="34"/>
      <c r="RNW16" s="34"/>
      <c r="RNX16" s="34"/>
      <c r="RNY16" s="34"/>
      <c r="RNZ16" s="34"/>
      <c r="ROA16" s="34"/>
      <c r="ROB16" s="34"/>
      <c r="ROC16" s="34"/>
      <c r="ROD16" s="34"/>
      <c r="ROE16" s="34"/>
      <c r="ROF16" s="34"/>
      <c r="ROG16" s="34"/>
      <c r="ROH16" s="34"/>
      <c r="ROI16" s="34"/>
      <c r="ROJ16" s="34"/>
      <c r="ROK16" s="34"/>
      <c r="ROL16" s="34"/>
      <c r="ROM16" s="34"/>
      <c r="RON16" s="34"/>
      <c r="ROO16" s="34"/>
      <c r="ROP16" s="34"/>
      <c r="ROQ16" s="34"/>
      <c r="ROR16" s="34"/>
      <c r="ROS16" s="34"/>
      <c r="ROT16" s="34"/>
      <c r="ROU16" s="34"/>
      <c r="ROV16" s="34"/>
      <c r="ROW16" s="34"/>
      <c r="ROX16" s="34"/>
      <c r="ROY16" s="34"/>
      <c r="ROZ16" s="34"/>
      <c r="RPA16" s="34"/>
      <c r="RPB16" s="34"/>
      <c r="RPC16" s="34"/>
      <c r="RPD16" s="34"/>
      <c r="RPE16" s="34"/>
      <c r="RPF16" s="34"/>
      <c r="RPG16" s="34"/>
      <c r="RPH16" s="34"/>
      <c r="RPI16" s="34"/>
      <c r="RPJ16" s="34"/>
      <c r="RPK16" s="34"/>
      <c r="RPL16" s="34"/>
      <c r="RPM16" s="34"/>
      <c r="RPN16" s="34"/>
      <c r="RPO16" s="34"/>
      <c r="RPP16" s="34"/>
      <c r="RPQ16" s="34"/>
      <c r="RPR16" s="34"/>
      <c r="RPS16" s="34"/>
      <c r="RPT16" s="34"/>
      <c r="RPU16" s="34"/>
      <c r="RPV16" s="34"/>
      <c r="RPW16" s="34"/>
      <c r="RPX16" s="34"/>
      <c r="RPY16" s="34"/>
      <c r="RPZ16" s="34"/>
      <c r="RQA16" s="34"/>
      <c r="RQB16" s="34"/>
      <c r="RQC16" s="34"/>
      <c r="RQD16" s="34"/>
      <c r="RQE16" s="34"/>
      <c r="RQF16" s="34"/>
      <c r="RQG16" s="34"/>
      <c r="RQH16" s="34"/>
      <c r="RQI16" s="34"/>
      <c r="RQJ16" s="34"/>
      <c r="RQK16" s="34"/>
      <c r="RQL16" s="34"/>
      <c r="RQM16" s="34"/>
      <c r="RQN16" s="34"/>
      <c r="RQO16" s="34"/>
      <c r="RQP16" s="34"/>
      <c r="RQQ16" s="34"/>
      <c r="RQR16" s="34"/>
      <c r="RQS16" s="34"/>
      <c r="RQT16" s="34"/>
      <c r="RQU16" s="34"/>
      <c r="RQV16" s="34"/>
      <c r="RQW16" s="34"/>
      <c r="RQX16" s="34"/>
      <c r="RQY16" s="34"/>
      <c r="RQZ16" s="34"/>
      <c r="RRA16" s="34"/>
      <c r="RRB16" s="34"/>
      <c r="RRC16" s="34"/>
      <c r="RRD16" s="34"/>
      <c r="RRE16" s="34"/>
      <c r="RRF16" s="34"/>
      <c r="RRG16" s="34"/>
      <c r="RRH16" s="34"/>
      <c r="RRI16" s="34"/>
      <c r="RRJ16" s="34"/>
      <c r="RRK16" s="34"/>
      <c r="RRL16" s="34"/>
      <c r="RRM16" s="34"/>
      <c r="RRN16" s="34"/>
      <c r="RRO16" s="34"/>
      <c r="RRP16" s="34"/>
      <c r="RRQ16" s="34"/>
      <c r="RRR16" s="34"/>
      <c r="RRS16" s="34"/>
      <c r="RRT16" s="34"/>
      <c r="RRU16" s="34"/>
      <c r="RRV16" s="34"/>
      <c r="RRW16" s="34"/>
      <c r="RRX16" s="34"/>
      <c r="RRY16" s="34"/>
      <c r="RRZ16" s="34"/>
      <c r="RSA16" s="34"/>
      <c r="RSB16" s="34"/>
      <c r="RSC16" s="34"/>
      <c r="RSD16" s="34"/>
      <c r="RSE16" s="34"/>
      <c r="RSF16" s="34"/>
      <c r="RSG16" s="34"/>
      <c r="RSH16" s="34"/>
      <c r="RSI16" s="34"/>
      <c r="RSJ16" s="34"/>
      <c r="RSK16" s="34"/>
      <c r="RSL16" s="34"/>
      <c r="RSM16" s="34"/>
      <c r="RSN16" s="34"/>
      <c r="RSO16" s="34"/>
      <c r="RSP16" s="34"/>
      <c r="RSQ16" s="34"/>
      <c r="RSR16" s="34"/>
      <c r="RSS16" s="34"/>
      <c r="RST16" s="34"/>
      <c r="RSU16" s="34"/>
      <c r="RSV16" s="34"/>
      <c r="RSW16" s="34"/>
      <c r="RSX16" s="34"/>
      <c r="RSY16" s="34"/>
      <c r="RSZ16" s="34"/>
      <c r="RTA16" s="34"/>
      <c r="RTB16" s="34"/>
      <c r="RTC16" s="34"/>
      <c r="RTD16" s="34"/>
      <c r="RTE16" s="34"/>
      <c r="RTF16" s="34"/>
      <c r="RTG16" s="34"/>
      <c r="RTH16" s="34"/>
      <c r="RTI16" s="34"/>
      <c r="RTJ16" s="34"/>
      <c r="RTK16" s="34"/>
      <c r="RTL16" s="34"/>
      <c r="RTM16" s="34"/>
      <c r="RTN16" s="34"/>
      <c r="RTO16" s="34"/>
      <c r="RTP16" s="34"/>
      <c r="RTQ16" s="34"/>
      <c r="RTR16" s="34"/>
      <c r="RTS16" s="34"/>
      <c r="RTT16" s="34"/>
      <c r="RTU16" s="34"/>
      <c r="RTV16" s="34"/>
      <c r="RTW16" s="34"/>
      <c r="RTX16" s="34"/>
      <c r="RTY16" s="34"/>
      <c r="RTZ16" s="34"/>
      <c r="RUA16" s="34"/>
      <c r="RUB16" s="34"/>
      <c r="RUC16" s="34"/>
      <c r="RUD16" s="34"/>
      <c r="RUE16" s="34"/>
      <c r="RUF16" s="34"/>
      <c r="RUG16" s="34"/>
      <c r="RUH16" s="34"/>
      <c r="RUI16" s="34"/>
      <c r="RUJ16" s="34"/>
      <c r="RUK16" s="34"/>
      <c r="RUL16" s="34"/>
      <c r="RUM16" s="34"/>
      <c r="RUN16" s="34"/>
      <c r="RUO16" s="34"/>
      <c r="RUP16" s="34"/>
      <c r="RUQ16" s="34"/>
      <c r="RUR16" s="34"/>
      <c r="RUS16" s="34"/>
      <c r="RUT16" s="34"/>
      <c r="RUU16" s="34"/>
      <c r="RUV16" s="34"/>
      <c r="RUW16" s="34"/>
      <c r="RUX16" s="34"/>
      <c r="RUY16" s="34"/>
      <c r="RUZ16" s="34"/>
      <c r="RVA16" s="34"/>
      <c r="RVB16" s="34"/>
      <c r="RVC16" s="34"/>
      <c r="RVD16" s="34"/>
      <c r="RVE16" s="34"/>
      <c r="RVF16" s="34"/>
      <c r="RVG16" s="34"/>
      <c r="RVH16" s="34"/>
      <c r="RVI16" s="34"/>
      <c r="RVJ16" s="34"/>
      <c r="RVK16" s="34"/>
      <c r="RVL16" s="34"/>
      <c r="RVM16" s="34"/>
      <c r="RVN16" s="34"/>
      <c r="RVO16" s="34"/>
      <c r="RVP16" s="34"/>
      <c r="RVQ16" s="34"/>
      <c r="RVR16" s="34"/>
      <c r="RVS16" s="34"/>
      <c r="RVT16" s="34"/>
      <c r="RVU16" s="34"/>
      <c r="RVV16" s="34"/>
      <c r="RVW16" s="34"/>
      <c r="RVX16" s="34"/>
      <c r="RVY16" s="34"/>
      <c r="RVZ16" s="34"/>
      <c r="RWA16" s="34"/>
      <c r="RWB16" s="34"/>
      <c r="RWC16" s="34"/>
      <c r="RWD16" s="34"/>
      <c r="RWE16" s="34"/>
      <c r="RWF16" s="34"/>
      <c r="RWG16" s="34"/>
      <c r="RWH16" s="34"/>
      <c r="RWI16" s="34"/>
      <c r="RWJ16" s="34"/>
      <c r="RWK16" s="34"/>
      <c r="RWL16" s="34"/>
      <c r="RWM16" s="34"/>
      <c r="RWN16" s="34"/>
      <c r="RWO16" s="34"/>
      <c r="RWP16" s="34"/>
      <c r="RWQ16" s="34"/>
      <c r="RWR16" s="34"/>
      <c r="RWS16" s="34"/>
      <c r="RWT16" s="34"/>
      <c r="RWU16" s="34"/>
      <c r="RWV16" s="34"/>
      <c r="RWW16" s="34"/>
      <c r="RWX16" s="34"/>
      <c r="RWY16" s="34"/>
      <c r="RWZ16" s="34"/>
      <c r="RXA16" s="34"/>
      <c r="RXB16" s="34"/>
      <c r="RXC16" s="34"/>
      <c r="RXD16" s="34"/>
      <c r="RXE16" s="34"/>
      <c r="RXF16" s="34"/>
      <c r="RXG16" s="34"/>
      <c r="RXH16" s="34"/>
      <c r="RXI16" s="34"/>
      <c r="RXJ16" s="34"/>
      <c r="RXK16" s="34"/>
      <c r="RXL16" s="34"/>
      <c r="RXM16" s="34"/>
      <c r="RXN16" s="34"/>
      <c r="RXO16" s="34"/>
      <c r="RXP16" s="34"/>
      <c r="RXQ16" s="34"/>
      <c r="RXR16" s="34"/>
      <c r="RXS16" s="34"/>
      <c r="RXT16" s="34"/>
      <c r="RXU16" s="34"/>
      <c r="RXV16" s="34"/>
      <c r="RXW16" s="34"/>
      <c r="RXX16" s="34"/>
      <c r="RXY16" s="34"/>
      <c r="RXZ16" s="34"/>
      <c r="RYA16" s="34"/>
      <c r="RYB16" s="34"/>
      <c r="RYC16" s="34"/>
      <c r="RYD16" s="34"/>
      <c r="RYE16" s="34"/>
      <c r="RYF16" s="34"/>
      <c r="RYG16" s="34"/>
      <c r="RYH16" s="34"/>
      <c r="RYI16" s="34"/>
      <c r="RYJ16" s="34"/>
      <c r="RYK16" s="34"/>
      <c r="RYL16" s="34"/>
      <c r="RYM16" s="34"/>
      <c r="RYN16" s="34"/>
      <c r="RYO16" s="34"/>
      <c r="RYP16" s="34"/>
      <c r="RYQ16" s="34"/>
      <c r="RYR16" s="34"/>
      <c r="RYS16" s="34"/>
      <c r="RYT16" s="34"/>
      <c r="RYU16" s="34"/>
      <c r="RYV16" s="34"/>
      <c r="RYW16" s="34"/>
      <c r="RYX16" s="34"/>
      <c r="RYY16" s="34"/>
      <c r="RYZ16" s="34"/>
      <c r="RZA16" s="34"/>
      <c r="RZB16" s="34"/>
      <c r="RZC16" s="34"/>
      <c r="RZD16" s="34"/>
      <c r="RZE16" s="34"/>
      <c r="RZF16" s="34"/>
      <c r="RZG16" s="34"/>
      <c r="RZH16" s="34"/>
      <c r="RZI16" s="34"/>
      <c r="RZJ16" s="34"/>
      <c r="RZK16" s="34"/>
      <c r="RZL16" s="34"/>
      <c r="RZM16" s="34"/>
      <c r="RZN16" s="34"/>
      <c r="RZO16" s="34"/>
      <c r="RZP16" s="34"/>
      <c r="RZQ16" s="34"/>
      <c r="RZR16" s="34"/>
      <c r="RZS16" s="34"/>
      <c r="RZT16" s="34"/>
      <c r="RZU16" s="34"/>
      <c r="RZV16" s="34"/>
      <c r="RZW16" s="34"/>
      <c r="RZX16" s="34"/>
      <c r="RZY16" s="34"/>
      <c r="RZZ16" s="34"/>
      <c r="SAA16" s="34"/>
      <c r="SAB16" s="34"/>
      <c r="SAC16" s="34"/>
      <c r="SAD16" s="34"/>
      <c r="SAE16" s="34"/>
      <c r="SAF16" s="34"/>
      <c r="SAG16" s="34"/>
      <c r="SAH16" s="34"/>
      <c r="SAI16" s="34"/>
      <c r="SAJ16" s="34"/>
      <c r="SAK16" s="34"/>
      <c r="SAL16" s="34"/>
      <c r="SAM16" s="34"/>
      <c r="SAN16" s="34"/>
      <c r="SAO16" s="34"/>
      <c r="SAP16" s="34"/>
      <c r="SAQ16" s="34"/>
      <c r="SAR16" s="34"/>
      <c r="SAS16" s="34"/>
      <c r="SAT16" s="34"/>
      <c r="SAU16" s="34"/>
      <c r="SAV16" s="34"/>
      <c r="SAW16" s="34"/>
      <c r="SAX16" s="34"/>
      <c r="SAY16" s="34"/>
      <c r="SAZ16" s="34"/>
      <c r="SBA16" s="34"/>
      <c r="SBB16" s="34"/>
      <c r="SBC16" s="34"/>
      <c r="SBD16" s="34"/>
      <c r="SBE16" s="34"/>
      <c r="SBF16" s="34"/>
      <c r="SBG16" s="34"/>
      <c r="SBH16" s="34"/>
      <c r="SBI16" s="34"/>
      <c r="SBJ16" s="34"/>
      <c r="SBK16" s="34"/>
      <c r="SBL16" s="34"/>
      <c r="SBM16" s="34"/>
      <c r="SBN16" s="34"/>
      <c r="SBO16" s="34"/>
      <c r="SBP16" s="34"/>
      <c r="SBQ16" s="34"/>
      <c r="SBR16" s="34"/>
      <c r="SBS16" s="34"/>
      <c r="SBT16" s="34"/>
      <c r="SBU16" s="34"/>
      <c r="SBV16" s="34"/>
      <c r="SBW16" s="34"/>
      <c r="SBX16" s="34"/>
      <c r="SBY16" s="34"/>
      <c r="SBZ16" s="34"/>
      <c r="SCA16" s="34"/>
      <c r="SCB16" s="34"/>
      <c r="SCC16" s="34"/>
      <c r="SCD16" s="34"/>
      <c r="SCE16" s="34"/>
      <c r="SCF16" s="34"/>
      <c r="SCG16" s="34"/>
      <c r="SCH16" s="34"/>
      <c r="SCI16" s="34"/>
      <c r="SCJ16" s="34"/>
      <c r="SCK16" s="34"/>
      <c r="SCL16" s="34"/>
      <c r="SCM16" s="34"/>
      <c r="SCN16" s="34"/>
      <c r="SCO16" s="34"/>
      <c r="SCP16" s="34"/>
      <c r="SCQ16" s="34"/>
      <c r="SCR16" s="34"/>
      <c r="SCS16" s="34"/>
      <c r="SCT16" s="34"/>
      <c r="SCU16" s="34"/>
      <c r="SCV16" s="34"/>
      <c r="SCW16" s="34"/>
      <c r="SCX16" s="34"/>
      <c r="SCY16" s="34"/>
      <c r="SCZ16" s="34"/>
      <c r="SDA16" s="34"/>
      <c r="SDB16" s="34"/>
      <c r="SDC16" s="34"/>
      <c r="SDD16" s="34"/>
      <c r="SDE16" s="34"/>
      <c r="SDF16" s="34"/>
      <c r="SDG16" s="34"/>
      <c r="SDH16" s="34"/>
      <c r="SDI16" s="34"/>
      <c r="SDJ16" s="34"/>
      <c r="SDK16" s="34"/>
      <c r="SDL16" s="34"/>
      <c r="SDM16" s="34"/>
      <c r="SDN16" s="34"/>
      <c r="SDO16" s="34"/>
      <c r="SDP16" s="34"/>
      <c r="SDQ16" s="34"/>
      <c r="SDR16" s="34"/>
      <c r="SDS16" s="34"/>
      <c r="SDT16" s="34"/>
      <c r="SDU16" s="34"/>
      <c r="SDV16" s="34"/>
      <c r="SDW16" s="34"/>
      <c r="SDX16" s="34"/>
      <c r="SDY16" s="34"/>
      <c r="SDZ16" s="34"/>
      <c r="SEA16" s="34"/>
      <c r="SEB16" s="34"/>
      <c r="SEC16" s="34"/>
      <c r="SED16" s="34"/>
      <c r="SEE16" s="34"/>
      <c r="SEF16" s="34"/>
      <c r="SEG16" s="34"/>
      <c r="SEH16" s="34"/>
      <c r="SEI16" s="34"/>
      <c r="SEJ16" s="34"/>
      <c r="SEK16" s="34"/>
      <c r="SEL16" s="34"/>
      <c r="SEM16" s="34"/>
      <c r="SEN16" s="34"/>
      <c r="SEO16" s="34"/>
      <c r="SEP16" s="34"/>
      <c r="SEQ16" s="34"/>
      <c r="SER16" s="34"/>
      <c r="SES16" s="34"/>
      <c r="SET16" s="34"/>
      <c r="SEU16" s="34"/>
      <c r="SEV16" s="34"/>
      <c r="SEW16" s="34"/>
      <c r="SEX16" s="34"/>
      <c r="SEY16" s="34"/>
      <c r="SEZ16" s="34"/>
      <c r="SFA16" s="34"/>
      <c r="SFB16" s="34"/>
      <c r="SFC16" s="34"/>
      <c r="SFD16" s="34"/>
      <c r="SFE16" s="34"/>
      <c r="SFF16" s="34"/>
      <c r="SFG16" s="34"/>
      <c r="SFH16" s="34"/>
      <c r="SFI16" s="34"/>
      <c r="SFJ16" s="34"/>
      <c r="SFK16" s="34"/>
      <c r="SFL16" s="34"/>
      <c r="SFM16" s="34"/>
      <c r="SFN16" s="34"/>
      <c r="SFO16" s="34"/>
      <c r="SFP16" s="34"/>
      <c r="SFQ16" s="34"/>
      <c r="SFR16" s="34"/>
      <c r="SFS16" s="34"/>
      <c r="SFT16" s="34"/>
      <c r="SFU16" s="34"/>
      <c r="SFV16" s="34"/>
      <c r="SFW16" s="34"/>
      <c r="SFX16" s="34"/>
      <c r="SFY16" s="34"/>
      <c r="SFZ16" s="34"/>
      <c r="SGA16" s="34"/>
      <c r="SGB16" s="34"/>
      <c r="SGC16" s="34"/>
      <c r="SGD16" s="34"/>
      <c r="SGE16" s="34"/>
      <c r="SGF16" s="34"/>
      <c r="SGG16" s="34"/>
      <c r="SGH16" s="34"/>
      <c r="SGI16" s="34"/>
      <c r="SGJ16" s="34"/>
      <c r="SGK16" s="34"/>
      <c r="SGL16" s="34"/>
      <c r="SGM16" s="34"/>
      <c r="SGN16" s="34"/>
      <c r="SGO16" s="34"/>
      <c r="SGP16" s="34"/>
      <c r="SGQ16" s="34"/>
      <c r="SGR16" s="34"/>
      <c r="SGS16" s="34"/>
      <c r="SGT16" s="34"/>
      <c r="SGU16" s="34"/>
      <c r="SGV16" s="34"/>
      <c r="SGW16" s="34"/>
      <c r="SGX16" s="34"/>
      <c r="SGY16" s="34"/>
      <c r="SGZ16" s="34"/>
      <c r="SHA16" s="34"/>
      <c r="SHB16" s="34"/>
      <c r="SHC16" s="34"/>
      <c r="SHD16" s="34"/>
      <c r="SHE16" s="34"/>
      <c r="SHF16" s="34"/>
      <c r="SHG16" s="34"/>
      <c r="SHH16" s="34"/>
      <c r="SHI16" s="34"/>
      <c r="SHJ16" s="34"/>
      <c r="SHK16" s="34"/>
      <c r="SHL16" s="34"/>
      <c r="SHM16" s="34"/>
      <c r="SHN16" s="34"/>
      <c r="SHO16" s="34"/>
      <c r="SHP16" s="34"/>
      <c r="SHQ16" s="34"/>
      <c r="SHR16" s="34"/>
      <c r="SHS16" s="34"/>
      <c r="SHT16" s="34"/>
      <c r="SHU16" s="34"/>
      <c r="SHV16" s="34"/>
      <c r="SHW16" s="34"/>
      <c r="SHX16" s="34"/>
      <c r="SHY16" s="34"/>
      <c r="SHZ16" s="34"/>
      <c r="SIA16" s="34"/>
      <c r="SIB16" s="34"/>
      <c r="SIC16" s="34"/>
      <c r="SID16" s="34"/>
      <c r="SIE16" s="34"/>
      <c r="SIF16" s="34"/>
      <c r="SIG16" s="34"/>
      <c r="SIH16" s="34"/>
      <c r="SII16" s="34"/>
      <c r="SIJ16" s="34"/>
      <c r="SIK16" s="34"/>
      <c r="SIL16" s="34"/>
      <c r="SIM16" s="34"/>
      <c r="SIN16" s="34"/>
      <c r="SIO16" s="34"/>
      <c r="SIP16" s="34"/>
      <c r="SIQ16" s="34"/>
      <c r="SIR16" s="34"/>
      <c r="SIS16" s="34"/>
      <c r="SIT16" s="34"/>
      <c r="SIU16" s="34"/>
      <c r="SIV16" s="34"/>
      <c r="SIW16" s="34"/>
      <c r="SIX16" s="34"/>
      <c r="SIY16" s="34"/>
      <c r="SIZ16" s="34"/>
      <c r="SJA16" s="34"/>
      <c r="SJB16" s="34"/>
      <c r="SJC16" s="34"/>
      <c r="SJD16" s="34"/>
      <c r="SJE16" s="34"/>
      <c r="SJF16" s="34"/>
      <c r="SJG16" s="34"/>
      <c r="SJH16" s="34"/>
      <c r="SJI16" s="34"/>
      <c r="SJJ16" s="34"/>
      <c r="SJK16" s="34"/>
      <c r="SJL16" s="34"/>
      <c r="SJM16" s="34"/>
      <c r="SJN16" s="34"/>
      <c r="SJO16" s="34"/>
      <c r="SJP16" s="34"/>
      <c r="SJQ16" s="34"/>
      <c r="SJR16" s="34"/>
      <c r="SJS16" s="34"/>
      <c r="SJT16" s="34"/>
      <c r="SJU16" s="34"/>
      <c r="SJV16" s="34"/>
      <c r="SJW16" s="34"/>
      <c r="SJX16" s="34"/>
      <c r="SJY16" s="34"/>
      <c r="SJZ16" s="34"/>
      <c r="SKA16" s="34"/>
      <c r="SKB16" s="34"/>
      <c r="SKC16" s="34"/>
      <c r="SKD16" s="34"/>
      <c r="SKE16" s="34"/>
      <c r="SKF16" s="34"/>
      <c r="SKG16" s="34"/>
      <c r="SKH16" s="34"/>
      <c r="SKI16" s="34"/>
      <c r="SKJ16" s="34"/>
      <c r="SKK16" s="34"/>
      <c r="SKL16" s="34"/>
      <c r="SKM16" s="34"/>
      <c r="SKN16" s="34"/>
      <c r="SKO16" s="34"/>
      <c r="SKP16" s="34"/>
      <c r="SKQ16" s="34"/>
      <c r="SKR16" s="34"/>
      <c r="SKS16" s="34"/>
      <c r="SKT16" s="34"/>
      <c r="SKU16" s="34"/>
      <c r="SKV16" s="34"/>
      <c r="SKW16" s="34"/>
      <c r="SKX16" s="34"/>
      <c r="SKY16" s="34"/>
      <c r="SKZ16" s="34"/>
      <c r="SLA16" s="34"/>
      <c r="SLB16" s="34"/>
      <c r="SLC16" s="34"/>
      <c r="SLD16" s="34"/>
      <c r="SLE16" s="34"/>
      <c r="SLF16" s="34"/>
      <c r="SLG16" s="34"/>
      <c r="SLH16" s="34"/>
      <c r="SLI16" s="34"/>
      <c r="SLJ16" s="34"/>
      <c r="SLK16" s="34"/>
      <c r="SLL16" s="34"/>
      <c r="SLM16" s="34"/>
      <c r="SLN16" s="34"/>
      <c r="SLO16" s="34"/>
      <c r="SLP16" s="34"/>
      <c r="SLQ16" s="34"/>
      <c r="SLR16" s="34"/>
      <c r="SLS16" s="34"/>
      <c r="SLT16" s="34"/>
      <c r="SLU16" s="34"/>
      <c r="SLV16" s="34"/>
      <c r="SLW16" s="34"/>
      <c r="SLX16" s="34"/>
      <c r="SLY16" s="34"/>
      <c r="SLZ16" s="34"/>
      <c r="SMA16" s="34"/>
      <c r="SMB16" s="34"/>
      <c r="SMC16" s="34"/>
      <c r="SMD16" s="34"/>
      <c r="SME16" s="34"/>
      <c r="SMF16" s="34"/>
      <c r="SMG16" s="34"/>
      <c r="SMH16" s="34"/>
      <c r="SMI16" s="34"/>
      <c r="SMJ16" s="34"/>
      <c r="SMK16" s="34"/>
      <c r="SML16" s="34"/>
      <c r="SMM16" s="34"/>
      <c r="SMN16" s="34"/>
      <c r="SMO16" s="34"/>
      <c r="SMP16" s="34"/>
      <c r="SMQ16" s="34"/>
      <c r="SMR16" s="34"/>
      <c r="SMS16" s="34"/>
      <c r="SMT16" s="34"/>
      <c r="SMU16" s="34"/>
      <c r="SMV16" s="34"/>
      <c r="SMW16" s="34"/>
      <c r="SMX16" s="34"/>
      <c r="SMY16" s="34"/>
      <c r="SMZ16" s="34"/>
      <c r="SNA16" s="34"/>
      <c r="SNB16" s="34"/>
      <c r="SNC16" s="34"/>
      <c r="SND16" s="34"/>
      <c r="SNE16" s="34"/>
      <c r="SNF16" s="34"/>
      <c r="SNG16" s="34"/>
      <c r="SNH16" s="34"/>
      <c r="SNI16" s="34"/>
      <c r="SNJ16" s="34"/>
      <c r="SNK16" s="34"/>
      <c r="SNL16" s="34"/>
      <c r="SNM16" s="34"/>
      <c r="SNN16" s="34"/>
      <c r="SNO16" s="34"/>
      <c r="SNP16" s="34"/>
      <c r="SNQ16" s="34"/>
      <c r="SNR16" s="34"/>
      <c r="SNS16" s="34"/>
      <c r="SNT16" s="34"/>
      <c r="SNU16" s="34"/>
      <c r="SNV16" s="34"/>
      <c r="SNW16" s="34"/>
      <c r="SNX16" s="34"/>
      <c r="SNY16" s="34"/>
      <c r="SNZ16" s="34"/>
      <c r="SOA16" s="34"/>
      <c r="SOB16" s="34"/>
      <c r="SOC16" s="34"/>
      <c r="SOD16" s="34"/>
      <c r="SOE16" s="34"/>
      <c r="SOF16" s="34"/>
      <c r="SOG16" s="34"/>
      <c r="SOH16" s="34"/>
      <c r="SOI16" s="34"/>
      <c r="SOJ16" s="34"/>
      <c r="SOK16" s="34"/>
      <c r="SOL16" s="34"/>
      <c r="SOM16" s="34"/>
      <c r="SON16" s="34"/>
      <c r="SOO16" s="34"/>
      <c r="SOP16" s="34"/>
      <c r="SOQ16" s="34"/>
      <c r="SOR16" s="34"/>
      <c r="SOS16" s="34"/>
      <c r="SOT16" s="34"/>
      <c r="SOU16" s="34"/>
      <c r="SOV16" s="34"/>
      <c r="SOW16" s="34"/>
      <c r="SOX16" s="34"/>
      <c r="SOY16" s="34"/>
      <c r="SOZ16" s="34"/>
      <c r="SPA16" s="34"/>
      <c r="SPB16" s="34"/>
      <c r="SPC16" s="34"/>
      <c r="SPD16" s="34"/>
      <c r="SPE16" s="34"/>
      <c r="SPF16" s="34"/>
      <c r="SPG16" s="34"/>
      <c r="SPH16" s="34"/>
      <c r="SPI16" s="34"/>
      <c r="SPJ16" s="34"/>
      <c r="SPK16" s="34"/>
      <c r="SPL16" s="34"/>
      <c r="SPM16" s="34"/>
      <c r="SPN16" s="34"/>
      <c r="SPO16" s="34"/>
      <c r="SPP16" s="34"/>
      <c r="SPQ16" s="34"/>
      <c r="SPR16" s="34"/>
      <c r="SPS16" s="34"/>
      <c r="SPT16" s="34"/>
      <c r="SPU16" s="34"/>
      <c r="SPV16" s="34"/>
      <c r="SPW16" s="34"/>
      <c r="SPX16" s="34"/>
      <c r="SPY16" s="34"/>
      <c r="SPZ16" s="34"/>
      <c r="SQA16" s="34"/>
      <c r="SQB16" s="34"/>
      <c r="SQC16" s="34"/>
      <c r="SQD16" s="34"/>
      <c r="SQE16" s="34"/>
      <c r="SQF16" s="34"/>
      <c r="SQG16" s="34"/>
      <c r="SQH16" s="34"/>
      <c r="SQI16" s="34"/>
      <c r="SQJ16" s="34"/>
      <c r="SQK16" s="34"/>
      <c r="SQL16" s="34"/>
      <c r="SQM16" s="34"/>
      <c r="SQN16" s="34"/>
      <c r="SQO16" s="34"/>
      <c r="SQP16" s="34"/>
      <c r="SQQ16" s="34"/>
      <c r="SQR16" s="34"/>
      <c r="SQS16" s="34"/>
      <c r="SQT16" s="34"/>
      <c r="SQU16" s="34"/>
      <c r="SQV16" s="34"/>
      <c r="SQW16" s="34"/>
      <c r="SQX16" s="34"/>
      <c r="SQY16" s="34"/>
      <c r="SQZ16" s="34"/>
      <c r="SRA16" s="34"/>
      <c r="SRB16" s="34"/>
      <c r="SRC16" s="34"/>
      <c r="SRD16" s="34"/>
      <c r="SRE16" s="34"/>
      <c r="SRF16" s="34"/>
      <c r="SRG16" s="34"/>
      <c r="SRH16" s="34"/>
      <c r="SRI16" s="34"/>
      <c r="SRJ16" s="34"/>
      <c r="SRK16" s="34"/>
      <c r="SRL16" s="34"/>
      <c r="SRM16" s="34"/>
      <c r="SRN16" s="34"/>
      <c r="SRO16" s="34"/>
      <c r="SRP16" s="34"/>
      <c r="SRQ16" s="34"/>
      <c r="SRR16" s="34"/>
      <c r="SRS16" s="34"/>
      <c r="SRT16" s="34"/>
      <c r="SRU16" s="34"/>
      <c r="SRV16" s="34"/>
      <c r="SRW16" s="34"/>
      <c r="SRX16" s="34"/>
      <c r="SRY16" s="34"/>
      <c r="SRZ16" s="34"/>
      <c r="SSA16" s="34"/>
      <c r="SSB16" s="34"/>
      <c r="SSC16" s="34"/>
      <c r="SSD16" s="34"/>
      <c r="SSE16" s="34"/>
      <c r="SSF16" s="34"/>
      <c r="SSG16" s="34"/>
      <c r="SSH16" s="34"/>
      <c r="SSI16" s="34"/>
      <c r="SSJ16" s="34"/>
      <c r="SSK16" s="34"/>
      <c r="SSL16" s="34"/>
      <c r="SSM16" s="34"/>
      <c r="SSN16" s="34"/>
      <c r="SSO16" s="34"/>
      <c r="SSP16" s="34"/>
      <c r="SSQ16" s="34"/>
      <c r="SSR16" s="34"/>
      <c r="SSS16" s="34"/>
      <c r="SST16" s="34"/>
      <c r="SSU16" s="34"/>
      <c r="SSV16" s="34"/>
      <c r="SSW16" s="34"/>
      <c r="SSX16" s="34"/>
      <c r="SSY16" s="34"/>
      <c r="SSZ16" s="34"/>
      <c r="STA16" s="34"/>
      <c r="STB16" s="34"/>
      <c r="STC16" s="34"/>
      <c r="STD16" s="34"/>
      <c r="STE16" s="34"/>
      <c r="STF16" s="34"/>
      <c r="STG16" s="34"/>
      <c r="STH16" s="34"/>
      <c r="STI16" s="34"/>
      <c r="STJ16" s="34"/>
      <c r="STK16" s="34"/>
      <c r="STL16" s="34"/>
      <c r="STM16" s="34"/>
      <c r="STN16" s="34"/>
      <c r="STO16" s="34"/>
      <c r="STP16" s="34"/>
      <c r="STQ16" s="34"/>
      <c r="STR16" s="34"/>
      <c r="STS16" s="34"/>
      <c r="STT16" s="34"/>
      <c r="STU16" s="34"/>
      <c r="STV16" s="34"/>
      <c r="STW16" s="34"/>
      <c r="STX16" s="34"/>
      <c r="STY16" s="34"/>
      <c r="STZ16" s="34"/>
      <c r="SUA16" s="34"/>
      <c r="SUB16" s="34"/>
      <c r="SUC16" s="34"/>
      <c r="SUD16" s="34"/>
      <c r="SUE16" s="34"/>
      <c r="SUF16" s="34"/>
      <c r="SUG16" s="34"/>
      <c r="SUH16" s="34"/>
      <c r="SUI16" s="34"/>
      <c r="SUJ16" s="34"/>
      <c r="SUK16" s="34"/>
      <c r="SUL16" s="34"/>
      <c r="SUM16" s="34"/>
      <c r="SUN16" s="34"/>
      <c r="SUO16" s="34"/>
      <c r="SUP16" s="34"/>
      <c r="SUQ16" s="34"/>
      <c r="SUR16" s="34"/>
      <c r="SUS16" s="34"/>
      <c r="SUT16" s="34"/>
      <c r="SUU16" s="34"/>
      <c r="SUV16" s="34"/>
      <c r="SUW16" s="34"/>
      <c r="SUX16" s="34"/>
      <c r="SUY16" s="34"/>
      <c r="SUZ16" s="34"/>
      <c r="SVA16" s="34"/>
      <c r="SVB16" s="34"/>
      <c r="SVC16" s="34"/>
      <c r="SVD16" s="34"/>
      <c r="SVE16" s="34"/>
      <c r="SVF16" s="34"/>
      <c r="SVG16" s="34"/>
      <c r="SVH16" s="34"/>
      <c r="SVI16" s="34"/>
      <c r="SVJ16" s="34"/>
      <c r="SVK16" s="34"/>
      <c r="SVL16" s="34"/>
      <c r="SVM16" s="34"/>
      <c r="SVN16" s="34"/>
      <c r="SVO16" s="34"/>
      <c r="SVP16" s="34"/>
      <c r="SVQ16" s="34"/>
      <c r="SVR16" s="34"/>
      <c r="SVS16" s="34"/>
      <c r="SVT16" s="34"/>
      <c r="SVU16" s="34"/>
      <c r="SVV16" s="34"/>
      <c r="SVW16" s="34"/>
      <c r="SVX16" s="34"/>
      <c r="SVY16" s="34"/>
      <c r="SVZ16" s="34"/>
      <c r="SWA16" s="34"/>
      <c r="SWB16" s="34"/>
      <c r="SWC16" s="34"/>
      <c r="SWD16" s="34"/>
      <c r="SWE16" s="34"/>
      <c r="SWF16" s="34"/>
      <c r="SWG16" s="34"/>
      <c r="SWH16" s="34"/>
      <c r="SWI16" s="34"/>
      <c r="SWJ16" s="34"/>
      <c r="SWK16" s="34"/>
      <c r="SWL16" s="34"/>
      <c r="SWM16" s="34"/>
      <c r="SWN16" s="34"/>
      <c r="SWO16" s="34"/>
      <c r="SWP16" s="34"/>
      <c r="SWQ16" s="34"/>
      <c r="SWR16" s="34"/>
      <c r="SWS16" s="34"/>
      <c r="SWT16" s="34"/>
      <c r="SWU16" s="34"/>
      <c r="SWV16" s="34"/>
      <c r="SWW16" s="34"/>
      <c r="SWX16" s="34"/>
      <c r="SWY16" s="34"/>
      <c r="SWZ16" s="34"/>
      <c r="SXA16" s="34"/>
      <c r="SXB16" s="34"/>
      <c r="SXC16" s="34"/>
      <c r="SXD16" s="34"/>
      <c r="SXE16" s="34"/>
      <c r="SXF16" s="34"/>
      <c r="SXG16" s="34"/>
      <c r="SXH16" s="34"/>
      <c r="SXI16" s="34"/>
      <c r="SXJ16" s="34"/>
      <c r="SXK16" s="34"/>
      <c r="SXL16" s="34"/>
      <c r="SXM16" s="34"/>
      <c r="SXN16" s="34"/>
      <c r="SXO16" s="34"/>
      <c r="SXP16" s="34"/>
      <c r="SXQ16" s="34"/>
      <c r="SXR16" s="34"/>
      <c r="SXS16" s="34"/>
      <c r="SXT16" s="34"/>
      <c r="SXU16" s="34"/>
      <c r="SXV16" s="34"/>
      <c r="SXW16" s="34"/>
      <c r="SXX16" s="34"/>
      <c r="SXY16" s="34"/>
      <c r="SXZ16" s="34"/>
      <c r="SYA16" s="34"/>
      <c r="SYB16" s="34"/>
      <c r="SYC16" s="34"/>
      <c r="SYD16" s="34"/>
      <c r="SYE16" s="34"/>
      <c r="SYF16" s="34"/>
      <c r="SYG16" s="34"/>
      <c r="SYH16" s="34"/>
      <c r="SYI16" s="34"/>
      <c r="SYJ16" s="34"/>
      <c r="SYK16" s="34"/>
      <c r="SYL16" s="34"/>
      <c r="SYM16" s="34"/>
      <c r="SYN16" s="34"/>
      <c r="SYO16" s="34"/>
      <c r="SYP16" s="34"/>
      <c r="SYQ16" s="34"/>
      <c r="SYR16" s="34"/>
      <c r="SYS16" s="34"/>
      <c r="SYT16" s="34"/>
      <c r="SYU16" s="34"/>
      <c r="SYV16" s="34"/>
      <c r="SYW16" s="34"/>
      <c r="SYX16" s="34"/>
      <c r="SYY16" s="34"/>
      <c r="SYZ16" s="34"/>
      <c r="SZA16" s="34"/>
      <c r="SZB16" s="34"/>
      <c r="SZC16" s="34"/>
      <c r="SZD16" s="34"/>
      <c r="SZE16" s="34"/>
      <c r="SZF16" s="34"/>
      <c r="SZG16" s="34"/>
      <c r="SZH16" s="34"/>
      <c r="SZI16" s="34"/>
      <c r="SZJ16" s="34"/>
      <c r="SZK16" s="34"/>
      <c r="SZL16" s="34"/>
      <c r="SZM16" s="34"/>
      <c r="SZN16" s="34"/>
      <c r="SZO16" s="34"/>
      <c r="SZP16" s="34"/>
      <c r="SZQ16" s="34"/>
      <c r="SZR16" s="34"/>
      <c r="SZS16" s="34"/>
      <c r="SZT16" s="34"/>
      <c r="SZU16" s="34"/>
      <c r="SZV16" s="34"/>
      <c r="SZW16" s="34"/>
      <c r="SZX16" s="34"/>
      <c r="SZY16" s="34"/>
      <c r="SZZ16" s="34"/>
      <c r="TAA16" s="34"/>
      <c r="TAB16" s="34"/>
      <c r="TAC16" s="34"/>
      <c r="TAD16" s="34"/>
      <c r="TAE16" s="34"/>
      <c r="TAF16" s="34"/>
      <c r="TAG16" s="34"/>
      <c r="TAH16" s="34"/>
      <c r="TAI16" s="34"/>
      <c r="TAJ16" s="34"/>
      <c r="TAK16" s="34"/>
      <c r="TAL16" s="34"/>
      <c r="TAM16" s="34"/>
      <c r="TAN16" s="34"/>
      <c r="TAO16" s="34"/>
      <c r="TAP16" s="34"/>
      <c r="TAQ16" s="34"/>
      <c r="TAR16" s="34"/>
      <c r="TAS16" s="34"/>
      <c r="TAT16" s="34"/>
      <c r="TAU16" s="34"/>
      <c r="TAV16" s="34"/>
      <c r="TAW16" s="34"/>
      <c r="TAX16" s="34"/>
      <c r="TAY16" s="34"/>
      <c r="TAZ16" s="34"/>
      <c r="TBA16" s="34"/>
      <c r="TBB16" s="34"/>
      <c r="TBC16" s="34"/>
      <c r="TBD16" s="34"/>
      <c r="TBE16" s="34"/>
      <c r="TBF16" s="34"/>
      <c r="TBG16" s="34"/>
      <c r="TBH16" s="34"/>
      <c r="TBI16" s="34"/>
      <c r="TBJ16" s="34"/>
      <c r="TBK16" s="34"/>
      <c r="TBL16" s="34"/>
      <c r="TBM16" s="34"/>
      <c r="TBN16" s="34"/>
      <c r="TBO16" s="34"/>
      <c r="TBP16" s="34"/>
      <c r="TBQ16" s="34"/>
      <c r="TBR16" s="34"/>
      <c r="TBS16" s="34"/>
      <c r="TBT16" s="34"/>
      <c r="TBU16" s="34"/>
      <c r="TBV16" s="34"/>
      <c r="TBW16" s="34"/>
      <c r="TBX16" s="34"/>
      <c r="TBY16" s="34"/>
      <c r="TBZ16" s="34"/>
      <c r="TCA16" s="34"/>
      <c r="TCB16" s="34"/>
      <c r="TCC16" s="34"/>
      <c r="TCD16" s="34"/>
      <c r="TCE16" s="34"/>
      <c r="TCF16" s="34"/>
      <c r="TCG16" s="34"/>
      <c r="TCH16" s="34"/>
      <c r="TCI16" s="34"/>
      <c r="TCJ16" s="34"/>
      <c r="TCK16" s="34"/>
      <c r="TCL16" s="34"/>
      <c r="TCM16" s="34"/>
      <c r="TCN16" s="34"/>
      <c r="TCO16" s="34"/>
      <c r="TCP16" s="34"/>
      <c r="TCQ16" s="34"/>
      <c r="TCR16" s="34"/>
      <c r="TCS16" s="34"/>
      <c r="TCT16" s="34"/>
      <c r="TCU16" s="34"/>
      <c r="TCV16" s="34"/>
      <c r="TCW16" s="34"/>
      <c r="TCX16" s="34"/>
      <c r="TCY16" s="34"/>
      <c r="TCZ16" s="34"/>
      <c r="TDA16" s="34"/>
      <c r="TDB16" s="34"/>
      <c r="TDC16" s="34"/>
      <c r="TDD16" s="34"/>
      <c r="TDE16" s="34"/>
      <c r="TDF16" s="34"/>
      <c r="TDG16" s="34"/>
      <c r="TDH16" s="34"/>
      <c r="TDI16" s="34"/>
      <c r="TDJ16" s="34"/>
      <c r="TDK16" s="34"/>
      <c r="TDL16" s="34"/>
      <c r="TDM16" s="34"/>
      <c r="TDN16" s="34"/>
      <c r="TDO16" s="34"/>
      <c r="TDP16" s="34"/>
      <c r="TDQ16" s="34"/>
      <c r="TDR16" s="34"/>
      <c r="TDS16" s="34"/>
      <c r="TDT16" s="34"/>
      <c r="TDU16" s="34"/>
      <c r="TDV16" s="34"/>
      <c r="TDW16" s="34"/>
      <c r="TDX16" s="34"/>
      <c r="TDY16" s="34"/>
      <c r="TDZ16" s="34"/>
      <c r="TEA16" s="34"/>
      <c r="TEB16" s="34"/>
      <c r="TEC16" s="34"/>
      <c r="TED16" s="34"/>
      <c r="TEE16" s="34"/>
      <c r="TEF16" s="34"/>
      <c r="TEG16" s="34"/>
      <c r="TEH16" s="34"/>
      <c r="TEI16" s="34"/>
      <c r="TEJ16" s="34"/>
      <c r="TEK16" s="34"/>
      <c r="TEL16" s="34"/>
      <c r="TEM16" s="34"/>
      <c r="TEN16" s="34"/>
      <c r="TEO16" s="34"/>
      <c r="TEP16" s="34"/>
      <c r="TEQ16" s="34"/>
      <c r="TER16" s="34"/>
      <c r="TES16" s="34"/>
      <c r="TET16" s="34"/>
      <c r="TEU16" s="34"/>
      <c r="TEV16" s="34"/>
      <c r="TEW16" s="34"/>
      <c r="TEX16" s="34"/>
      <c r="TEY16" s="34"/>
      <c r="TEZ16" s="34"/>
      <c r="TFA16" s="34"/>
      <c r="TFB16" s="34"/>
      <c r="TFC16" s="34"/>
      <c r="TFD16" s="34"/>
      <c r="TFE16" s="34"/>
      <c r="TFF16" s="34"/>
      <c r="TFG16" s="34"/>
      <c r="TFH16" s="34"/>
      <c r="TFI16" s="34"/>
      <c r="TFJ16" s="34"/>
      <c r="TFK16" s="34"/>
      <c r="TFL16" s="34"/>
      <c r="TFM16" s="34"/>
      <c r="TFN16" s="34"/>
      <c r="TFO16" s="34"/>
      <c r="TFP16" s="34"/>
      <c r="TFQ16" s="34"/>
      <c r="TFR16" s="34"/>
      <c r="TFS16" s="34"/>
      <c r="TFT16" s="34"/>
      <c r="TFU16" s="34"/>
      <c r="TFV16" s="34"/>
      <c r="TFW16" s="34"/>
      <c r="TFX16" s="34"/>
      <c r="TFY16" s="34"/>
      <c r="TFZ16" s="34"/>
      <c r="TGA16" s="34"/>
      <c r="TGB16" s="34"/>
      <c r="TGC16" s="34"/>
      <c r="TGD16" s="34"/>
      <c r="TGE16" s="34"/>
      <c r="TGF16" s="34"/>
      <c r="TGG16" s="34"/>
      <c r="TGH16" s="34"/>
      <c r="TGI16" s="34"/>
      <c r="TGJ16" s="34"/>
      <c r="TGK16" s="34"/>
      <c r="TGL16" s="34"/>
      <c r="TGM16" s="34"/>
      <c r="TGN16" s="34"/>
      <c r="TGO16" s="34"/>
      <c r="TGP16" s="34"/>
      <c r="TGQ16" s="34"/>
      <c r="TGR16" s="34"/>
      <c r="TGS16" s="34"/>
      <c r="TGT16" s="34"/>
      <c r="TGU16" s="34"/>
      <c r="TGV16" s="34"/>
      <c r="TGW16" s="34"/>
      <c r="TGX16" s="34"/>
      <c r="TGY16" s="34"/>
      <c r="TGZ16" s="34"/>
      <c r="THA16" s="34"/>
      <c r="THB16" s="34"/>
      <c r="THC16" s="34"/>
      <c r="THD16" s="34"/>
      <c r="THE16" s="34"/>
      <c r="THF16" s="34"/>
      <c r="THG16" s="34"/>
      <c r="THH16" s="34"/>
      <c r="THI16" s="34"/>
      <c r="THJ16" s="34"/>
      <c r="THK16" s="34"/>
      <c r="THL16" s="34"/>
      <c r="THM16" s="34"/>
      <c r="THN16" s="34"/>
      <c r="THO16" s="34"/>
      <c r="THP16" s="34"/>
      <c r="THQ16" s="34"/>
      <c r="THR16" s="34"/>
      <c r="THS16" s="34"/>
      <c r="THT16" s="34"/>
      <c r="THU16" s="34"/>
      <c r="THV16" s="34"/>
      <c r="THW16" s="34"/>
      <c r="THX16" s="34"/>
      <c r="THY16" s="34"/>
      <c r="THZ16" s="34"/>
      <c r="TIA16" s="34"/>
      <c r="TIB16" s="34"/>
      <c r="TIC16" s="34"/>
      <c r="TID16" s="34"/>
      <c r="TIE16" s="34"/>
      <c r="TIF16" s="34"/>
      <c r="TIG16" s="34"/>
      <c r="TIH16" s="34"/>
      <c r="TII16" s="34"/>
      <c r="TIJ16" s="34"/>
      <c r="TIK16" s="34"/>
      <c r="TIL16" s="34"/>
      <c r="TIM16" s="34"/>
      <c r="TIN16" s="34"/>
      <c r="TIO16" s="34"/>
      <c r="TIP16" s="34"/>
      <c r="TIQ16" s="34"/>
      <c r="TIR16" s="34"/>
      <c r="TIS16" s="34"/>
      <c r="TIT16" s="34"/>
      <c r="TIU16" s="34"/>
      <c r="TIV16" s="34"/>
      <c r="TIW16" s="34"/>
      <c r="TIX16" s="34"/>
      <c r="TIY16" s="34"/>
      <c r="TIZ16" s="34"/>
      <c r="TJA16" s="34"/>
      <c r="TJB16" s="34"/>
      <c r="TJC16" s="34"/>
      <c r="TJD16" s="34"/>
      <c r="TJE16" s="34"/>
      <c r="TJF16" s="34"/>
      <c r="TJG16" s="34"/>
      <c r="TJH16" s="34"/>
      <c r="TJI16" s="34"/>
      <c r="TJJ16" s="34"/>
      <c r="TJK16" s="34"/>
      <c r="TJL16" s="34"/>
      <c r="TJM16" s="34"/>
      <c r="TJN16" s="34"/>
      <c r="TJO16" s="34"/>
      <c r="TJP16" s="34"/>
      <c r="TJQ16" s="34"/>
      <c r="TJR16" s="34"/>
      <c r="TJS16" s="34"/>
      <c r="TJT16" s="34"/>
      <c r="TJU16" s="34"/>
      <c r="TJV16" s="34"/>
      <c r="TJW16" s="34"/>
      <c r="TJX16" s="34"/>
      <c r="TJY16" s="34"/>
      <c r="TJZ16" s="34"/>
      <c r="TKA16" s="34"/>
      <c r="TKB16" s="34"/>
      <c r="TKC16" s="34"/>
      <c r="TKD16" s="34"/>
      <c r="TKE16" s="34"/>
      <c r="TKF16" s="34"/>
      <c r="TKG16" s="34"/>
      <c r="TKH16" s="34"/>
      <c r="TKI16" s="34"/>
      <c r="TKJ16" s="34"/>
      <c r="TKK16" s="34"/>
      <c r="TKL16" s="34"/>
      <c r="TKM16" s="34"/>
      <c r="TKN16" s="34"/>
      <c r="TKO16" s="34"/>
      <c r="TKP16" s="34"/>
      <c r="TKQ16" s="34"/>
      <c r="TKR16" s="34"/>
      <c r="TKS16" s="34"/>
      <c r="TKT16" s="34"/>
      <c r="TKU16" s="34"/>
      <c r="TKV16" s="34"/>
      <c r="TKW16" s="34"/>
      <c r="TKX16" s="34"/>
      <c r="TKY16" s="34"/>
      <c r="TKZ16" s="34"/>
      <c r="TLA16" s="34"/>
      <c r="TLB16" s="34"/>
      <c r="TLC16" s="34"/>
      <c r="TLD16" s="34"/>
      <c r="TLE16" s="34"/>
      <c r="TLF16" s="34"/>
      <c r="TLG16" s="34"/>
      <c r="TLH16" s="34"/>
      <c r="TLI16" s="34"/>
      <c r="TLJ16" s="34"/>
      <c r="TLK16" s="34"/>
      <c r="TLL16" s="34"/>
      <c r="TLM16" s="34"/>
      <c r="TLN16" s="34"/>
      <c r="TLO16" s="34"/>
      <c r="TLP16" s="34"/>
      <c r="TLQ16" s="34"/>
      <c r="TLR16" s="34"/>
      <c r="TLS16" s="34"/>
      <c r="TLT16" s="34"/>
      <c r="TLU16" s="34"/>
      <c r="TLV16" s="34"/>
      <c r="TLW16" s="34"/>
      <c r="TLX16" s="34"/>
      <c r="TLY16" s="34"/>
      <c r="TLZ16" s="34"/>
      <c r="TMA16" s="34"/>
      <c r="TMB16" s="34"/>
      <c r="TMC16" s="34"/>
      <c r="TMD16" s="34"/>
      <c r="TME16" s="34"/>
      <c r="TMF16" s="34"/>
      <c r="TMG16" s="34"/>
      <c r="TMH16" s="34"/>
      <c r="TMI16" s="34"/>
      <c r="TMJ16" s="34"/>
      <c r="TMK16" s="34"/>
      <c r="TML16" s="34"/>
      <c r="TMM16" s="34"/>
      <c r="TMN16" s="34"/>
      <c r="TMO16" s="34"/>
      <c r="TMP16" s="34"/>
      <c r="TMQ16" s="34"/>
      <c r="TMR16" s="34"/>
      <c r="TMS16" s="34"/>
      <c r="TMT16" s="34"/>
      <c r="TMU16" s="34"/>
      <c r="TMV16" s="34"/>
      <c r="TMW16" s="34"/>
      <c r="TMX16" s="34"/>
      <c r="TMY16" s="34"/>
      <c r="TMZ16" s="34"/>
      <c r="TNA16" s="34"/>
      <c r="TNB16" s="34"/>
      <c r="TNC16" s="34"/>
      <c r="TND16" s="34"/>
      <c r="TNE16" s="34"/>
      <c r="TNF16" s="34"/>
      <c r="TNG16" s="34"/>
      <c r="TNH16" s="34"/>
      <c r="TNI16" s="34"/>
      <c r="TNJ16" s="34"/>
      <c r="TNK16" s="34"/>
      <c r="TNL16" s="34"/>
      <c r="TNM16" s="34"/>
      <c r="TNN16" s="34"/>
      <c r="TNO16" s="34"/>
      <c r="TNP16" s="34"/>
      <c r="TNQ16" s="34"/>
      <c r="TNR16" s="34"/>
      <c r="TNS16" s="34"/>
      <c r="TNT16" s="34"/>
      <c r="TNU16" s="34"/>
      <c r="TNV16" s="34"/>
      <c r="TNW16" s="34"/>
      <c r="TNX16" s="34"/>
      <c r="TNY16" s="34"/>
      <c r="TNZ16" s="34"/>
      <c r="TOA16" s="34"/>
      <c r="TOB16" s="34"/>
      <c r="TOC16" s="34"/>
      <c r="TOD16" s="34"/>
      <c r="TOE16" s="34"/>
      <c r="TOF16" s="34"/>
      <c r="TOG16" s="34"/>
      <c r="TOH16" s="34"/>
      <c r="TOI16" s="34"/>
      <c r="TOJ16" s="34"/>
      <c r="TOK16" s="34"/>
      <c r="TOL16" s="34"/>
      <c r="TOM16" s="34"/>
      <c r="TON16" s="34"/>
      <c r="TOO16" s="34"/>
      <c r="TOP16" s="34"/>
      <c r="TOQ16" s="34"/>
      <c r="TOR16" s="34"/>
      <c r="TOS16" s="34"/>
      <c r="TOT16" s="34"/>
      <c r="TOU16" s="34"/>
      <c r="TOV16" s="34"/>
      <c r="TOW16" s="34"/>
      <c r="TOX16" s="34"/>
      <c r="TOY16" s="34"/>
      <c r="TOZ16" s="34"/>
      <c r="TPA16" s="34"/>
      <c r="TPB16" s="34"/>
      <c r="TPC16" s="34"/>
      <c r="TPD16" s="34"/>
      <c r="TPE16" s="34"/>
      <c r="TPF16" s="34"/>
      <c r="TPG16" s="34"/>
      <c r="TPH16" s="34"/>
      <c r="TPI16" s="34"/>
      <c r="TPJ16" s="34"/>
      <c r="TPK16" s="34"/>
      <c r="TPL16" s="34"/>
      <c r="TPM16" s="34"/>
      <c r="TPN16" s="34"/>
      <c r="TPO16" s="34"/>
      <c r="TPP16" s="34"/>
      <c r="TPQ16" s="34"/>
      <c r="TPR16" s="34"/>
      <c r="TPS16" s="34"/>
      <c r="TPT16" s="34"/>
      <c r="TPU16" s="34"/>
      <c r="TPV16" s="34"/>
      <c r="TPW16" s="34"/>
      <c r="TPX16" s="34"/>
      <c r="TPY16" s="34"/>
      <c r="TPZ16" s="34"/>
      <c r="TQA16" s="34"/>
      <c r="TQB16" s="34"/>
      <c r="TQC16" s="34"/>
      <c r="TQD16" s="34"/>
      <c r="TQE16" s="34"/>
      <c r="TQF16" s="34"/>
      <c r="TQG16" s="34"/>
      <c r="TQH16" s="34"/>
      <c r="TQI16" s="34"/>
      <c r="TQJ16" s="34"/>
      <c r="TQK16" s="34"/>
      <c r="TQL16" s="34"/>
      <c r="TQM16" s="34"/>
      <c r="TQN16" s="34"/>
      <c r="TQO16" s="34"/>
      <c r="TQP16" s="34"/>
      <c r="TQQ16" s="34"/>
      <c r="TQR16" s="34"/>
      <c r="TQS16" s="34"/>
      <c r="TQT16" s="34"/>
      <c r="TQU16" s="34"/>
      <c r="TQV16" s="34"/>
      <c r="TQW16" s="34"/>
      <c r="TQX16" s="34"/>
      <c r="TQY16" s="34"/>
      <c r="TQZ16" s="34"/>
      <c r="TRA16" s="34"/>
      <c r="TRB16" s="34"/>
      <c r="TRC16" s="34"/>
      <c r="TRD16" s="34"/>
      <c r="TRE16" s="34"/>
      <c r="TRF16" s="34"/>
      <c r="TRG16" s="34"/>
      <c r="TRH16" s="34"/>
      <c r="TRI16" s="34"/>
      <c r="TRJ16" s="34"/>
      <c r="TRK16" s="34"/>
      <c r="TRL16" s="34"/>
      <c r="TRM16" s="34"/>
      <c r="TRN16" s="34"/>
      <c r="TRO16" s="34"/>
      <c r="TRP16" s="34"/>
      <c r="TRQ16" s="34"/>
      <c r="TRR16" s="34"/>
      <c r="TRS16" s="34"/>
      <c r="TRT16" s="34"/>
      <c r="TRU16" s="34"/>
      <c r="TRV16" s="34"/>
      <c r="TRW16" s="34"/>
      <c r="TRX16" s="34"/>
      <c r="TRY16" s="34"/>
      <c r="TRZ16" s="34"/>
      <c r="TSA16" s="34"/>
      <c r="TSB16" s="34"/>
      <c r="TSC16" s="34"/>
      <c r="TSD16" s="34"/>
      <c r="TSE16" s="34"/>
      <c r="TSF16" s="34"/>
      <c r="TSG16" s="34"/>
      <c r="TSH16" s="34"/>
      <c r="TSI16" s="34"/>
      <c r="TSJ16" s="34"/>
      <c r="TSK16" s="34"/>
      <c r="TSL16" s="34"/>
      <c r="TSM16" s="34"/>
      <c r="TSN16" s="34"/>
      <c r="TSO16" s="34"/>
      <c r="TSP16" s="34"/>
      <c r="TSQ16" s="34"/>
      <c r="TSR16" s="34"/>
      <c r="TSS16" s="34"/>
      <c r="TST16" s="34"/>
      <c r="TSU16" s="34"/>
      <c r="TSV16" s="34"/>
      <c r="TSW16" s="34"/>
      <c r="TSX16" s="34"/>
      <c r="TSY16" s="34"/>
      <c r="TSZ16" s="34"/>
      <c r="TTA16" s="34"/>
      <c r="TTB16" s="34"/>
      <c r="TTC16" s="34"/>
      <c r="TTD16" s="34"/>
      <c r="TTE16" s="34"/>
      <c r="TTF16" s="34"/>
      <c r="TTG16" s="34"/>
      <c r="TTH16" s="34"/>
      <c r="TTI16" s="34"/>
      <c r="TTJ16" s="34"/>
      <c r="TTK16" s="34"/>
      <c r="TTL16" s="34"/>
      <c r="TTM16" s="34"/>
      <c r="TTN16" s="34"/>
      <c r="TTO16" s="34"/>
      <c r="TTP16" s="34"/>
      <c r="TTQ16" s="34"/>
      <c r="TTR16" s="34"/>
      <c r="TTS16" s="34"/>
      <c r="TTT16" s="34"/>
      <c r="TTU16" s="34"/>
      <c r="TTV16" s="34"/>
      <c r="TTW16" s="34"/>
      <c r="TTX16" s="34"/>
      <c r="TTY16" s="34"/>
      <c r="TTZ16" s="34"/>
      <c r="TUA16" s="34"/>
      <c r="TUB16" s="34"/>
      <c r="TUC16" s="34"/>
      <c r="TUD16" s="34"/>
      <c r="TUE16" s="34"/>
      <c r="TUF16" s="34"/>
      <c r="TUG16" s="34"/>
      <c r="TUH16" s="34"/>
      <c r="TUI16" s="34"/>
      <c r="TUJ16" s="34"/>
      <c r="TUK16" s="34"/>
      <c r="TUL16" s="34"/>
      <c r="TUM16" s="34"/>
      <c r="TUN16" s="34"/>
      <c r="TUO16" s="34"/>
      <c r="TUP16" s="34"/>
      <c r="TUQ16" s="34"/>
      <c r="TUR16" s="34"/>
      <c r="TUS16" s="34"/>
      <c r="TUT16" s="34"/>
      <c r="TUU16" s="34"/>
      <c r="TUV16" s="34"/>
      <c r="TUW16" s="34"/>
      <c r="TUX16" s="34"/>
      <c r="TUY16" s="34"/>
      <c r="TUZ16" s="34"/>
      <c r="TVA16" s="34"/>
      <c r="TVB16" s="34"/>
      <c r="TVC16" s="34"/>
      <c r="TVD16" s="34"/>
      <c r="TVE16" s="34"/>
      <c r="TVF16" s="34"/>
      <c r="TVG16" s="34"/>
      <c r="TVH16" s="34"/>
      <c r="TVI16" s="34"/>
      <c r="TVJ16" s="34"/>
      <c r="TVK16" s="34"/>
      <c r="TVL16" s="34"/>
      <c r="TVM16" s="34"/>
      <c r="TVN16" s="34"/>
      <c r="TVO16" s="34"/>
      <c r="TVP16" s="34"/>
      <c r="TVQ16" s="34"/>
      <c r="TVR16" s="34"/>
      <c r="TVS16" s="34"/>
      <c r="TVT16" s="34"/>
      <c r="TVU16" s="34"/>
      <c r="TVV16" s="34"/>
      <c r="TVW16" s="34"/>
      <c r="TVX16" s="34"/>
      <c r="TVY16" s="34"/>
      <c r="TVZ16" s="34"/>
      <c r="TWA16" s="34"/>
      <c r="TWB16" s="34"/>
      <c r="TWC16" s="34"/>
      <c r="TWD16" s="34"/>
      <c r="TWE16" s="34"/>
      <c r="TWF16" s="34"/>
      <c r="TWG16" s="34"/>
      <c r="TWH16" s="34"/>
      <c r="TWI16" s="34"/>
      <c r="TWJ16" s="34"/>
      <c r="TWK16" s="34"/>
      <c r="TWL16" s="34"/>
      <c r="TWM16" s="34"/>
      <c r="TWN16" s="34"/>
      <c r="TWO16" s="34"/>
      <c r="TWP16" s="34"/>
      <c r="TWQ16" s="34"/>
      <c r="TWR16" s="34"/>
      <c r="TWS16" s="34"/>
      <c r="TWT16" s="34"/>
      <c r="TWU16" s="34"/>
      <c r="TWV16" s="34"/>
      <c r="TWW16" s="34"/>
      <c r="TWX16" s="34"/>
      <c r="TWY16" s="34"/>
      <c r="TWZ16" s="34"/>
      <c r="TXA16" s="34"/>
      <c r="TXB16" s="34"/>
      <c r="TXC16" s="34"/>
      <c r="TXD16" s="34"/>
      <c r="TXE16" s="34"/>
      <c r="TXF16" s="34"/>
      <c r="TXG16" s="34"/>
      <c r="TXH16" s="34"/>
      <c r="TXI16" s="34"/>
      <c r="TXJ16" s="34"/>
      <c r="TXK16" s="34"/>
      <c r="TXL16" s="34"/>
      <c r="TXM16" s="34"/>
      <c r="TXN16" s="34"/>
      <c r="TXO16" s="34"/>
      <c r="TXP16" s="34"/>
      <c r="TXQ16" s="34"/>
      <c r="TXR16" s="34"/>
      <c r="TXS16" s="34"/>
      <c r="TXT16" s="34"/>
      <c r="TXU16" s="34"/>
      <c r="TXV16" s="34"/>
      <c r="TXW16" s="34"/>
      <c r="TXX16" s="34"/>
      <c r="TXY16" s="34"/>
      <c r="TXZ16" s="34"/>
      <c r="TYA16" s="34"/>
      <c r="TYB16" s="34"/>
      <c r="TYC16" s="34"/>
      <c r="TYD16" s="34"/>
      <c r="TYE16" s="34"/>
      <c r="TYF16" s="34"/>
      <c r="TYG16" s="34"/>
      <c r="TYH16" s="34"/>
      <c r="TYI16" s="34"/>
      <c r="TYJ16" s="34"/>
      <c r="TYK16" s="34"/>
      <c r="TYL16" s="34"/>
      <c r="TYM16" s="34"/>
      <c r="TYN16" s="34"/>
      <c r="TYO16" s="34"/>
      <c r="TYP16" s="34"/>
      <c r="TYQ16" s="34"/>
      <c r="TYR16" s="34"/>
      <c r="TYS16" s="34"/>
      <c r="TYT16" s="34"/>
      <c r="TYU16" s="34"/>
      <c r="TYV16" s="34"/>
      <c r="TYW16" s="34"/>
      <c r="TYX16" s="34"/>
      <c r="TYY16" s="34"/>
      <c r="TYZ16" s="34"/>
      <c r="TZA16" s="34"/>
      <c r="TZB16" s="34"/>
      <c r="TZC16" s="34"/>
      <c r="TZD16" s="34"/>
      <c r="TZE16" s="34"/>
      <c r="TZF16" s="34"/>
      <c r="TZG16" s="34"/>
      <c r="TZH16" s="34"/>
      <c r="TZI16" s="34"/>
      <c r="TZJ16" s="34"/>
      <c r="TZK16" s="34"/>
      <c r="TZL16" s="34"/>
      <c r="TZM16" s="34"/>
      <c r="TZN16" s="34"/>
      <c r="TZO16" s="34"/>
      <c r="TZP16" s="34"/>
      <c r="TZQ16" s="34"/>
      <c r="TZR16" s="34"/>
      <c r="TZS16" s="34"/>
      <c r="TZT16" s="34"/>
      <c r="TZU16" s="34"/>
      <c r="TZV16" s="34"/>
      <c r="TZW16" s="34"/>
      <c r="TZX16" s="34"/>
      <c r="TZY16" s="34"/>
      <c r="TZZ16" s="34"/>
      <c r="UAA16" s="34"/>
      <c r="UAB16" s="34"/>
      <c r="UAC16" s="34"/>
      <c r="UAD16" s="34"/>
      <c r="UAE16" s="34"/>
      <c r="UAF16" s="34"/>
      <c r="UAG16" s="34"/>
      <c r="UAH16" s="34"/>
      <c r="UAI16" s="34"/>
      <c r="UAJ16" s="34"/>
      <c r="UAK16" s="34"/>
      <c r="UAL16" s="34"/>
      <c r="UAM16" s="34"/>
      <c r="UAN16" s="34"/>
      <c r="UAO16" s="34"/>
      <c r="UAP16" s="34"/>
      <c r="UAQ16" s="34"/>
      <c r="UAR16" s="34"/>
      <c r="UAS16" s="34"/>
      <c r="UAT16" s="34"/>
      <c r="UAU16" s="34"/>
      <c r="UAV16" s="34"/>
      <c r="UAW16" s="34"/>
      <c r="UAX16" s="34"/>
      <c r="UAY16" s="34"/>
      <c r="UAZ16" s="34"/>
      <c r="UBA16" s="34"/>
      <c r="UBB16" s="34"/>
      <c r="UBC16" s="34"/>
      <c r="UBD16" s="34"/>
      <c r="UBE16" s="34"/>
      <c r="UBF16" s="34"/>
      <c r="UBG16" s="34"/>
      <c r="UBH16" s="34"/>
      <c r="UBI16" s="34"/>
      <c r="UBJ16" s="34"/>
      <c r="UBK16" s="34"/>
      <c r="UBL16" s="34"/>
      <c r="UBM16" s="34"/>
      <c r="UBN16" s="34"/>
      <c r="UBO16" s="34"/>
      <c r="UBP16" s="34"/>
      <c r="UBQ16" s="34"/>
      <c r="UBR16" s="34"/>
      <c r="UBS16" s="34"/>
      <c r="UBT16" s="34"/>
      <c r="UBU16" s="34"/>
      <c r="UBV16" s="34"/>
      <c r="UBW16" s="34"/>
      <c r="UBX16" s="34"/>
      <c r="UBY16" s="34"/>
      <c r="UBZ16" s="34"/>
      <c r="UCA16" s="34"/>
      <c r="UCB16" s="34"/>
      <c r="UCC16" s="34"/>
      <c r="UCD16" s="34"/>
      <c r="UCE16" s="34"/>
      <c r="UCF16" s="34"/>
      <c r="UCG16" s="34"/>
      <c r="UCH16" s="34"/>
      <c r="UCI16" s="34"/>
      <c r="UCJ16" s="34"/>
      <c r="UCK16" s="34"/>
      <c r="UCL16" s="34"/>
      <c r="UCM16" s="34"/>
      <c r="UCN16" s="34"/>
      <c r="UCO16" s="34"/>
      <c r="UCP16" s="34"/>
      <c r="UCQ16" s="34"/>
      <c r="UCR16" s="34"/>
      <c r="UCS16" s="34"/>
      <c r="UCT16" s="34"/>
      <c r="UCU16" s="34"/>
      <c r="UCV16" s="34"/>
      <c r="UCW16" s="34"/>
      <c r="UCX16" s="34"/>
      <c r="UCY16" s="34"/>
      <c r="UCZ16" s="34"/>
      <c r="UDA16" s="34"/>
      <c r="UDB16" s="34"/>
      <c r="UDC16" s="34"/>
      <c r="UDD16" s="34"/>
      <c r="UDE16" s="34"/>
      <c r="UDF16" s="34"/>
      <c r="UDG16" s="34"/>
      <c r="UDH16" s="34"/>
      <c r="UDI16" s="34"/>
      <c r="UDJ16" s="34"/>
      <c r="UDK16" s="34"/>
      <c r="UDL16" s="34"/>
      <c r="UDM16" s="34"/>
      <c r="UDN16" s="34"/>
      <c r="UDO16" s="34"/>
      <c r="UDP16" s="34"/>
      <c r="UDQ16" s="34"/>
      <c r="UDR16" s="34"/>
      <c r="UDS16" s="34"/>
      <c r="UDT16" s="34"/>
      <c r="UDU16" s="34"/>
      <c r="UDV16" s="34"/>
      <c r="UDW16" s="34"/>
      <c r="UDX16" s="34"/>
      <c r="UDY16" s="34"/>
      <c r="UDZ16" s="34"/>
      <c r="UEA16" s="34"/>
      <c r="UEB16" s="34"/>
      <c r="UEC16" s="34"/>
      <c r="UED16" s="34"/>
      <c r="UEE16" s="34"/>
      <c r="UEF16" s="34"/>
      <c r="UEG16" s="34"/>
      <c r="UEH16" s="34"/>
      <c r="UEI16" s="34"/>
      <c r="UEJ16" s="34"/>
      <c r="UEK16" s="34"/>
      <c r="UEL16" s="34"/>
      <c r="UEM16" s="34"/>
      <c r="UEN16" s="34"/>
      <c r="UEO16" s="34"/>
      <c r="UEP16" s="34"/>
      <c r="UEQ16" s="34"/>
      <c r="UER16" s="34"/>
      <c r="UES16" s="34"/>
      <c r="UET16" s="34"/>
      <c r="UEU16" s="34"/>
      <c r="UEV16" s="34"/>
      <c r="UEW16" s="34"/>
      <c r="UEX16" s="34"/>
      <c r="UEY16" s="34"/>
      <c r="UEZ16" s="34"/>
      <c r="UFA16" s="34"/>
      <c r="UFB16" s="34"/>
      <c r="UFC16" s="34"/>
      <c r="UFD16" s="34"/>
      <c r="UFE16" s="34"/>
      <c r="UFF16" s="34"/>
      <c r="UFG16" s="34"/>
      <c r="UFH16" s="34"/>
      <c r="UFI16" s="34"/>
      <c r="UFJ16" s="34"/>
      <c r="UFK16" s="34"/>
      <c r="UFL16" s="34"/>
      <c r="UFM16" s="34"/>
      <c r="UFN16" s="34"/>
      <c r="UFO16" s="34"/>
      <c r="UFP16" s="34"/>
      <c r="UFQ16" s="34"/>
      <c r="UFR16" s="34"/>
      <c r="UFS16" s="34"/>
      <c r="UFT16" s="34"/>
      <c r="UFU16" s="34"/>
      <c r="UFV16" s="34"/>
      <c r="UFW16" s="34"/>
      <c r="UFX16" s="34"/>
      <c r="UFY16" s="34"/>
      <c r="UFZ16" s="34"/>
      <c r="UGA16" s="34"/>
      <c r="UGB16" s="34"/>
      <c r="UGC16" s="34"/>
      <c r="UGD16" s="34"/>
      <c r="UGE16" s="34"/>
      <c r="UGF16" s="34"/>
      <c r="UGG16" s="34"/>
      <c r="UGH16" s="34"/>
      <c r="UGI16" s="34"/>
      <c r="UGJ16" s="34"/>
      <c r="UGK16" s="34"/>
      <c r="UGL16" s="34"/>
      <c r="UGM16" s="34"/>
      <c r="UGN16" s="34"/>
      <c r="UGO16" s="34"/>
      <c r="UGP16" s="34"/>
      <c r="UGQ16" s="34"/>
      <c r="UGR16" s="34"/>
      <c r="UGS16" s="34"/>
      <c r="UGT16" s="34"/>
      <c r="UGU16" s="34"/>
      <c r="UGV16" s="34"/>
      <c r="UGW16" s="34"/>
      <c r="UGX16" s="34"/>
      <c r="UGY16" s="34"/>
      <c r="UGZ16" s="34"/>
      <c r="UHA16" s="34"/>
      <c r="UHB16" s="34"/>
      <c r="UHC16" s="34"/>
      <c r="UHD16" s="34"/>
      <c r="UHE16" s="34"/>
      <c r="UHF16" s="34"/>
      <c r="UHG16" s="34"/>
      <c r="UHH16" s="34"/>
      <c r="UHI16" s="34"/>
      <c r="UHJ16" s="34"/>
      <c r="UHK16" s="34"/>
      <c r="UHL16" s="34"/>
      <c r="UHM16" s="34"/>
      <c r="UHN16" s="34"/>
      <c r="UHO16" s="34"/>
      <c r="UHP16" s="34"/>
      <c r="UHQ16" s="34"/>
      <c r="UHR16" s="34"/>
      <c r="UHS16" s="34"/>
      <c r="UHT16" s="34"/>
      <c r="UHU16" s="34"/>
      <c r="UHV16" s="34"/>
      <c r="UHW16" s="34"/>
      <c r="UHX16" s="34"/>
      <c r="UHY16" s="34"/>
      <c r="UHZ16" s="34"/>
      <c r="UIA16" s="34"/>
      <c r="UIB16" s="34"/>
      <c r="UIC16" s="34"/>
      <c r="UID16" s="34"/>
      <c r="UIE16" s="34"/>
      <c r="UIF16" s="34"/>
      <c r="UIG16" s="34"/>
      <c r="UIH16" s="34"/>
      <c r="UII16" s="34"/>
      <c r="UIJ16" s="34"/>
      <c r="UIK16" s="34"/>
      <c r="UIL16" s="34"/>
      <c r="UIM16" s="34"/>
      <c r="UIN16" s="34"/>
      <c r="UIO16" s="34"/>
      <c r="UIP16" s="34"/>
      <c r="UIQ16" s="34"/>
      <c r="UIR16" s="34"/>
      <c r="UIS16" s="34"/>
      <c r="UIT16" s="34"/>
      <c r="UIU16" s="34"/>
      <c r="UIV16" s="34"/>
      <c r="UIW16" s="34"/>
      <c r="UIX16" s="34"/>
      <c r="UIY16" s="34"/>
      <c r="UIZ16" s="34"/>
      <c r="UJA16" s="34"/>
      <c r="UJB16" s="34"/>
      <c r="UJC16" s="34"/>
      <c r="UJD16" s="34"/>
      <c r="UJE16" s="34"/>
      <c r="UJF16" s="34"/>
      <c r="UJG16" s="34"/>
      <c r="UJH16" s="34"/>
      <c r="UJI16" s="34"/>
      <c r="UJJ16" s="34"/>
      <c r="UJK16" s="34"/>
      <c r="UJL16" s="34"/>
      <c r="UJM16" s="34"/>
      <c r="UJN16" s="34"/>
      <c r="UJO16" s="34"/>
      <c r="UJP16" s="34"/>
      <c r="UJQ16" s="34"/>
      <c r="UJR16" s="34"/>
      <c r="UJS16" s="34"/>
      <c r="UJT16" s="34"/>
      <c r="UJU16" s="34"/>
      <c r="UJV16" s="34"/>
      <c r="UJW16" s="34"/>
      <c r="UJX16" s="34"/>
      <c r="UJY16" s="34"/>
      <c r="UJZ16" s="34"/>
      <c r="UKA16" s="34"/>
      <c r="UKB16" s="34"/>
      <c r="UKC16" s="34"/>
      <c r="UKD16" s="34"/>
      <c r="UKE16" s="34"/>
      <c r="UKF16" s="34"/>
      <c r="UKG16" s="34"/>
      <c r="UKH16" s="34"/>
      <c r="UKI16" s="34"/>
      <c r="UKJ16" s="34"/>
      <c r="UKK16" s="34"/>
      <c r="UKL16" s="34"/>
      <c r="UKM16" s="34"/>
      <c r="UKN16" s="34"/>
      <c r="UKO16" s="34"/>
      <c r="UKP16" s="34"/>
      <c r="UKQ16" s="34"/>
      <c r="UKR16" s="34"/>
      <c r="UKS16" s="34"/>
      <c r="UKT16" s="34"/>
      <c r="UKU16" s="34"/>
      <c r="UKV16" s="34"/>
      <c r="UKW16" s="34"/>
      <c r="UKX16" s="34"/>
      <c r="UKY16" s="34"/>
      <c r="UKZ16" s="34"/>
      <c r="ULA16" s="34"/>
      <c r="ULB16" s="34"/>
      <c r="ULC16" s="34"/>
      <c r="ULD16" s="34"/>
      <c r="ULE16" s="34"/>
      <c r="ULF16" s="34"/>
      <c r="ULG16" s="34"/>
      <c r="ULH16" s="34"/>
      <c r="ULI16" s="34"/>
      <c r="ULJ16" s="34"/>
      <c r="ULK16" s="34"/>
      <c r="ULL16" s="34"/>
      <c r="ULM16" s="34"/>
      <c r="ULN16" s="34"/>
      <c r="ULO16" s="34"/>
      <c r="ULP16" s="34"/>
      <c r="ULQ16" s="34"/>
      <c r="ULR16" s="34"/>
      <c r="ULS16" s="34"/>
      <c r="ULT16" s="34"/>
      <c r="ULU16" s="34"/>
      <c r="ULV16" s="34"/>
      <c r="ULW16" s="34"/>
      <c r="ULX16" s="34"/>
      <c r="ULY16" s="34"/>
      <c r="ULZ16" s="34"/>
      <c r="UMA16" s="34"/>
      <c r="UMB16" s="34"/>
      <c r="UMC16" s="34"/>
      <c r="UMD16" s="34"/>
      <c r="UME16" s="34"/>
      <c r="UMF16" s="34"/>
      <c r="UMG16" s="34"/>
      <c r="UMH16" s="34"/>
      <c r="UMI16" s="34"/>
      <c r="UMJ16" s="34"/>
      <c r="UMK16" s="34"/>
      <c r="UML16" s="34"/>
      <c r="UMM16" s="34"/>
      <c r="UMN16" s="34"/>
      <c r="UMO16" s="34"/>
      <c r="UMP16" s="34"/>
      <c r="UMQ16" s="34"/>
      <c r="UMR16" s="34"/>
      <c r="UMS16" s="34"/>
      <c r="UMT16" s="34"/>
      <c r="UMU16" s="34"/>
      <c r="UMV16" s="34"/>
      <c r="UMW16" s="34"/>
      <c r="UMX16" s="34"/>
      <c r="UMY16" s="34"/>
      <c r="UMZ16" s="34"/>
      <c r="UNA16" s="34"/>
      <c r="UNB16" s="34"/>
      <c r="UNC16" s="34"/>
      <c r="UND16" s="34"/>
      <c r="UNE16" s="34"/>
      <c r="UNF16" s="34"/>
      <c r="UNG16" s="34"/>
      <c r="UNH16" s="34"/>
      <c r="UNI16" s="34"/>
      <c r="UNJ16" s="34"/>
      <c r="UNK16" s="34"/>
      <c r="UNL16" s="34"/>
      <c r="UNM16" s="34"/>
      <c r="UNN16" s="34"/>
      <c r="UNO16" s="34"/>
      <c r="UNP16" s="34"/>
      <c r="UNQ16" s="34"/>
      <c r="UNR16" s="34"/>
      <c r="UNS16" s="34"/>
      <c r="UNT16" s="34"/>
      <c r="UNU16" s="34"/>
      <c r="UNV16" s="34"/>
      <c r="UNW16" s="34"/>
      <c r="UNX16" s="34"/>
      <c r="UNY16" s="34"/>
      <c r="UNZ16" s="34"/>
      <c r="UOA16" s="34"/>
      <c r="UOB16" s="34"/>
      <c r="UOC16" s="34"/>
      <c r="UOD16" s="34"/>
      <c r="UOE16" s="34"/>
      <c r="UOF16" s="34"/>
      <c r="UOG16" s="34"/>
      <c r="UOH16" s="34"/>
      <c r="UOI16" s="34"/>
      <c r="UOJ16" s="34"/>
      <c r="UOK16" s="34"/>
      <c r="UOL16" s="34"/>
      <c r="UOM16" s="34"/>
      <c r="UON16" s="34"/>
      <c r="UOO16" s="34"/>
      <c r="UOP16" s="34"/>
      <c r="UOQ16" s="34"/>
      <c r="UOR16" s="34"/>
      <c r="UOS16" s="34"/>
      <c r="UOT16" s="34"/>
      <c r="UOU16" s="34"/>
      <c r="UOV16" s="34"/>
      <c r="UOW16" s="34"/>
      <c r="UOX16" s="34"/>
      <c r="UOY16" s="34"/>
      <c r="UOZ16" s="34"/>
      <c r="UPA16" s="34"/>
      <c r="UPB16" s="34"/>
      <c r="UPC16" s="34"/>
      <c r="UPD16" s="34"/>
      <c r="UPE16" s="34"/>
      <c r="UPF16" s="34"/>
      <c r="UPG16" s="34"/>
      <c r="UPH16" s="34"/>
      <c r="UPI16" s="34"/>
      <c r="UPJ16" s="34"/>
      <c r="UPK16" s="34"/>
      <c r="UPL16" s="34"/>
      <c r="UPM16" s="34"/>
      <c r="UPN16" s="34"/>
      <c r="UPO16" s="34"/>
      <c r="UPP16" s="34"/>
      <c r="UPQ16" s="34"/>
      <c r="UPR16" s="34"/>
      <c r="UPS16" s="34"/>
      <c r="UPT16" s="34"/>
      <c r="UPU16" s="34"/>
      <c r="UPV16" s="34"/>
      <c r="UPW16" s="34"/>
      <c r="UPX16" s="34"/>
      <c r="UPY16" s="34"/>
      <c r="UPZ16" s="34"/>
      <c r="UQA16" s="34"/>
      <c r="UQB16" s="34"/>
      <c r="UQC16" s="34"/>
      <c r="UQD16" s="34"/>
      <c r="UQE16" s="34"/>
      <c r="UQF16" s="34"/>
      <c r="UQG16" s="34"/>
      <c r="UQH16" s="34"/>
      <c r="UQI16" s="34"/>
      <c r="UQJ16" s="34"/>
      <c r="UQK16" s="34"/>
      <c r="UQL16" s="34"/>
      <c r="UQM16" s="34"/>
      <c r="UQN16" s="34"/>
      <c r="UQO16" s="34"/>
      <c r="UQP16" s="34"/>
      <c r="UQQ16" s="34"/>
      <c r="UQR16" s="34"/>
      <c r="UQS16" s="34"/>
      <c r="UQT16" s="34"/>
      <c r="UQU16" s="34"/>
      <c r="UQV16" s="34"/>
      <c r="UQW16" s="34"/>
      <c r="UQX16" s="34"/>
      <c r="UQY16" s="34"/>
      <c r="UQZ16" s="34"/>
      <c r="URA16" s="34"/>
      <c r="URB16" s="34"/>
      <c r="URC16" s="34"/>
      <c r="URD16" s="34"/>
      <c r="URE16" s="34"/>
      <c r="URF16" s="34"/>
      <c r="URG16" s="34"/>
      <c r="URH16" s="34"/>
      <c r="URI16" s="34"/>
      <c r="URJ16" s="34"/>
      <c r="URK16" s="34"/>
      <c r="URL16" s="34"/>
      <c r="URM16" s="34"/>
      <c r="URN16" s="34"/>
      <c r="URO16" s="34"/>
      <c r="URP16" s="34"/>
      <c r="URQ16" s="34"/>
      <c r="URR16" s="34"/>
      <c r="URS16" s="34"/>
      <c r="URT16" s="34"/>
      <c r="URU16" s="34"/>
      <c r="URV16" s="34"/>
      <c r="URW16" s="34"/>
      <c r="URX16" s="34"/>
      <c r="URY16" s="34"/>
      <c r="URZ16" s="34"/>
      <c r="USA16" s="34"/>
      <c r="USB16" s="34"/>
      <c r="USC16" s="34"/>
      <c r="USD16" s="34"/>
      <c r="USE16" s="34"/>
      <c r="USF16" s="34"/>
      <c r="USG16" s="34"/>
      <c r="USH16" s="34"/>
      <c r="USI16" s="34"/>
      <c r="USJ16" s="34"/>
      <c r="USK16" s="34"/>
      <c r="USL16" s="34"/>
      <c r="USM16" s="34"/>
      <c r="USN16" s="34"/>
      <c r="USO16" s="34"/>
      <c r="USP16" s="34"/>
      <c r="USQ16" s="34"/>
      <c r="USR16" s="34"/>
      <c r="USS16" s="34"/>
      <c r="UST16" s="34"/>
      <c r="USU16" s="34"/>
      <c r="USV16" s="34"/>
      <c r="USW16" s="34"/>
      <c r="USX16" s="34"/>
      <c r="USY16" s="34"/>
      <c r="USZ16" s="34"/>
      <c r="UTA16" s="34"/>
      <c r="UTB16" s="34"/>
      <c r="UTC16" s="34"/>
      <c r="UTD16" s="34"/>
      <c r="UTE16" s="34"/>
      <c r="UTF16" s="34"/>
      <c r="UTG16" s="34"/>
      <c r="UTH16" s="34"/>
      <c r="UTI16" s="34"/>
      <c r="UTJ16" s="34"/>
      <c r="UTK16" s="34"/>
      <c r="UTL16" s="34"/>
      <c r="UTM16" s="34"/>
      <c r="UTN16" s="34"/>
      <c r="UTO16" s="34"/>
      <c r="UTP16" s="34"/>
      <c r="UTQ16" s="34"/>
      <c r="UTR16" s="34"/>
      <c r="UTS16" s="34"/>
      <c r="UTT16" s="34"/>
      <c r="UTU16" s="34"/>
      <c r="UTV16" s="34"/>
      <c r="UTW16" s="34"/>
      <c r="UTX16" s="34"/>
      <c r="UTY16" s="34"/>
      <c r="UTZ16" s="34"/>
      <c r="UUA16" s="34"/>
      <c r="UUB16" s="34"/>
      <c r="UUC16" s="34"/>
      <c r="UUD16" s="34"/>
      <c r="UUE16" s="34"/>
      <c r="UUF16" s="34"/>
      <c r="UUG16" s="34"/>
      <c r="UUH16" s="34"/>
      <c r="UUI16" s="34"/>
      <c r="UUJ16" s="34"/>
      <c r="UUK16" s="34"/>
      <c r="UUL16" s="34"/>
      <c r="UUM16" s="34"/>
      <c r="UUN16" s="34"/>
      <c r="UUO16" s="34"/>
      <c r="UUP16" s="34"/>
      <c r="UUQ16" s="34"/>
      <c r="UUR16" s="34"/>
      <c r="UUS16" s="34"/>
      <c r="UUT16" s="34"/>
      <c r="UUU16" s="34"/>
      <c r="UUV16" s="34"/>
      <c r="UUW16" s="34"/>
      <c r="UUX16" s="34"/>
      <c r="UUY16" s="34"/>
      <c r="UUZ16" s="34"/>
      <c r="UVA16" s="34"/>
      <c r="UVB16" s="34"/>
      <c r="UVC16" s="34"/>
      <c r="UVD16" s="34"/>
      <c r="UVE16" s="34"/>
      <c r="UVF16" s="34"/>
      <c r="UVG16" s="34"/>
      <c r="UVH16" s="34"/>
      <c r="UVI16" s="34"/>
      <c r="UVJ16" s="34"/>
      <c r="UVK16" s="34"/>
      <c r="UVL16" s="34"/>
      <c r="UVM16" s="34"/>
      <c r="UVN16" s="34"/>
      <c r="UVO16" s="34"/>
      <c r="UVP16" s="34"/>
      <c r="UVQ16" s="34"/>
      <c r="UVR16" s="34"/>
      <c r="UVS16" s="34"/>
      <c r="UVT16" s="34"/>
      <c r="UVU16" s="34"/>
      <c r="UVV16" s="34"/>
      <c r="UVW16" s="34"/>
      <c r="UVX16" s="34"/>
      <c r="UVY16" s="34"/>
      <c r="UVZ16" s="34"/>
      <c r="UWA16" s="34"/>
      <c r="UWB16" s="34"/>
      <c r="UWC16" s="34"/>
      <c r="UWD16" s="34"/>
      <c r="UWE16" s="34"/>
      <c r="UWF16" s="34"/>
      <c r="UWG16" s="34"/>
      <c r="UWH16" s="34"/>
      <c r="UWI16" s="34"/>
      <c r="UWJ16" s="34"/>
      <c r="UWK16" s="34"/>
      <c r="UWL16" s="34"/>
      <c r="UWM16" s="34"/>
      <c r="UWN16" s="34"/>
      <c r="UWO16" s="34"/>
      <c r="UWP16" s="34"/>
      <c r="UWQ16" s="34"/>
      <c r="UWR16" s="34"/>
      <c r="UWS16" s="34"/>
      <c r="UWT16" s="34"/>
      <c r="UWU16" s="34"/>
      <c r="UWV16" s="34"/>
      <c r="UWW16" s="34"/>
      <c r="UWX16" s="34"/>
      <c r="UWY16" s="34"/>
      <c r="UWZ16" s="34"/>
      <c r="UXA16" s="34"/>
      <c r="UXB16" s="34"/>
      <c r="UXC16" s="34"/>
      <c r="UXD16" s="34"/>
      <c r="UXE16" s="34"/>
      <c r="UXF16" s="34"/>
      <c r="UXG16" s="34"/>
      <c r="UXH16" s="34"/>
      <c r="UXI16" s="34"/>
      <c r="UXJ16" s="34"/>
      <c r="UXK16" s="34"/>
      <c r="UXL16" s="34"/>
      <c r="UXM16" s="34"/>
      <c r="UXN16" s="34"/>
      <c r="UXO16" s="34"/>
      <c r="UXP16" s="34"/>
      <c r="UXQ16" s="34"/>
      <c r="UXR16" s="34"/>
      <c r="UXS16" s="34"/>
      <c r="UXT16" s="34"/>
      <c r="UXU16" s="34"/>
      <c r="UXV16" s="34"/>
      <c r="UXW16" s="34"/>
      <c r="UXX16" s="34"/>
      <c r="UXY16" s="34"/>
      <c r="UXZ16" s="34"/>
      <c r="UYA16" s="34"/>
      <c r="UYB16" s="34"/>
      <c r="UYC16" s="34"/>
      <c r="UYD16" s="34"/>
      <c r="UYE16" s="34"/>
      <c r="UYF16" s="34"/>
      <c r="UYG16" s="34"/>
      <c r="UYH16" s="34"/>
      <c r="UYI16" s="34"/>
      <c r="UYJ16" s="34"/>
      <c r="UYK16" s="34"/>
      <c r="UYL16" s="34"/>
      <c r="UYM16" s="34"/>
      <c r="UYN16" s="34"/>
      <c r="UYO16" s="34"/>
      <c r="UYP16" s="34"/>
      <c r="UYQ16" s="34"/>
      <c r="UYR16" s="34"/>
      <c r="UYS16" s="34"/>
      <c r="UYT16" s="34"/>
      <c r="UYU16" s="34"/>
      <c r="UYV16" s="34"/>
      <c r="UYW16" s="34"/>
      <c r="UYX16" s="34"/>
      <c r="UYY16" s="34"/>
      <c r="UYZ16" s="34"/>
      <c r="UZA16" s="34"/>
      <c r="UZB16" s="34"/>
      <c r="UZC16" s="34"/>
      <c r="UZD16" s="34"/>
      <c r="UZE16" s="34"/>
      <c r="UZF16" s="34"/>
      <c r="UZG16" s="34"/>
      <c r="UZH16" s="34"/>
      <c r="UZI16" s="34"/>
      <c r="UZJ16" s="34"/>
      <c r="UZK16" s="34"/>
      <c r="UZL16" s="34"/>
      <c r="UZM16" s="34"/>
      <c r="UZN16" s="34"/>
      <c r="UZO16" s="34"/>
      <c r="UZP16" s="34"/>
      <c r="UZQ16" s="34"/>
      <c r="UZR16" s="34"/>
      <c r="UZS16" s="34"/>
      <c r="UZT16" s="34"/>
      <c r="UZU16" s="34"/>
      <c r="UZV16" s="34"/>
      <c r="UZW16" s="34"/>
      <c r="UZX16" s="34"/>
      <c r="UZY16" s="34"/>
      <c r="UZZ16" s="34"/>
      <c r="VAA16" s="34"/>
      <c r="VAB16" s="34"/>
      <c r="VAC16" s="34"/>
      <c r="VAD16" s="34"/>
      <c r="VAE16" s="34"/>
      <c r="VAF16" s="34"/>
      <c r="VAG16" s="34"/>
      <c r="VAH16" s="34"/>
      <c r="VAI16" s="34"/>
      <c r="VAJ16" s="34"/>
      <c r="VAK16" s="34"/>
      <c r="VAL16" s="34"/>
      <c r="VAM16" s="34"/>
      <c r="VAN16" s="34"/>
      <c r="VAO16" s="34"/>
      <c r="VAP16" s="34"/>
      <c r="VAQ16" s="34"/>
      <c r="VAR16" s="34"/>
      <c r="VAS16" s="34"/>
      <c r="VAT16" s="34"/>
      <c r="VAU16" s="34"/>
      <c r="VAV16" s="34"/>
      <c r="VAW16" s="34"/>
      <c r="VAX16" s="34"/>
      <c r="VAY16" s="34"/>
      <c r="VAZ16" s="34"/>
      <c r="VBA16" s="34"/>
      <c r="VBB16" s="34"/>
      <c r="VBC16" s="34"/>
      <c r="VBD16" s="34"/>
      <c r="VBE16" s="34"/>
      <c r="VBF16" s="34"/>
      <c r="VBG16" s="34"/>
      <c r="VBH16" s="34"/>
      <c r="VBI16" s="34"/>
      <c r="VBJ16" s="34"/>
      <c r="VBK16" s="34"/>
      <c r="VBL16" s="34"/>
      <c r="VBM16" s="34"/>
      <c r="VBN16" s="34"/>
      <c r="VBO16" s="34"/>
      <c r="VBP16" s="34"/>
      <c r="VBQ16" s="34"/>
      <c r="VBR16" s="34"/>
      <c r="VBS16" s="34"/>
      <c r="VBT16" s="34"/>
      <c r="VBU16" s="34"/>
      <c r="VBV16" s="34"/>
      <c r="VBW16" s="34"/>
      <c r="VBX16" s="34"/>
      <c r="VBY16" s="34"/>
      <c r="VBZ16" s="34"/>
      <c r="VCA16" s="34"/>
      <c r="VCB16" s="34"/>
      <c r="VCC16" s="34"/>
      <c r="VCD16" s="34"/>
      <c r="VCE16" s="34"/>
      <c r="VCF16" s="34"/>
      <c r="VCG16" s="34"/>
      <c r="VCH16" s="34"/>
      <c r="VCI16" s="34"/>
      <c r="VCJ16" s="34"/>
      <c r="VCK16" s="34"/>
      <c r="VCL16" s="34"/>
      <c r="VCM16" s="34"/>
      <c r="VCN16" s="34"/>
      <c r="VCO16" s="34"/>
      <c r="VCP16" s="34"/>
      <c r="VCQ16" s="34"/>
      <c r="VCR16" s="34"/>
      <c r="VCS16" s="34"/>
      <c r="VCT16" s="34"/>
      <c r="VCU16" s="34"/>
      <c r="VCV16" s="34"/>
      <c r="VCW16" s="34"/>
      <c r="VCX16" s="34"/>
      <c r="VCY16" s="34"/>
      <c r="VCZ16" s="34"/>
      <c r="VDA16" s="34"/>
      <c r="VDB16" s="34"/>
      <c r="VDC16" s="34"/>
      <c r="VDD16" s="34"/>
      <c r="VDE16" s="34"/>
      <c r="VDF16" s="34"/>
      <c r="VDG16" s="34"/>
      <c r="VDH16" s="34"/>
      <c r="VDI16" s="34"/>
      <c r="VDJ16" s="34"/>
      <c r="VDK16" s="34"/>
      <c r="VDL16" s="34"/>
      <c r="VDM16" s="34"/>
      <c r="VDN16" s="34"/>
      <c r="VDO16" s="34"/>
      <c r="VDP16" s="34"/>
      <c r="VDQ16" s="34"/>
      <c r="VDR16" s="34"/>
      <c r="VDS16" s="34"/>
      <c r="VDT16" s="34"/>
      <c r="VDU16" s="34"/>
      <c r="VDV16" s="34"/>
      <c r="VDW16" s="34"/>
      <c r="VDX16" s="34"/>
      <c r="VDY16" s="34"/>
      <c r="VDZ16" s="34"/>
      <c r="VEA16" s="34"/>
      <c r="VEB16" s="34"/>
      <c r="VEC16" s="34"/>
      <c r="VED16" s="34"/>
      <c r="VEE16" s="34"/>
      <c r="VEF16" s="34"/>
      <c r="VEG16" s="34"/>
      <c r="VEH16" s="34"/>
      <c r="VEI16" s="34"/>
      <c r="VEJ16" s="34"/>
      <c r="VEK16" s="34"/>
      <c r="VEL16" s="34"/>
      <c r="VEM16" s="34"/>
      <c r="VEN16" s="34"/>
      <c r="VEO16" s="34"/>
      <c r="VEP16" s="34"/>
      <c r="VEQ16" s="34"/>
      <c r="VER16" s="34"/>
      <c r="VES16" s="34"/>
      <c r="VET16" s="34"/>
      <c r="VEU16" s="34"/>
      <c r="VEV16" s="34"/>
      <c r="VEW16" s="34"/>
      <c r="VEX16" s="34"/>
      <c r="VEY16" s="34"/>
      <c r="VEZ16" s="34"/>
      <c r="VFA16" s="34"/>
      <c r="VFB16" s="34"/>
      <c r="VFC16" s="34"/>
      <c r="VFD16" s="34"/>
      <c r="VFE16" s="34"/>
      <c r="VFF16" s="34"/>
      <c r="VFG16" s="34"/>
      <c r="VFH16" s="34"/>
      <c r="VFI16" s="34"/>
      <c r="VFJ16" s="34"/>
      <c r="VFK16" s="34"/>
      <c r="VFL16" s="34"/>
      <c r="VFM16" s="34"/>
      <c r="VFN16" s="34"/>
      <c r="VFO16" s="34"/>
      <c r="VFP16" s="34"/>
      <c r="VFQ16" s="34"/>
      <c r="VFR16" s="34"/>
      <c r="VFS16" s="34"/>
      <c r="VFT16" s="34"/>
      <c r="VFU16" s="34"/>
      <c r="VFV16" s="34"/>
      <c r="VFW16" s="34"/>
      <c r="VFX16" s="34"/>
      <c r="VFY16" s="34"/>
      <c r="VFZ16" s="34"/>
      <c r="VGA16" s="34"/>
      <c r="VGB16" s="34"/>
      <c r="VGC16" s="34"/>
      <c r="VGD16" s="34"/>
      <c r="VGE16" s="34"/>
      <c r="VGF16" s="34"/>
      <c r="VGG16" s="34"/>
      <c r="VGH16" s="34"/>
      <c r="VGI16" s="34"/>
      <c r="VGJ16" s="34"/>
      <c r="VGK16" s="34"/>
      <c r="VGL16" s="34"/>
      <c r="VGM16" s="34"/>
      <c r="VGN16" s="34"/>
      <c r="VGO16" s="34"/>
      <c r="VGP16" s="34"/>
      <c r="VGQ16" s="34"/>
      <c r="VGR16" s="34"/>
      <c r="VGS16" s="34"/>
      <c r="VGT16" s="34"/>
      <c r="VGU16" s="34"/>
      <c r="VGV16" s="34"/>
      <c r="VGW16" s="34"/>
      <c r="VGX16" s="34"/>
      <c r="VGY16" s="34"/>
      <c r="VGZ16" s="34"/>
      <c r="VHA16" s="34"/>
      <c r="VHB16" s="34"/>
      <c r="VHC16" s="34"/>
      <c r="VHD16" s="34"/>
      <c r="VHE16" s="34"/>
      <c r="VHF16" s="34"/>
      <c r="VHG16" s="34"/>
      <c r="VHH16" s="34"/>
      <c r="VHI16" s="34"/>
      <c r="VHJ16" s="34"/>
      <c r="VHK16" s="34"/>
      <c r="VHL16" s="34"/>
      <c r="VHM16" s="34"/>
      <c r="VHN16" s="34"/>
      <c r="VHO16" s="34"/>
      <c r="VHP16" s="34"/>
      <c r="VHQ16" s="34"/>
      <c r="VHR16" s="34"/>
      <c r="VHS16" s="34"/>
      <c r="VHT16" s="34"/>
      <c r="VHU16" s="34"/>
      <c r="VHV16" s="34"/>
      <c r="VHW16" s="34"/>
      <c r="VHX16" s="34"/>
      <c r="VHY16" s="34"/>
      <c r="VHZ16" s="34"/>
      <c r="VIA16" s="34"/>
      <c r="VIB16" s="34"/>
      <c r="VIC16" s="34"/>
      <c r="VID16" s="34"/>
      <c r="VIE16" s="34"/>
      <c r="VIF16" s="34"/>
      <c r="VIG16" s="34"/>
      <c r="VIH16" s="34"/>
      <c r="VII16" s="34"/>
      <c r="VIJ16" s="34"/>
      <c r="VIK16" s="34"/>
      <c r="VIL16" s="34"/>
      <c r="VIM16" s="34"/>
      <c r="VIN16" s="34"/>
      <c r="VIO16" s="34"/>
      <c r="VIP16" s="34"/>
      <c r="VIQ16" s="34"/>
      <c r="VIR16" s="34"/>
      <c r="VIS16" s="34"/>
      <c r="VIT16" s="34"/>
      <c r="VIU16" s="34"/>
      <c r="VIV16" s="34"/>
      <c r="VIW16" s="34"/>
      <c r="VIX16" s="34"/>
      <c r="VIY16" s="34"/>
      <c r="VIZ16" s="34"/>
      <c r="VJA16" s="34"/>
      <c r="VJB16" s="34"/>
      <c r="VJC16" s="34"/>
      <c r="VJD16" s="34"/>
      <c r="VJE16" s="34"/>
      <c r="VJF16" s="34"/>
      <c r="VJG16" s="34"/>
      <c r="VJH16" s="34"/>
      <c r="VJI16" s="34"/>
      <c r="VJJ16" s="34"/>
      <c r="VJK16" s="34"/>
      <c r="VJL16" s="34"/>
      <c r="VJM16" s="34"/>
      <c r="VJN16" s="34"/>
      <c r="VJO16" s="34"/>
      <c r="VJP16" s="34"/>
      <c r="VJQ16" s="34"/>
      <c r="VJR16" s="34"/>
      <c r="VJS16" s="34"/>
      <c r="VJT16" s="34"/>
      <c r="VJU16" s="34"/>
      <c r="VJV16" s="34"/>
      <c r="VJW16" s="34"/>
      <c r="VJX16" s="34"/>
      <c r="VJY16" s="34"/>
      <c r="VJZ16" s="34"/>
      <c r="VKA16" s="34"/>
      <c r="VKB16" s="34"/>
      <c r="VKC16" s="34"/>
      <c r="VKD16" s="34"/>
      <c r="VKE16" s="34"/>
      <c r="VKF16" s="34"/>
      <c r="VKG16" s="34"/>
      <c r="VKH16" s="34"/>
      <c r="VKI16" s="34"/>
      <c r="VKJ16" s="34"/>
      <c r="VKK16" s="34"/>
      <c r="VKL16" s="34"/>
      <c r="VKM16" s="34"/>
      <c r="VKN16" s="34"/>
      <c r="VKO16" s="34"/>
      <c r="VKP16" s="34"/>
      <c r="VKQ16" s="34"/>
      <c r="VKR16" s="34"/>
      <c r="VKS16" s="34"/>
      <c r="VKT16" s="34"/>
      <c r="VKU16" s="34"/>
      <c r="VKV16" s="34"/>
      <c r="VKW16" s="34"/>
      <c r="VKX16" s="34"/>
      <c r="VKY16" s="34"/>
      <c r="VKZ16" s="34"/>
      <c r="VLA16" s="34"/>
      <c r="VLB16" s="34"/>
      <c r="VLC16" s="34"/>
      <c r="VLD16" s="34"/>
      <c r="VLE16" s="34"/>
      <c r="VLF16" s="34"/>
      <c r="VLG16" s="34"/>
      <c r="VLH16" s="34"/>
      <c r="VLI16" s="34"/>
      <c r="VLJ16" s="34"/>
      <c r="VLK16" s="34"/>
      <c r="VLL16" s="34"/>
      <c r="VLM16" s="34"/>
      <c r="VLN16" s="34"/>
      <c r="VLO16" s="34"/>
      <c r="VLP16" s="34"/>
      <c r="VLQ16" s="34"/>
      <c r="VLR16" s="34"/>
      <c r="VLS16" s="34"/>
      <c r="VLT16" s="34"/>
      <c r="VLU16" s="34"/>
      <c r="VLV16" s="34"/>
      <c r="VLW16" s="34"/>
      <c r="VLX16" s="34"/>
      <c r="VLY16" s="34"/>
      <c r="VLZ16" s="34"/>
      <c r="VMA16" s="34"/>
      <c r="VMB16" s="34"/>
      <c r="VMC16" s="34"/>
      <c r="VMD16" s="34"/>
      <c r="VME16" s="34"/>
      <c r="VMF16" s="34"/>
      <c r="VMG16" s="34"/>
      <c r="VMH16" s="34"/>
      <c r="VMI16" s="34"/>
      <c r="VMJ16" s="34"/>
      <c r="VMK16" s="34"/>
      <c r="VML16" s="34"/>
      <c r="VMM16" s="34"/>
      <c r="VMN16" s="34"/>
      <c r="VMO16" s="34"/>
      <c r="VMP16" s="34"/>
      <c r="VMQ16" s="34"/>
      <c r="VMR16" s="34"/>
      <c r="VMS16" s="34"/>
      <c r="VMT16" s="34"/>
      <c r="VMU16" s="34"/>
      <c r="VMV16" s="34"/>
      <c r="VMW16" s="34"/>
      <c r="VMX16" s="34"/>
      <c r="VMY16" s="34"/>
      <c r="VMZ16" s="34"/>
      <c r="VNA16" s="34"/>
      <c r="VNB16" s="34"/>
      <c r="VNC16" s="34"/>
      <c r="VND16" s="34"/>
      <c r="VNE16" s="34"/>
      <c r="VNF16" s="34"/>
      <c r="VNG16" s="34"/>
      <c r="VNH16" s="34"/>
      <c r="VNI16" s="34"/>
      <c r="VNJ16" s="34"/>
      <c r="VNK16" s="34"/>
      <c r="VNL16" s="34"/>
      <c r="VNM16" s="34"/>
      <c r="VNN16" s="34"/>
      <c r="VNO16" s="34"/>
      <c r="VNP16" s="34"/>
      <c r="VNQ16" s="34"/>
      <c r="VNR16" s="34"/>
      <c r="VNS16" s="34"/>
      <c r="VNT16" s="34"/>
      <c r="VNU16" s="34"/>
      <c r="VNV16" s="34"/>
      <c r="VNW16" s="34"/>
      <c r="VNX16" s="34"/>
      <c r="VNY16" s="34"/>
      <c r="VNZ16" s="34"/>
      <c r="VOA16" s="34"/>
      <c r="VOB16" s="34"/>
      <c r="VOC16" s="34"/>
      <c r="VOD16" s="34"/>
      <c r="VOE16" s="34"/>
      <c r="VOF16" s="34"/>
      <c r="VOG16" s="34"/>
      <c r="VOH16" s="34"/>
      <c r="VOI16" s="34"/>
      <c r="VOJ16" s="34"/>
      <c r="VOK16" s="34"/>
      <c r="VOL16" s="34"/>
      <c r="VOM16" s="34"/>
      <c r="VON16" s="34"/>
      <c r="VOO16" s="34"/>
      <c r="VOP16" s="34"/>
      <c r="VOQ16" s="34"/>
      <c r="VOR16" s="34"/>
      <c r="VOS16" s="34"/>
      <c r="VOT16" s="34"/>
      <c r="VOU16" s="34"/>
      <c r="VOV16" s="34"/>
      <c r="VOW16" s="34"/>
      <c r="VOX16" s="34"/>
      <c r="VOY16" s="34"/>
      <c r="VOZ16" s="34"/>
      <c r="VPA16" s="34"/>
      <c r="VPB16" s="34"/>
      <c r="VPC16" s="34"/>
      <c r="VPD16" s="34"/>
      <c r="VPE16" s="34"/>
      <c r="VPF16" s="34"/>
      <c r="VPG16" s="34"/>
      <c r="VPH16" s="34"/>
      <c r="VPI16" s="34"/>
      <c r="VPJ16" s="34"/>
      <c r="VPK16" s="34"/>
      <c r="VPL16" s="34"/>
      <c r="VPM16" s="34"/>
      <c r="VPN16" s="34"/>
      <c r="VPO16" s="34"/>
      <c r="VPP16" s="34"/>
      <c r="VPQ16" s="34"/>
      <c r="VPR16" s="34"/>
      <c r="VPS16" s="34"/>
      <c r="VPT16" s="34"/>
      <c r="VPU16" s="34"/>
      <c r="VPV16" s="34"/>
      <c r="VPW16" s="34"/>
      <c r="VPX16" s="34"/>
      <c r="VPY16" s="34"/>
      <c r="VPZ16" s="34"/>
      <c r="VQA16" s="34"/>
      <c r="VQB16" s="34"/>
      <c r="VQC16" s="34"/>
      <c r="VQD16" s="34"/>
      <c r="VQE16" s="34"/>
      <c r="VQF16" s="34"/>
      <c r="VQG16" s="34"/>
      <c r="VQH16" s="34"/>
      <c r="VQI16" s="34"/>
      <c r="VQJ16" s="34"/>
      <c r="VQK16" s="34"/>
      <c r="VQL16" s="34"/>
      <c r="VQM16" s="34"/>
      <c r="VQN16" s="34"/>
      <c r="VQO16" s="34"/>
      <c r="VQP16" s="34"/>
      <c r="VQQ16" s="34"/>
      <c r="VQR16" s="34"/>
      <c r="VQS16" s="34"/>
      <c r="VQT16" s="34"/>
      <c r="VQU16" s="34"/>
      <c r="VQV16" s="34"/>
      <c r="VQW16" s="34"/>
      <c r="VQX16" s="34"/>
      <c r="VQY16" s="34"/>
      <c r="VQZ16" s="34"/>
      <c r="VRA16" s="34"/>
      <c r="VRB16" s="34"/>
      <c r="VRC16" s="34"/>
      <c r="VRD16" s="34"/>
      <c r="VRE16" s="34"/>
      <c r="VRF16" s="34"/>
      <c r="VRG16" s="34"/>
      <c r="VRH16" s="34"/>
      <c r="VRI16" s="34"/>
      <c r="VRJ16" s="34"/>
      <c r="VRK16" s="34"/>
      <c r="VRL16" s="34"/>
      <c r="VRM16" s="34"/>
      <c r="VRN16" s="34"/>
      <c r="VRO16" s="34"/>
      <c r="VRP16" s="34"/>
      <c r="VRQ16" s="34"/>
      <c r="VRR16" s="34"/>
      <c r="VRS16" s="34"/>
      <c r="VRT16" s="34"/>
      <c r="VRU16" s="34"/>
      <c r="VRV16" s="34"/>
      <c r="VRW16" s="34"/>
      <c r="VRX16" s="34"/>
      <c r="VRY16" s="34"/>
      <c r="VRZ16" s="34"/>
      <c r="VSA16" s="34"/>
      <c r="VSB16" s="34"/>
      <c r="VSC16" s="34"/>
      <c r="VSD16" s="34"/>
      <c r="VSE16" s="34"/>
      <c r="VSF16" s="34"/>
      <c r="VSG16" s="34"/>
      <c r="VSH16" s="34"/>
      <c r="VSI16" s="34"/>
      <c r="VSJ16" s="34"/>
      <c r="VSK16" s="34"/>
      <c r="VSL16" s="34"/>
      <c r="VSM16" s="34"/>
      <c r="VSN16" s="34"/>
      <c r="VSO16" s="34"/>
      <c r="VSP16" s="34"/>
      <c r="VSQ16" s="34"/>
      <c r="VSR16" s="34"/>
      <c r="VSS16" s="34"/>
      <c r="VST16" s="34"/>
      <c r="VSU16" s="34"/>
      <c r="VSV16" s="34"/>
      <c r="VSW16" s="34"/>
      <c r="VSX16" s="34"/>
      <c r="VSY16" s="34"/>
      <c r="VSZ16" s="34"/>
      <c r="VTA16" s="34"/>
      <c r="VTB16" s="34"/>
      <c r="VTC16" s="34"/>
      <c r="VTD16" s="34"/>
      <c r="VTE16" s="34"/>
      <c r="VTF16" s="34"/>
      <c r="VTG16" s="34"/>
      <c r="VTH16" s="34"/>
      <c r="VTI16" s="34"/>
      <c r="VTJ16" s="34"/>
      <c r="VTK16" s="34"/>
      <c r="VTL16" s="34"/>
      <c r="VTM16" s="34"/>
      <c r="VTN16" s="34"/>
      <c r="VTO16" s="34"/>
      <c r="VTP16" s="34"/>
      <c r="VTQ16" s="34"/>
      <c r="VTR16" s="34"/>
      <c r="VTS16" s="34"/>
      <c r="VTT16" s="34"/>
      <c r="VTU16" s="34"/>
      <c r="VTV16" s="34"/>
      <c r="VTW16" s="34"/>
      <c r="VTX16" s="34"/>
      <c r="VTY16" s="34"/>
      <c r="VTZ16" s="34"/>
      <c r="VUA16" s="34"/>
      <c r="VUB16" s="34"/>
      <c r="VUC16" s="34"/>
      <c r="VUD16" s="34"/>
      <c r="VUE16" s="34"/>
      <c r="VUF16" s="34"/>
      <c r="VUG16" s="34"/>
      <c r="VUH16" s="34"/>
      <c r="VUI16" s="34"/>
      <c r="VUJ16" s="34"/>
      <c r="VUK16" s="34"/>
      <c r="VUL16" s="34"/>
      <c r="VUM16" s="34"/>
      <c r="VUN16" s="34"/>
      <c r="VUO16" s="34"/>
      <c r="VUP16" s="34"/>
      <c r="VUQ16" s="34"/>
      <c r="VUR16" s="34"/>
      <c r="VUS16" s="34"/>
      <c r="VUT16" s="34"/>
      <c r="VUU16" s="34"/>
      <c r="VUV16" s="34"/>
      <c r="VUW16" s="34"/>
      <c r="VUX16" s="34"/>
      <c r="VUY16" s="34"/>
      <c r="VUZ16" s="34"/>
      <c r="VVA16" s="34"/>
      <c r="VVB16" s="34"/>
      <c r="VVC16" s="34"/>
      <c r="VVD16" s="34"/>
      <c r="VVE16" s="34"/>
      <c r="VVF16" s="34"/>
      <c r="VVG16" s="34"/>
      <c r="VVH16" s="34"/>
      <c r="VVI16" s="34"/>
      <c r="VVJ16" s="34"/>
      <c r="VVK16" s="34"/>
      <c r="VVL16" s="34"/>
      <c r="VVM16" s="34"/>
      <c r="VVN16" s="34"/>
      <c r="VVO16" s="34"/>
      <c r="VVP16" s="34"/>
      <c r="VVQ16" s="34"/>
      <c r="VVR16" s="34"/>
      <c r="VVS16" s="34"/>
      <c r="VVT16" s="34"/>
      <c r="VVU16" s="34"/>
      <c r="VVV16" s="34"/>
      <c r="VVW16" s="34"/>
      <c r="VVX16" s="34"/>
      <c r="VVY16" s="34"/>
      <c r="VVZ16" s="34"/>
      <c r="VWA16" s="34"/>
      <c r="VWB16" s="34"/>
      <c r="VWC16" s="34"/>
      <c r="VWD16" s="34"/>
      <c r="VWE16" s="34"/>
      <c r="VWF16" s="34"/>
      <c r="VWG16" s="34"/>
      <c r="VWH16" s="34"/>
      <c r="VWI16" s="34"/>
      <c r="VWJ16" s="34"/>
      <c r="VWK16" s="34"/>
      <c r="VWL16" s="34"/>
      <c r="VWM16" s="34"/>
      <c r="VWN16" s="34"/>
      <c r="VWO16" s="34"/>
      <c r="VWP16" s="34"/>
      <c r="VWQ16" s="34"/>
      <c r="VWR16" s="34"/>
      <c r="VWS16" s="34"/>
      <c r="VWT16" s="34"/>
      <c r="VWU16" s="34"/>
      <c r="VWV16" s="34"/>
      <c r="VWW16" s="34"/>
      <c r="VWX16" s="34"/>
      <c r="VWY16" s="34"/>
      <c r="VWZ16" s="34"/>
      <c r="VXA16" s="34"/>
      <c r="VXB16" s="34"/>
      <c r="VXC16" s="34"/>
      <c r="VXD16" s="34"/>
      <c r="VXE16" s="34"/>
      <c r="VXF16" s="34"/>
      <c r="VXG16" s="34"/>
      <c r="VXH16" s="34"/>
      <c r="VXI16" s="34"/>
      <c r="VXJ16" s="34"/>
      <c r="VXK16" s="34"/>
      <c r="VXL16" s="34"/>
      <c r="VXM16" s="34"/>
      <c r="VXN16" s="34"/>
      <c r="VXO16" s="34"/>
      <c r="VXP16" s="34"/>
      <c r="VXQ16" s="34"/>
      <c r="VXR16" s="34"/>
      <c r="VXS16" s="34"/>
      <c r="VXT16" s="34"/>
      <c r="VXU16" s="34"/>
      <c r="VXV16" s="34"/>
      <c r="VXW16" s="34"/>
      <c r="VXX16" s="34"/>
      <c r="VXY16" s="34"/>
      <c r="VXZ16" s="34"/>
      <c r="VYA16" s="34"/>
      <c r="VYB16" s="34"/>
      <c r="VYC16" s="34"/>
      <c r="VYD16" s="34"/>
      <c r="VYE16" s="34"/>
      <c r="VYF16" s="34"/>
      <c r="VYG16" s="34"/>
      <c r="VYH16" s="34"/>
      <c r="VYI16" s="34"/>
      <c r="VYJ16" s="34"/>
      <c r="VYK16" s="34"/>
      <c r="VYL16" s="34"/>
      <c r="VYM16" s="34"/>
      <c r="VYN16" s="34"/>
      <c r="VYO16" s="34"/>
      <c r="VYP16" s="34"/>
      <c r="VYQ16" s="34"/>
      <c r="VYR16" s="34"/>
      <c r="VYS16" s="34"/>
      <c r="VYT16" s="34"/>
      <c r="VYU16" s="34"/>
      <c r="VYV16" s="34"/>
      <c r="VYW16" s="34"/>
      <c r="VYX16" s="34"/>
      <c r="VYY16" s="34"/>
      <c r="VYZ16" s="34"/>
      <c r="VZA16" s="34"/>
      <c r="VZB16" s="34"/>
      <c r="VZC16" s="34"/>
      <c r="VZD16" s="34"/>
      <c r="VZE16" s="34"/>
      <c r="VZF16" s="34"/>
      <c r="VZG16" s="34"/>
      <c r="VZH16" s="34"/>
      <c r="VZI16" s="34"/>
      <c r="VZJ16" s="34"/>
      <c r="VZK16" s="34"/>
      <c r="VZL16" s="34"/>
      <c r="VZM16" s="34"/>
      <c r="VZN16" s="34"/>
      <c r="VZO16" s="34"/>
      <c r="VZP16" s="34"/>
      <c r="VZQ16" s="34"/>
      <c r="VZR16" s="34"/>
      <c r="VZS16" s="34"/>
      <c r="VZT16" s="34"/>
      <c r="VZU16" s="34"/>
      <c r="VZV16" s="34"/>
      <c r="VZW16" s="34"/>
      <c r="VZX16" s="34"/>
      <c r="VZY16" s="34"/>
      <c r="VZZ16" s="34"/>
      <c r="WAA16" s="34"/>
      <c r="WAB16" s="34"/>
      <c r="WAC16" s="34"/>
      <c r="WAD16" s="34"/>
      <c r="WAE16" s="34"/>
      <c r="WAF16" s="34"/>
      <c r="WAG16" s="34"/>
      <c r="WAH16" s="34"/>
      <c r="WAI16" s="34"/>
      <c r="WAJ16" s="34"/>
      <c r="WAK16" s="34"/>
      <c r="WAL16" s="34"/>
      <c r="WAM16" s="34"/>
      <c r="WAN16" s="34"/>
      <c r="WAO16" s="34"/>
      <c r="WAP16" s="34"/>
      <c r="WAQ16" s="34"/>
      <c r="WAR16" s="34"/>
      <c r="WAS16" s="34"/>
      <c r="WAT16" s="34"/>
      <c r="WAU16" s="34"/>
      <c r="WAV16" s="34"/>
      <c r="WAW16" s="34"/>
      <c r="WAX16" s="34"/>
      <c r="WAY16" s="34"/>
      <c r="WAZ16" s="34"/>
      <c r="WBA16" s="34"/>
      <c r="WBB16" s="34"/>
      <c r="WBC16" s="34"/>
      <c r="WBD16" s="34"/>
      <c r="WBE16" s="34"/>
      <c r="WBF16" s="34"/>
      <c r="WBG16" s="34"/>
      <c r="WBH16" s="34"/>
      <c r="WBI16" s="34"/>
      <c r="WBJ16" s="34"/>
      <c r="WBK16" s="34"/>
      <c r="WBL16" s="34"/>
      <c r="WBM16" s="34"/>
      <c r="WBN16" s="34"/>
      <c r="WBO16" s="34"/>
      <c r="WBP16" s="34"/>
      <c r="WBQ16" s="34"/>
      <c r="WBR16" s="34"/>
      <c r="WBS16" s="34"/>
      <c r="WBT16" s="34"/>
      <c r="WBU16" s="34"/>
      <c r="WBV16" s="34"/>
      <c r="WBW16" s="34"/>
      <c r="WBX16" s="34"/>
      <c r="WBY16" s="34"/>
      <c r="WBZ16" s="34"/>
      <c r="WCA16" s="34"/>
      <c r="WCB16" s="34"/>
      <c r="WCC16" s="34"/>
      <c r="WCD16" s="34"/>
      <c r="WCE16" s="34"/>
      <c r="WCF16" s="34"/>
      <c r="WCG16" s="34"/>
      <c r="WCH16" s="34"/>
      <c r="WCI16" s="34"/>
      <c r="WCJ16" s="34"/>
      <c r="WCK16" s="34"/>
      <c r="WCL16" s="34"/>
      <c r="WCM16" s="34"/>
      <c r="WCN16" s="34"/>
      <c r="WCO16" s="34"/>
      <c r="WCP16" s="34"/>
      <c r="WCQ16" s="34"/>
      <c r="WCR16" s="34"/>
      <c r="WCS16" s="34"/>
      <c r="WCT16" s="34"/>
      <c r="WCU16" s="34"/>
      <c r="WCV16" s="34"/>
      <c r="WCW16" s="34"/>
      <c r="WCX16" s="34"/>
      <c r="WCY16" s="34"/>
      <c r="WCZ16" s="34"/>
      <c r="WDA16" s="34"/>
      <c r="WDB16" s="34"/>
      <c r="WDC16" s="34"/>
      <c r="WDD16" s="34"/>
      <c r="WDE16" s="34"/>
      <c r="WDF16" s="34"/>
      <c r="WDG16" s="34"/>
      <c r="WDH16" s="34"/>
      <c r="WDI16" s="34"/>
      <c r="WDJ16" s="34"/>
      <c r="WDK16" s="34"/>
      <c r="WDL16" s="34"/>
      <c r="WDM16" s="34"/>
      <c r="WDN16" s="34"/>
      <c r="WDO16" s="34"/>
      <c r="WDP16" s="34"/>
      <c r="WDQ16" s="34"/>
      <c r="WDR16" s="34"/>
      <c r="WDS16" s="34"/>
      <c r="WDT16" s="34"/>
      <c r="WDU16" s="34"/>
      <c r="WDV16" s="34"/>
      <c r="WDW16" s="34"/>
      <c r="WDX16" s="34"/>
      <c r="WDY16" s="34"/>
      <c r="WDZ16" s="34"/>
      <c r="WEA16" s="34"/>
      <c r="WEB16" s="34"/>
      <c r="WEC16" s="34"/>
      <c r="WED16" s="34"/>
      <c r="WEE16" s="34"/>
      <c r="WEF16" s="34"/>
      <c r="WEG16" s="34"/>
      <c r="WEH16" s="34"/>
      <c r="WEI16" s="34"/>
      <c r="WEJ16" s="34"/>
      <c r="WEK16" s="34"/>
      <c r="WEL16" s="34"/>
      <c r="WEM16" s="34"/>
      <c r="WEN16" s="34"/>
      <c r="WEO16" s="34"/>
      <c r="WEP16" s="34"/>
      <c r="WEQ16" s="34"/>
      <c r="WER16" s="34"/>
      <c r="WES16" s="34"/>
      <c r="WET16" s="34"/>
      <c r="WEU16" s="34"/>
      <c r="WEV16" s="34"/>
      <c r="WEW16" s="34"/>
      <c r="WEX16" s="34"/>
      <c r="WEY16" s="34"/>
      <c r="WEZ16" s="34"/>
      <c r="WFA16" s="34"/>
      <c r="WFB16" s="34"/>
      <c r="WFC16" s="34"/>
      <c r="WFD16" s="34"/>
      <c r="WFE16" s="34"/>
      <c r="WFF16" s="34"/>
      <c r="WFG16" s="34"/>
      <c r="WFH16" s="34"/>
      <c r="WFI16" s="34"/>
      <c r="WFJ16" s="34"/>
      <c r="WFK16" s="34"/>
      <c r="WFL16" s="34"/>
      <c r="WFM16" s="34"/>
      <c r="WFN16" s="34"/>
      <c r="WFO16" s="34"/>
      <c r="WFP16" s="34"/>
      <c r="WFQ16" s="34"/>
      <c r="WFR16" s="34"/>
      <c r="WFS16" s="34"/>
      <c r="WFT16" s="34"/>
      <c r="WFU16" s="34"/>
      <c r="WFV16" s="34"/>
      <c r="WFW16" s="34"/>
      <c r="WFX16" s="34"/>
      <c r="WFY16" s="34"/>
      <c r="WFZ16" s="34"/>
      <c r="WGA16" s="34"/>
      <c r="WGB16" s="34"/>
      <c r="WGC16" s="34"/>
      <c r="WGD16" s="34"/>
      <c r="WGE16" s="34"/>
      <c r="WGF16" s="34"/>
      <c r="WGG16" s="34"/>
      <c r="WGH16" s="34"/>
      <c r="WGI16" s="34"/>
      <c r="WGJ16" s="34"/>
      <c r="WGK16" s="34"/>
      <c r="WGL16" s="34"/>
      <c r="WGM16" s="34"/>
      <c r="WGN16" s="34"/>
      <c r="WGO16" s="34"/>
      <c r="WGP16" s="34"/>
      <c r="WGQ16" s="34"/>
      <c r="WGR16" s="34"/>
      <c r="WGS16" s="34"/>
      <c r="WGT16" s="34"/>
      <c r="WGU16" s="34"/>
      <c r="WGV16" s="34"/>
      <c r="WGW16" s="34"/>
      <c r="WGX16" s="34"/>
      <c r="WGY16" s="34"/>
      <c r="WGZ16" s="34"/>
      <c r="WHA16" s="34"/>
      <c r="WHB16" s="34"/>
      <c r="WHC16" s="34"/>
      <c r="WHD16" s="34"/>
      <c r="WHE16" s="34"/>
      <c r="WHF16" s="34"/>
      <c r="WHG16" s="34"/>
      <c r="WHH16" s="34"/>
      <c r="WHI16" s="34"/>
      <c r="WHJ16" s="34"/>
      <c r="WHK16" s="34"/>
      <c r="WHL16" s="34"/>
      <c r="WHM16" s="34"/>
      <c r="WHN16" s="34"/>
      <c r="WHO16" s="34"/>
      <c r="WHP16" s="34"/>
      <c r="WHQ16" s="34"/>
      <c r="WHR16" s="34"/>
      <c r="WHS16" s="34"/>
      <c r="WHT16" s="34"/>
      <c r="WHU16" s="34"/>
      <c r="WHV16" s="34"/>
      <c r="WHW16" s="34"/>
      <c r="WHX16" s="34"/>
      <c r="WHY16" s="34"/>
      <c r="WHZ16" s="34"/>
      <c r="WIA16" s="34"/>
      <c r="WIB16" s="34"/>
      <c r="WIC16" s="34"/>
      <c r="WID16" s="34"/>
      <c r="WIE16" s="34"/>
      <c r="WIF16" s="34"/>
      <c r="WIG16" s="34"/>
      <c r="WIH16" s="34"/>
      <c r="WII16" s="34"/>
      <c r="WIJ16" s="34"/>
      <c r="WIK16" s="34"/>
      <c r="WIL16" s="34"/>
      <c r="WIM16" s="34"/>
      <c r="WIN16" s="34"/>
      <c r="WIO16" s="34"/>
      <c r="WIP16" s="34"/>
      <c r="WIQ16" s="34"/>
      <c r="WIR16" s="34"/>
      <c r="WIS16" s="34"/>
      <c r="WIT16" s="34"/>
      <c r="WIU16" s="34"/>
      <c r="WIV16" s="34"/>
      <c r="WIW16" s="34"/>
      <c r="WIX16" s="34"/>
      <c r="WIY16" s="34"/>
      <c r="WIZ16" s="34"/>
      <c r="WJA16" s="34"/>
      <c r="WJB16" s="34"/>
      <c r="WJC16" s="34"/>
      <c r="WJD16" s="34"/>
      <c r="WJE16" s="34"/>
      <c r="WJF16" s="34"/>
      <c r="WJG16" s="34"/>
      <c r="WJH16" s="34"/>
      <c r="WJI16" s="34"/>
      <c r="WJJ16" s="34"/>
      <c r="WJK16" s="34"/>
      <c r="WJL16" s="34"/>
      <c r="WJM16" s="34"/>
      <c r="WJN16" s="34"/>
      <c r="WJO16" s="34"/>
      <c r="WJP16" s="34"/>
      <c r="WJQ16" s="34"/>
      <c r="WJR16" s="34"/>
      <c r="WJS16" s="34"/>
      <c r="WJT16" s="34"/>
      <c r="WJU16" s="34"/>
      <c r="WJV16" s="34"/>
      <c r="WJW16" s="34"/>
      <c r="WJX16" s="34"/>
      <c r="WJY16" s="34"/>
      <c r="WJZ16" s="34"/>
      <c r="WKA16" s="34"/>
      <c r="WKB16" s="34"/>
      <c r="WKC16" s="34"/>
      <c r="WKD16" s="34"/>
      <c r="WKE16" s="34"/>
      <c r="WKF16" s="34"/>
      <c r="WKG16" s="34"/>
      <c r="WKH16" s="34"/>
      <c r="WKI16" s="34"/>
      <c r="WKJ16" s="34"/>
      <c r="WKK16" s="34"/>
      <c r="WKL16" s="34"/>
      <c r="WKM16" s="34"/>
      <c r="WKN16" s="34"/>
      <c r="WKO16" s="34"/>
      <c r="WKP16" s="34"/>
      <c r="WKQ16" s="34"/>
      <c r="WKR16" s="34"/>
      <c r="WKS16" s="34"/>
      <c r="WKT16" s="34"/>
      <c r="WKU16" s="34"/>
      <c r="WKV16" s="34"/>
      <c r="WKW16" s="34"/>
      <c r="WKX16" s="34"/>
      <c r="WKY16" s="34"/>
      <c r="WKZ16" s="34"/>
      <c r="WLA16" s="34"/>
      <c r="WLB16" s="34"/>
      <c r="WLC16" s="34"/>
      <c r="WLD16" s="34"/>
      <c r="WLE16" s="34"/>
      <c r="WLF16" s="34"/>
      <c r="WLG16" s="34"/>
      <c r="WLH16" s="34"/>
      <c r="WLI16" s="34"/>
      <c r="WLJ16" s="34"/>
      <c r="WLK16" s="34"/>
      <c r="WLL16" s="34"/>
      <c r="WLM16" s="34"/>
      <c r="WLN16" s="34"/>
      <c r="WLO16" s="34"/>
      <c r="WLP16" s="34"/>
      <c r="WLQ16" s="34"/>
      <c r="WLR16" s="34"/>
      <c r="WLS16" s="34"/>
      <c r="WLT16" s="34"/>
      <c r="WLU16" s="34"/>
      <c r="WLV16" s="34"/>
      <c r="WLW16" s="34"/>
      <c r="WLX16" s="34"/>
      <c r="WLY16" s="34"/>
      <c r="WLZ16" s="34"/>
      <c r="WMA16" s="34"/>
      <c r="WMB16" s="34"/>
      <c r="WMC16" s="34"/>
      <c r="WMD16" s="34"/>
      <c r="WME16" s="34"/>
      <c r="WMF16" s="34"/>
      <c r="WMG16" s="34"/>
      <c r="WMH16" s="34"/>
      <c r="WMI16" s="34"/>
      <c r="WMJ16" s="34"/>
      <c r="WMK16" s="34"/>
      <c r="WML16" s="34"/>
      <c r="WMM16" s="34"/>
      <c r="WMN16" s="34"/>
      <c r="WMO16" s="34"/>
      <c r="WMP16" s="34"/>
      <c r="WMQ16" s="34"/>
      <c r="WMR16" s="34"/>
      <c r="WMS16" s="34"/>
      <c r="WMT16" s="34"/>
      <c r="WMU16" s="34"/>
      <c r="WMV16" s="34"/>
      <c r="WMW16" s="34"/>
      <c r="WMX16" s="34"/>
      <c r="WMY16" s="34"/>
      <c r="WMZ16" s="34"/>
      <c r="WNA16" s="34"/>
      <c r="WNB16" s="34"/>
      <c r="WNC16" s="34"/>
      <c r="WND16" s="34"/>
      <c r="WNE16" s="34"/>
      <c r="WNF16" s="34"/>
      <c r="WNG16" s="34"/>
      <c r="WNH16" s="34"/>
      <c r="WNI16" s="34"/>
      <c r="WNJ16" s="34"/>
      <c r="WNK16" s="34"/>
      <c r="WNL16" s="34"/>
      <c r="WNM16" s="34"/>
      <c r="WNN16" s="34"/>
      <c r="WNO16" s="34"/>
      <c r="WNP16" s="34"/>
      <c r="WNQ16" s="34"/>
      <c r="WNR16" s="34"/>
      <c r="WNS16" s="34"/>
      <c r="WNT16" s="34"/>
      <c r="WNU16" s="34"/>
      <c r="WNV16" s="34"/>
      <c r="WNW16" s="34"/>
      <c r="WNX16" s="34"/>
      <c r="WNY16" s="34"/>
      <c r="WNZ16" s="34"/>
      <c r="WOA16" s="34"/>
      <c r="WOB16" s="34"/>
      <c r="WOC16" s="34"/>
      <c r="WOD16" s="34"/>
      <c r="WOE16" s="34"/>
      <c r="WOF16" s="34"/>
      <c r="WOG16" s="34"/>
      <c r="WOH16" s="34"/>
      <c r="WOI16" s="34"/>
      <c r="WOJ16" s="34"/>
      <c r="WOK16" s="34"/>
      <c r="WOL16" s="34"/>
      <c r="WOM16" s="34"/>
      <c r="WON16" s="34"/>
      <c r="WOO16" s="34"/>
      <c r="WOP16" s="34"/>
      <c r="WOQ16" s="34"/>
      <c r="WOR16" s="34"/>
      <c r="WOS16" s="34"/>
      <c r="WOT16" s="34"/>
      <c r="WOU16" s="34"/>
      <c r="WOV16" s="34"/>
      <c r="WOW16" s="34"/>
      <c r="WOX16" s="34"/>
      <c r="WOY16" s="34"/>
      <c r="WOZ16" s="34"/>
      <c r="WPA16" s="34"/>
      <c r="WPB16" s="34"/>
      <c r="WPC16" s="34"/>
      <c r="WPD16" s="34"/>
      <c r="WPE16" s="34"/>
      <c r="WPF16" s="34"/>
      <c r="WPG16" s="34"/>
      <c r="WPH16" s="34"/>
      <c r="WPI16" s="34"/>
      <c r="WPJ16" s="34"/>
      <c r="WPK16" s="34"/>
      <c r="WPL16" s="34"/>
      <c r="WPM16" s="34"/>
      <c r="WPN16" s="34"/>
      <c r="WPO16" s="34"/>
      <c r="WPP16" s="34"/>
      <c r="WPQ16" s="34"/>
      <c r="WPR16" s="34"/>
      <c r="WPS16" s="34"/>
      <c r="WPT16" s="34"/>
      <c r="WPU16" s="34"/>
      <c r="WPV16" s="34"/>
      <c r="WPW16" s="34"/>
      <c r="WPX16" s="34"/>
      <c r="WPY16" s="34"/>
      <c r="WPZ16" s="34"/>
      <c r="WQA16" s="34"/>
      <c r="WQB16" s="34"/>
      <c r="WQC16" s="34"/>
      <c r="WQD16" s="34"/>
      <c r="WQE16" s="34"/>
      <c r="WQF16" s="34"/>
      <c r="WQG16" s="34"/>
      <c r="WQH16" s="34"/>
      <c r="WQI16" s="34"/>
      <c r="WQJ16" s="34"/>
      <c r="WQK16" s="34"/>
      <c r="WQL16" s="34"/>
      <c r="WQM16" s="34"/>
      <c r="WQN16" s="34"/>
      <c r="WQO16" s="34"/>
      <c r="WQP16" s="34"/>
      <c r="WQQ16" s="34"/>
      <c r="WQR16" s="34"/>
      <c r="WQS16" s="34"/>
      <c r="WQT16" s="34"/>
      <c r="WQU16" s="34"/>
      <c r="WQV16" s="34"/>
      <c r="WQW16" s="34"/>
      <c r="WQX16" s="34"/>
      <c r="WQY16" s="34"/>
      <c r="WQZ16" s="34"/>
      <c r="WRA16" s="34"/>
      <c r="WRB16" s="34"/>
      <c r="WRC16" s="34"/>
      <c r="WRD16" s="34"/>
      <c r="WRE16" s="34"/>
      <c r="WRF16" s="34"/>
      <c r="WRG16" s="34"/>
      <c r="WRH16" s="34"/>
      <c r="WRI16" s="34"/>
      <c r="WRJ16" s="34"/>
      <c r="WRK16" s="34"/>
      <c r="WRL16" s="34"/>
      <c r="WRM16" s="34"/>
      <c r="WRN16" s="34"/>
      <c r="WRO16" s="34"/>
      <c r="WRP16" s="34"/>
      <c r="WRQ16" s="34"/>
      <c r="WRR16" s="34"/>
      <c r="WRS16" s="34"/>
      <c r="WRT16" s="34"/>
      <c r="WRU16" s="34"/>
      <c r="WRV16" s="34"/>
      <c r="WRW16" s="34"/>
      <c r="WRX16" s="34"/>
      <c r="WRY16" s="34"/>
      <c r="WRZ16" s="34"/>
      <c r="WSA16" s="34"/>
      <c r="WSB16" s="34"/>
      <c r="WSC16" s="34"/>
      <c r="WSD16" s="34"/>
      <c r="WSE16" s="34"/>
      <c r="WSF16" s="34"/>
      <c r="WSG16" s="34"/>
      <c r="WSH16" s="34"/>
      <c r="WSI16" s="34"/>
      <c r="WSJ16" s="34"/>
      <c r="WSK16" s="34"/>
      <c r="WSL16" s="34"/>
      <c r="WSM16" s="34"/>
      <c r="WSN16" s="34"/>
      <c r="WSO16" s="34"/>
      <c r="WSP16" s="34"/>
      <c r="WSQ16" s="34"/>
      <c r="WSR16" s="34"/>
      <c r="WSS16" s="34"/>
      <c r="WST16" s="34"/>
      <c r="WSU16" s="34"/>
      <c r="WSV16" s="34"/>
      <c r="WSW16" s="34"/>
      <c r="WSX16" s="34"/>
      <c r="WSY16" s="34"/>
      <c r="WSZ16" s="34"/>
      <c r="WTA16" s="34"/>
      <c r="WTB16" s="34"/>
      <c r="WTC16" s="34"/>
      <c r="WTD16" s="34"/>
      <c r="WTE16" s="34"/>
      <c r="WTF16" s="34"/>
      <c r="WTG16" s="34"/>
      <c r="WTH16" s="34"/>
      <c r="WTI16" s="34"/>
      <c r="WTJ16" s="34"/>
      <c r="WTK16" s="34"/>
      <c r="WTL16" s="34"/>
      <c r="WTM16" s="34"/>
      <c r="WTN16" s="34"/>
      <c r="WTO16" s="34"/>
      <c r="WTP16" s="34"/>
      <c r="WTQ16" s="34"/>
      <c r="WTR16" s="34"/>
      <c r="WTS16" s="34"/>
      <c r="WTT16" s="34"/>
      <c r="WTU16" s="34"/>
      <c r="WTV16" s="34"/>
      <c r="WTW16" s="34"/>
      <c r="WTX16" s="34"/>
      <c r="WTY16" s="34"/>
      <c r="WTZ16" s="34"/>
      <c r="WUA16" s="34"/>
      <c r="WUB16" s="34"/>
      <c r="WUC16" s="34"/>
      <c r="WUD16" s="34"/>
      <c r="WUE16" s="34"/>
      <c r="WUF16" s="34"/>
      <c r="WUG16" s="34"/>
      <c r="WUH16" s="34"/>
      <c r="WUI16" s="34"/>
      <c r="WUJ16" s="34"/>
      <c r="WUK16" s="34"/>
      <c r="WUL16" s="34"/>
      <c r="WUM16" s="34"/>
      <c r="WUN16" s="34"/>
      <c r="WUO16" s="34"/>
      <c r="WUP16" s="34"/>
      <c r="WUQ16" s="34"/>
      <c r="WUR16" s="34"/>
      <c r="WUS16" s="34"/>
      <c r="WUT16" s="34"/>
      <c r="WUU16" s="34"/>
      <c r="WUV16" s="34"/>
      <c r="WUW16" s="34"/>
      <c r="WUX16" s="34"/>
      <c r="WUY16" s="34"/>
      <c r="WUZ16" s="34"/>
      <c r="WVA16" s="34"/>
      <c r="WVB16" s="34"/>
      <c r="WVC16" s="34"/>
      <c r="WVD16" s="34"/>
      <c r="WVE16" s="34"/>
      <c r="WVF16" s="34"/>
      <c r="WVG16" s="34"/>
      <c r="WVH16" s="34"/>
      <c r="WVI16" s="34"/>
      <c r="WVJ16" s="34"/>
      <c r="WVK16" s="34"/>
      <c r="WVL16" s="34"/>
      <c r="WVM16" s="34"/>
      <c r="WVN16" s="34"/>
      <c r="WVO16" s="34"/>
      <c r="WVP16" s="34"/>
      <c r="WVQ16" s="34"/>
      <c r="WVR16" s="34"/>
      <c r="WVS16" s="34"/>
      <c r="WVT16" s="34"/>
      <c r="WVU16" s="34"/>
      <c r="WVV16" s="34"/>
      <c r="WVW16" s="34"/>
      <c r="WVX16" s="34"/>
      <c r="WVY16" s="34"/>
      <c r="WVZ16" s="34"/>
      <c r="WWA16" s="34"/>
      <c r="WWB16" s="34"/>
      <c r="WWC16" s="34"/>
      <c r="WWD16" s="34"/>
      <c r="WWE16" s="34"/>
      <c r="WWF16" s="34"/>
      <c r="WWG16" s="34"/>
      <c r="WWH16" s="34"/>
      <c r="WWI16" s="34"/>
      <c r="WWJ16" s="34"/>
      <c r="WWK16" s="34"/>
      <c r="WWL16" s="34"/>
      <c r="WWM16" s="34"/>
      <c r="WWN16" s="34"/>
      <c r="WWO16" s="34"/>
      <c r="WWP16" s="34"/>
      <c r="WWQ16" s="34"/>
      <c r="WWR16" s="34"/>
      <c r="WWS16" s="34"/>
      <c r="WWT16" s="34"/>
      <c r="WWU16" s="34"/>
      <c r="WWV16" s="34"/>
      <c r="WWW16" s="34"/>
      <c r="WWX16" s="34"/>
      <c r="WWY16" s="34"/>
      <c r="WWZ16" s="34"/>
      <c r="WXA16" s="34"/>
      <c r="WXB16" s="34"/>
      <c r="WXC16" s="34"/>
      <c r="WXD16" s="34"/>
      <c r="WXE16" s="34"/>
      <c r="WXF16" s="34"/>
      <c r="WXG16" s="34"/>
      <c r="WXH16" s="34"/>
      <c r="WXI16" s="34"/>
      <c r="WXJ16" s="34"/>
      <c r="WXK16" s="34"/>
      <c r="WXL16" s="34"/>
      <c r="WXM16" s="34"/>
      <c r="WXN16" s="34"/>
      <c r="WXO16" s="34"/>
      <c r="WXP16" s="34"/>
      <c r="WXQ16" s="34"/>
      <c r="WXR16" s="34"/>
      <c r="WXS16" s="34"/>
      <c r="WXT16" s="34"/>
      <c r="WXU16" s="34"/>
      <c r="WXV16" s="34"/>
      <c r="WXW16" s="34"/>
      <c r="WXX16" s="34"/>
      <c r="WXY16" s="34"/>
      <c r="WXZ16" s="34"/>
      <c r="WYA16" s="34"/>
      <c r="WYB16" s="34"/>
      <c r="WYC16" s="34"/>
      <c r="WYD16" s="34"/>
      <c r="WYE16" s="34"/>
      <c r="WYF16" s="34"/>
      <c r="WYG16" s="34"/>
      <c r="WYH16" s="34"/>
      <c r="WYI16" s="34"/>
      <c r="WYJ16" s="34"/>
      <c r="WYK16" s="34"/>
      <c r="WYL16" s="34"/>
      <c r="WYM16" s="34"/>
      <c r="WYN16" s="34"/>
      <c r="WYO16" s="34"/>
      <c r="WYP16" s="34"/>
      <c r="WYQ16" s="34"/>
      <c r="WYR16" s="34"/>
      <c r="WYS16" s="34"/>
      <c r="WYT16" s="34"/>
      <c r="WYU16" s="34"/>
      <c r="WYV16" s="34"/>
      <c r="WYW16" s="34"/>
      <c r="WYX16" s="34"/>
      <c r="WYY16" s="34"/>
      <c r="WYZ16" s="34"/>
      <c r="WZA16" s="34"/>
      <c r="WZB16" s="34"/>
      <c r="WZC16" s="34"/>
      <c r="WZD16" s="34"/>
      <c r="WZE16" s="34"/>
      <c r="WZF16" s="34"/>
      <c r="WZG16" s="34"/>
      <c r="WZH16" s="34"/>
      <c r="WZI16" s="34"/>
      <c r="WZJ16" s="34"/>
      <c r="WZK16" s="34"/>
      <c r="WZL16" s="34"/>
      <c r="WZM16" s="34"/>
      <c r="WZN16" s="34"/>
      <c r="WZO16" s="34"/>
      <c r="WZP16" s="34"/>
      <c r="WZQ16" s="34"/>
      <c r="WZR16" s="34"/>
      <c r="WZS16" s="34"/>
      <c r="WZT16" s="34"/>
      <c r="WZU16" s="34"/>
      <c r="WZV16" s="34"/>
      <c r="WZW16" s="34"/>
      <c r="WZX16" s="34"/>
      <c r="WZY16" s="34"/>
      <c r="WZZ16" s="34"/>
      <c r="XAA16" s="34"/>
      <c r="XAB16" s="34"/>
      <c r="XAC16" s="34"/>
      <c r="XAD16" s="34"/>
      <c r="XAE16" s="34"/>
      <c r="XAF16" s="34"/>
      <c r="XAG16" s="34"/>
      <c r="XAH16" s="34"/>
      <c r="XAI16" s="34"/>
      <c r="XAJ16" s="34"/>
      <c r="XAK16" s="34"/>
      <c r="XAL16" s="34"/>
      <c r="XAM16" s="34"/>
      <c r="XAN16" s="34"/>
      <c r="XAO16" s="34"/>
      <c r="XAP16" s="34"/>
      <c r="XAQ16" s="34"/>
      <c r="XAR16" s="34"/>
      <c r="XAS16" s="34"/>
      <c r="XAT16" s="34"/>
      <c r="XAU16" s="34"/>
      <c r="XAV16" s="34"/>
      <c r="XAW16" s="34"/>
      <c r="XAX16" s="34"/>
      <c r="XAY16" s="34"/>
      <c r="XAZ16" s="34"/>
      <c r="XBA16" s="34"/>
      <c r="XBB16" s="34"/>
      <c r="XBC16" s="34"/>
      <c r="XBD16" s="34"/>
      <c r="XBE16" s="34"/>
      <c r="XBF16" s="34"/>
      <c r="XBG16" s="34"/>
      <c r="XBH16" s="34"/>
      <c r="XBI16" s="34"/>
      <c r="XBJ16" s="34"/>
      <c r="XBK16" s="34"/>
      <c r="XBL16" s="34"/>
      <c r="XBM16" s="34"/>
      <c r="XBN16" s="34"/>
      <c r="XBO16" s="34"/>
      <c r="XBP16" s="34"/>
      <c r="XBQ16" s="34"/>
      <c r="XBR16" s="34"/>
      <c r="XBS16" s="34"/>
      <c r="XBT16" s="34"/>
      <c r="XBU16" s="34"/>
      <c r="XBV16" s="34"/>
      <c r="XBW16" s="34"/>
      <c r="XBX16" s="34"/>
      <c r="XBY16" s="34"/>
      <c r="XBZ16" s="34"/>
      <c r="XCA16" s="34"/>
      <c r="XCB16" s="34"/>
      <c r="XCC16" s="34"/>
      <c r="XCD16" s="34"/>
      <c r="XCE16" s="34"/>
      <c r="XCF16" s="34"/>
      <c r="XCG16" s="34"/>
      <c r="XCH16" s="34"/>
      <c r="XCI16" s="34"/>
      <c r="XCJ16" s="34"/>
      <c r="XCK16" s="34"/>
      <c r="XCL16" s="34"/>
      <c r="XCM16" s="34"/>
      <c r="XCN16" s="34"/>
      <c r="XCO16" s="34"/>
      <c r="XCP16" s="34"/>
      <c r="XCQ16" s="34"/>
      <c r="XCR16" s="34"/>
      <c r="XCS16" s="34"/>
      <c r="XCT16" s="34"/>
      <c r="XCU16" s="34"/>
      <c r="XCV16" s="34"/>
      <c r="XCW16" s="34"/>
      <c r="XCX16" s="34"/>
      <c r="XCY16" s="34"/>
      <c r="XCZ16" s="34"/>
      <c r="XDA16" s="34"/>
      <c r="XDB16" s="34"/>
      <c r="XDC16" s="34"/>
      <c r="XDD16" s="34"/>
      <c r="XDE16" s="34"/>
      <c r="XDF16" s="34"/>
      <c r="XDG16" s="34"/>
      <c r="XDH16" s="34"/>
      <c r="XDI16" s="34"/>
      <c r="XDJ16" s="34"/>
      <c r="XDK16" s="34"/>
      <c r="XDL16" s="34"/>
      <c r="XDM16" s="34"/>
      <c r="XDN16" s="34"/>
      <c r="XDO16" s="34"/>
      <c r="XDP16" s="34"/>
      <c r="XDQ16" s="34"/>
      <c r="XDR16" s="34"/>
      <c r="XDS16" s="34"/>
      <c r="XDT16" s="34"/>
      <c r="XDU16" s="34"/>
      <c r="XDV16" s="34"/>
      <c r="XDW16" s="34"/>
      <c r="XDX16" s="34"/>
      <c r="XDY16" s="34"/>
      <c r="XDZ16" s="34"/>
      <c r="XEA16" s="34"/>
      <c r="XEB16" s="34"/>
      <c r="XEC16" s="34"/>
      <c r="XED16" s="34"/>
      <c r="XEE16" s="34"/>
      <c r="XEF16" s="34"/>
      <c r="XEG16" s="34"/>
      <c r="XEH16" s="34"/>
      <c r="XEI16" s="34"/>
      <c r="XEJ16" s="34"/>
      <c r="XEK16" s="34"/>
      <c r="XEL16" s="34"/>
      <c r="XEM16" s="34"/>
      <c r="XEN16" s="34"/>
      <c r="XEO16" s="34"/>
      <c r="XEP16" s="34"/>
      <c r="XEQ16" s="34"/>
      <c r="XER16" s="34"/>
      <c r="XES16" s="34"/>
      <c r="XET16" s="34"/>
      <c r="XEU16" s="34"/>
      <c r="XEV16" s="34"/>
      <c r="XEW16" s="34"/>
      <c r="XEX16" s="34"/>
      <c r="XEY16" s="34"/>
      <c r="XEZ16" s="34"/>
      <c r="XFA16" s="34"/>
      <c r="XFB16" s="34"/>
      <c r="XFC16" s="34"/>
      <c r="XFD16" s="34"/>
    </row>
    <row r="18" spans="1:13">
      <c r="C18" s="18" t="s">
        <v>55</v>
      </c>
      <c r="E18" s="34">
        <f ca="1">NPV(E4,G15:LG15)</f>
        <v>58.371428534353775</v>
      </c>
    </row>
    <row r="19" spans="1:13">
      <c r="C19" s="18" t="s">
        <v>56</v>
      </c>
      <c r="E19" s="39"/>
      <c r="G19" s="34">
        <f ca="1">1/E4</f>
        <v>14.285714285714285</v>
      </c>
    </row>
    <row r="20" spans="1:13">
      <c r="C20" s="18" t="s">
        <v>57</v>
      </c>
      <c r="E20" s="97"/>
    </row>
    <row r="21" spans="1:13">
      <c r="C21" s="18" t="s">
        <v>58</v>
      </c>
      <c r="J21" s="22"/>
      <c r="K21" s="22"/>
      <c r="L21" s="22"/>
      <c r="M21" s="22"/>
    </row>
    <row r="22" spans="1:13">
      <c r="I22" s="22"/>
    </row>
    <row r="23" spans="1:13" s="31" customFormat="1">
      <c r="A23" s="31" t="s">
        <v>59</v>
      </c>
    </row>
    <row r="24" spans="1:13">
      <c r="B24" s="18" t="s">
        <v>60</v>
      </c>
      <c r="E24" s="37">
        <v>25</v>
      </c>
    </row>
    <row r="25" spans="1:13">
      <c r="B25" s="18" t="s">
        <v>61</v>
      </c>
      <c r="E25" s="34">
        <f ca="1">E19</f>
        <v>14.285714276640672</v>
      </c>
    </row>
    <row r="26" spans="1:13">
      <c r="B26" s="18" t="s">
        <v>62</v>
      </c>
      <c r="E26" s="34">
        <f ca="1">E24-E25</f>
        <v>10.714285723359328</v>
      </c>
      <c r="F26" s="18" t="s">
        <v>427</v>
      </c>
    </row>
    <row r="28" spans="1:13" s="31" customFormat="1">
      <c r="A28" s="31" t="s">
        <v>63</v>
      </c>
    </row>
    <row r="32" spans="1:13">
      <c r="I32" s="98">
        <v>0.1</v>
      </c>
      <c r="J32" s="62"/>
      <c r="K32" s="62"/>
      <c r="L32" s="62"/>
      <c r="M32" s="62"/>
    </row>
    <row r="33" spans="6:8">
      <c r="H33" s="22">
        <v>0</v>
      </c>
    </row>
    <row r="34" spans="6:8">
      <c r="H34" s="22">
        <v>0.01</v>
      </c>
    </row>
    <row r="35" spans="6:8">
      <c r="G35" s="18" t="s">
        <v>764</v>
      </c>
      <c r="H35" s="22">
        <v>0.02</v>
      </c>
    </row>
    <row r="36" spans="6:8">
      <c r="H36" s="22">
        <v>0.03</v>
      </c>
    </row>
    <row r="37" spans="6:8">
      <c r="H37" s="22">
        <v>0.04</v>
      </c>
    </row>
    <row r="38" spans="6:8">
      <c r="H38" s="22">
        <v>0.05</v>
      </c>
    </row>
    <row r="41" spans="6:8">
      <c r="F41" s="18" t="s">
        <v>765</v>
      </c>
      <c r="G41" s="18">
        <f>ROW(H33)</f>
        <v>33</v>
      </c>
    </row>
    <row r="42" spans="6:8">
      <c r="F42" s="18" t="s">
        <v>767</v>
      </c>
      <c r="G42" s="18">
        <f>ROW(H38)</f>
        <v>38</v>
      </c>
    </row>
    <row r="43" spans="6:8">
      <c r="F43" s="18" t="s">
        <v>766</v>
      </c>
      <c r="G43" s="18">
        <f>COLUMN(I32)</f>
        <v>9</v>
      </c>
    </row>
    <row r="44" spans="6:8">
      <c r="F44" s="18" t="s">
        <v>768</v>
      </c>
      <c r="G44" s="18">
        <f>COLUMN(M32)</f>
        <v>13</v>
      </c>
    </row>
  </sheetData>
  <conditionalFormatting sqref="A1:XFD2 A5:L7 N6:XFD7 A3:Q4 N5:Q5 R3:XFD5 A8:XFD1048576">
    <cfRule type="containsText" dxfId="71" priority="1" operator="containsText" text="FALSE">
      <formula>NOT(ISERROR(SEARCH("FALSE",A1)))</formula>
    </cfRule>
    <cfRule type="cellIs" dxfId="70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8" r:id="rId3" name="Check Box 2">
              <controlPr defaultSize="0" autoFill="0" autoLine="0" autoPict="0" macro="[0]!CheckBox2_Click">
                <anchor moveWithCells="1">
                  <from>
                    <xdr:col>4</xdr:col>
                    <xdr:colOff>209550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4" name="Button 3">
              <controlPr defaultSize="0" print="0" autoFill="0" autoPict="0" macro="[0]!_xludf.table">
                <anchor moveWithCells="1" sizeWithCells="1">
                  <from>
                    <xdr:col>14</xdr:col>
                    <xdr:colOff>273050</xdr:colOff>
                    <xdr:row>31</xdr:row>
                    <xdr:rowOff>50800</xdr:rowOff>
                  </from>
                  <to>
                    <xdr:col>16</xdr:col>
                    <xdr:colOff>76200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K43"/>
  <sheetViews>
    <sheetView zoomScale="90" zoomScaleNormal="90" workbookViewId="0">
      <selection activeCell="I17" sqref="I17"/>
    </sheetView>
  </sheetViews>
  <sheetFormatPr defaultRowHeight="14.5"/>
  <cols>
    <col min="1" max="3" width="1.81640625" style="18" customWidth="1"/>
    <col min="4" max="4" width="38.1796875" style="18" customWidth="1"/>
    <col min="5" max="89" width="8.7265625" style="18"/>
    <col min="90" max="16383" width="8.81640625" style="18" customWidth="1"/>
    <col min="16384" max="16384" width="0.1796875" style="18" customWidth="1"/>
  </cols>
  <sheetData>
    <row r="1" spans="1:16"/>
    <row r="2" spans="1:16">
      <c r="E2" s="18" t="s">
        <v>64</v>
      </c>
    </row>
    <row r="3" spans="1:16">
      <c r="E3" s="18" t="s">
        <v>65</v>
      </c>
      <c r="M3" s="22"/>
      <c r="N3" s="22"/>
      <c r="O3" s="22"/>
    </row>
    <row r="5" spans="1:16" s="31" customFormat="1">
      <c r="A5" s="31" t="s">
        <v>30</v>
      </c>
      <c r="M5" s="94" t="s">
        <v>454</v>
      </c>
      <c r="O5" s="95">
        <f>F42</f>
        <v>0</v>
      </c>
    </row>
    <row r="6" spans="1:16">
      <c r="B6" s="18" t="s">
        <v>33</v>
      </c>
      <c r="E6" s="22"/>
      <c r="F6" s="28">
        <v>2018</v>
      </c>
      <c r="G6" s="28">
        <v>2019</v>
      </c>
      <c r="H6" s="28">
        <v>2020</v>
      </c>
      <c r="I6" s="28">
        <v>2025</v>
      </c>
      <c r="J6" s="28">
        <v>2030</v>
      </c>
    </row>
    <row r="7" spans="1:16">
      <c r="C7" s="18" t="s">
        <v>66</v>
      </c>
      <c r="E7" s="22"/>
      <c r="F7" s="29">
        <v>0.22</v>
      </c>
      <c r="G7" s="29">
        <v>0.24</v>
      </c>
      <c r="H7" s="29">
        <v>0.25</v>
      </c>
      <c r="I7" s="29">
        <v>0.23</v>
      </c>
      <c r="J7" s="29">
        <v>0.2</v>
      </c>
      <c r="M7" s="34">
        <f>O5</f>
        <v>0</v>
      </c>
      <c r="N7" s="37">
        <v>1</v>
      </c>
      <c r="O7" s="37">
        <v>2</v>
      </c>
      <c r="P7" s="37">
        <v>3</v>
      </c>
    </row>
    <row r="8" spans="1:16">
      <c r="C8" s="18" t="s">
        <v>3</v>
      </c>
      <c r="E8" s="22"/>
      <c r="F8" s="29">
        <v>0.15</v>
      </c>
      <c r="G8" s="29">
        <v>0.18</v>
      </c>
      <c r="H8" s="29">
        <v>0.24</v>
      </c>
      <c r="I8" s="29">
        <v>0.25</v>
      </c>
      <c r="J8" s="29">
        <v>0.27</v>
      </c>
      <c r="M8" s="37">
        <v>1</v>
      </c>
      <c r="N8" s="34">
        <f t="dataTable" ref="N8:P10" dt2D="1" dtr="1" r1="E10" r2="E16"/>
        <v>0</v>
      </c>
      <c r="O8" s="34">
        <v>0</v>
      </c>
      <c r="P8" s="34">
        <v>0</v>
      </c>
    </row>
    <row r="9" spans="1:16">
      <c r="C9" s="18" t="s">
        <v>2</v>
      </c>
      <c r="E9" s="22"/>
      <c r="F9" s="29">
        <v>0.25</v>
      </c>
      <c r="G9" s="29">
        <v>0.22</v>
      </c>
      <c r="H9" s="29">
        <v>0.17</v>
      </c>
      <c r="I9" s="29">
        <v>0.15</v>
      </c>
      <c r="J9" s="29">
        <v>0.13</v>
      </c>
      <c r="M9" s="37">
        <v>2</v>
      </c>
      <c r="N9" s="34">
        <v>0</v>
      </c>
      <c r="O9" s="34">
        <v>0</v>
      </c>
      <c r="P9" s="34">
        <v>0</v>
      </c>
    </row>
    <row r="10" spans="1:16">
      <c r="C10" s="102" t="str">
        <f>INDEX(C7:C9,$E$10)</f>
        <v>High</v>
      </c>
      <c r="D10" s="100"/>
      <c r="E10" s="101">
        <v>2</v>
      </c>
      <c r="F10" s="102">
        <f>INDEX(F7:F9,$E$10)</f>
        <v>0.15</v>
      </c>
      <c r="G10" s="102">
        <f t="shared" ref="G10:J10" si="0">INDEX(G7:G9,$E$10)</f>
        <v>0.18</v>
      </c>
      <c r="H10" s="102">
        <f t="shared" si="0"/>
        <v>0.24</v>
      </c>
      <c r="I10" s="102">
        <f t="shared" si="0"/>
        <v>0.25</v>
      </c>
      <c r="J10" s="103">
        <f t="shared" si="0"/>
        <v>0.27</v>
      </c>
      <c r="M10" s="37">
        <v>3</v>
      </c>
      <c r="N10" s="34">
        <v>0</v>
      </c>
      <c r="O10" s="34">
        <v>0</v>
      </c>
      <c r="P10" s="34">
        <v>0</v>
      </c>
    </row>
    <row r="11" spans="1:16">
      <c r="E11" s="22"/>
    </row>
    <row r="12" spans="1:16">
      <c r="B12" s="18" t="s">
        <v>38</v>
      </c>
    </row>
    <row r="13" spans="1:16">
      <c r="C13" s="18" t="s">
        <v>66</v>
      </c>
      <c r="E13" s="22"/>
      <c r="F13" s="29">
        <v>0.08</v>
      </c>
      <c r="G13" s="29">
        <v>7.0000000000000007E-2</v>
      </c>
      <c r="H13" s="29">
        <v>0.06</v>
      </c>
      <c r="I13" s="29">
        <v>0.04</v>
      </c>
      <c r="J13" s="29">
        <v>0.03</v>
      </c>
      <c r="M13" s="18" t="s">
        <v>765</v>
      </c>
      <c r="N13" s="18">
        <f>ROW(N8)</f>
        <v>8</v>
      </c>
    </row>
    <row r="14" spans="1:16">
      <c r="C14" s="18" t="s">
        <v>3</v>
      </c>
      <c r="E14" s="22"/>
      <c r="F14" s="29">
        <v>0.08</v>
      </c>
      <c r="G14" s="29">
        <v>0.09</v>
      </c>
      <c r="H14" s="29">
        <v>0.1</v>
      </c>
      <c r="I14" s="29">
        <v>7.0000000000000007E-2</v>
      </c>
      <c r="J14" s="29">
        <v>0.06</v>
      </c>
      <c r="M14" s="18" t="s">
        <v>767</v>
      </c>
      <c r="N14" s="18">
        <f>ROW(N10)</f>
        <v>10</v>
      </c>
    </row>
    <row r="15" spans="1:16">
      <c r="C15" s="18" t="s">
        <v>2</v>
      </c>
      <c r="E15" s="22"/>
      <c r="F15" s="29">
        <v>0.08</v>
      </c>
      <c r="G15" s="29">
        <v>0.05</v>
      </c>
      <c r="H15" s="29">
        <v>0.04</v>
      </c>
      <c r="I15" s="29">
        <v>0.03</v>
      </c>
      <c r="J15" s="29">
        <v>0.02</v>
      </c>
      <c r="M15" s="18" t="s">
        <v>766</v>
      </c>
      <c r="N15" s="18">
        <f>COLUMN(N8)</f>
        <v>14</v>
      </c>
    </row>
    <row r="16" spans="1:16">
      <c r="C16" s="99" t="str">
        <f>INDEX(C13:C15,$E$16)</f>
        <v>Base</v>
      </c>
      <c r="D16" s="100"/>
      <c r="E16" s="101">
        <v>1</v>
      </c>
      <c r="F16" s="102">
        <f>INDEX(F13:F15,$E$16)</f>
        <v>0.08</v>
      </c>
      <c r="G16" s="102">
        <f t="shared" ref="G16:J16" si="1">INDEX(G13:G15,$E$16)</f>
        <v>7.0000000000000007E-2</v>
      </c>
      <c r="H16" s="102">
        <f t="shared" si="1"/>
        <v>0.06</v>
      </c>
      <c r="I16" s="102">
        <f t="shared" si="1"/>
        <v>0.04</v>
      </c>
      <c r="J16" s="103">
        <f t="shared" si="1"/>
        <v>0.03</v>
      </c>
      <c r="M16" s="18" t="s">
        <v>768</v>
      </c>
      <c r="N16" s="18">
        <f>COLUMN(P8)</f>
        <v>16</v>
      </c>
    </row>
    <row r="17" spans="1:89">
      <c r="E17" s="22"/>
      <c r="F17" s="22"/>
    </row>
    <row r="18" spans="1:89">
      <c r="B18" s="18" t="s">
        <v>36</v>
      </c>
      <c r="E18" s="22"/>
      <c r="F18" s="22"/>
    </row>
    <row r="19" spans="1:89">
      <c r="C19" s="18" t="s">
        <v>66</v>
      </c>
      <c r="E19" s="22"/>
      <c r="F19" s="29">
        <v>7.4999999999999997E-2</v>
      </c>
      <c r="G19" s="29">
        <v>7.4999999999999997E-2</v>
      </c>
      <c r="H19" s="29">
        <v>7.4999999999999997E-2</v>
      </c>
      <c r="I19" s="29">
        <v>7.4999999999999997E-2</v>
      </c>
      <c r="J19" s="29">
        <v>7.4999999999999997E-2</v>
      </c>
    </row>
    <row r="20" spans="1:89">
      <c r="C20" s="18" t="s">
        <v>3</v>
      </c>
      <c r="F20" s="29">
        <v>0.06</v>
      </c>
      <c r="G20" s="29">
        <v>6.2E-2</v>
      </c>
      <c r="H20" s="29">
        <v>7.0000000000000007E-2</v>
      </c>
      <c r="I20" s="29">
        <v>7.0000000000000007E-2</v>
      </c>
      <c r="J20" s="29">
        <v>7.0000000000000007E-2</v>
      </c>
    </row>
    <row r="21" spans="1:89">
      <c r="C21" s="18" t="s">
        <v>2</v>
      </c>
      <c r="F21" s="29">
        <v>0.08</v>
      </c>
      <c r="G21" s="29">
        <v>8.2000000000000003E-2</v>
      </c>
      <c r="H21" s="29">
        <v>8.5000000000000006E-2</v>
      </c>
      <c r="I21" s="29">
        <v>8.5000000000000006E-2</v>
      </c>
      <c r="J21" s="29">
        <v>8.5000000000000006E-2</v>
      </c>
    </row>
    <row r="22" spans="1:89">
      <c r="C22" s="99" t="str">
        <f>INDEX(C19:C21,$E$22)</f>
        <v>Base</v>
      </c>
      <c r="D22" s="100"/>
      <c r="E22" s="101">
        <v>1</v>
      </c>
      <c r="F22" s="102">
        <f>INDEX(F19:F21,$E$22)</f>
        <v>7.4999999999999997E-2</v>
      </c>
      <c r="G22" s="102">
        <f t="shared" ref="G22:J22" si="2">INDEX(G19:G21,$E$22)</f>
        <v>7.4999999999999997E-2</v>
      </c>
      <c r="H22" s="102">
        <f t="shared" si="2"/>
        <v>7.4999999999999997E-2</v>
      </c>
      <c r="I22" s="102">
        <f t="shared" si="2"/>
        <v>7.4999999999999997E-2</v>
      </c>
      <c r="J22" s="103">
        <f t="shared" si="2"/>
        <v>7.4999999999999997E-2</v>
      </c>
    </row>
    <row r="24" spans="1:89">
      <c r="B24" s="18" t="s">
        <v>68</v>
      </c>
      <c r="E24" s="28">
        <v>27.54</v>
      </c>
    </row>
    <row r="26" spans="1:89" s="31" customFormat="1">
      <c r="A26" s="31" t="s">
        <v>69</v>
      </c>
    </row>
    <row r="27" spans="1:89">
      <c r="B27" s="18" t="s">
        <v>70</v>
      </c>
      <c r="F27" s="28">
        <v>2017</v>
      </c>
      <c r="G27" s="28">
        <v>2018</v>
      </c>
      <c r="H27" s="28">
        <v>2019</v>
      </c>
      <c r="I27" s="28">
        <v>2020</v>
      </c>
      <c r="J27" s="28">
        <v>2021</v>
      </c>
      <c r="K27" s="28">
        <v>2022</v>
      </c>
      <c r="L27" s="28">
        <v>2023</v>
      </c>
      <c r="M27" s="28">
        <v>2024</v>
      </c>
      <c r="N27" s="28">
        <v>2025</v>
      </c>
      <c r="O27" s="28">
        <v>2026</v>
      </c>
      <c r="P27" s="28">
        <v>2027</v>
      </c>
      <c r="Q27" s="28">
        <v>2028</v>
      </c>
      <c r="R27" s="28">
        <v>2029</v>
      </c>
      <c r="S27" s="28">
        <v>2030</v>
      </c>
      <c r="T27" s="28">
        <v>2031</v>
      </c>
      <c r="U27" s="28">
        <v>2032</v>
      </c>
      <c r="V27" s="28">
        <v>2033</v>
      </c>
      <c r="W27" s="28">
        <v>2034</v>
      </c>
      <c r="X27" s="28">
        <v>2035</v>
      </c>
      <c r="Y27" s="28">
        <v>2036</v>
      </c>
      <c r="Z27" s="28">
        <v>2037</v>
      </c>
      <c r="AA27" s="28">
        <v>2038</v>
      </c>
      <c r="AB27" s="28">
        <v>2039</v>
      </c>
      <c r="AC27" s="28">
        <v>2040</v>
      </c>
      <c r="AD27" s="28">
        <v>2041</v>
      </c>
      <c r="AE27" s="28">
        <v>2042</v>
      </c>
      <c r="AF27" s="28">
        <v>2043</v>
      </c>
      <c r="AG27" s="28">
        <v>2044</v>
      </c>
      <c r="AH27" s="28">
        <v>2045</v>
      </c>
      <c r="AI27" s="28">
        <v>2046</v>
      </c>
      <c r="AJ27" s="28">
        <v>2047</v>
      </c>
      <c r="AK27" s="28">
        <v>2048</v>
      </c>
      <c r="AL27" s="28">
        <v>2049</v>
      </c>
      <c r="AM27" s="28">
        <v>2050</v>
      </c>
      <c r="AN27" s="28">
        <v>2051</v>
      </c>
      <c r="AO27" s="28">
        <v>2052</v>
      </c>
      <c r="AP27" s="28">
        <v>2053</v>
      </c>
      <c r="AQ27" s="28">
        <v>2054</v>
      </c>
      <c r="AR27" s="28">
        <v>2055</v>
      </c>
      <c r="AS27" s="28">
        <v>2056</v>
      </c>
      <c r="AT27" s="28">
        <v>2057</v>
      </c>
      <c r="AU27" s="28">
        <v>2058</v>
      </c>
      <c r="AV27" s="28">
        <v>2059</v>
      </c>
      <c r="AW27" s="28">
        <v>2060</v>
      </c>
      <c r="AX27" s="28">
        <v>2061</v>
      </c>
      <c r="AY27" s="28">
        <v>2062</v>
      </c>
      <c r="AZ27" s="28">
        <v>2063</v>
      </c>
      <c r="BA27" s="28">
        <v>2064</v>
      </c>
      <c r="BB27" s="28">
        <v>2065</v>
      </c>
      <c r="BC27" s="28">
        <v>2066</v>
      </c>
      <c r="BD27" s="28">
        <v>2067</v>
      </c>
      <c r="BE27" s="28">
        <v>2068</v>
      </c>
      <c r="BF27" s="28">
        <v>2069</v>
      </c>
      <c r="BG27" s="28">
        <v>2070</v>
      </c>
      <c r="BH27" s="28">
        <v>2071</v>
      </c>
      <c r="BI27" s="28">
        <v>2072</v>
      </c>
      <c r="BJ27" s="28">
        <v>2073</v>
      </c>
      <c r="BK27" s="28">
        <v>2074</v>
      </c>
      <c r="BL27" s="28">
        <v>2075</v>
      </c>
      <c r="BM27" s="28">
        <v>2076</v>
      </c>
      <c r="BN27" s="28">
        <v>2077</v>
      </c>
      <c r="BO27" s="28">
        <v>2078</v>
      </c>
      <c r="BP27" s="28">
        <v>2079</v>
      </c>
      <c r="BQ27" s="28">
        <v>2080</v>
      </c>
      <c r="BR27" s="28">
        <v>2081</v>
      </c>
      <c r="BS27" s="28">
        <v>2082</v>
      </c>
      <c r="BT27" s="28">
        <v>2083</v>
      </c>
      <c r="BU27" s="28">
        <v>2084</v>
      </c>
      <c r="BV27" s="28">
        <v>2085</v>
      </c>
      <c r="BW27" s="28">
        <v>2086</v>
      </c>
      <c r="BX27" s="28">
        <v>2087</v>
      </c>
      <c r="BY27" s="28">
        <v>2088</v>
      </c>
      <c r="BZ27" s="28">
        <v>2089</v>
      </c>
      <c r="CA27" s="28">
        <v>2090</v>
      </c>
      <c r="CB27" s="28">
        <v>2091</v>
      </c>
      <c r="CC27" s="28">
        <v>2092</v>
      </c>
      <c r="CD27" s="28">
        <v>2093</v>
      </c>
      <c r="CE27" s="28">
        <v>2094</v>
      </c>
      <c r="CF27" s="28">
        <v>2095</v>
      </c>
      <c r="CG27" s="28">
        <v>2096</v>
      </c>
      <c r="CH27" s="28">
        <v>2097</v>
      </c>
      <c r="CI27" s="28">
        <v>2098</v>
      </c>
      <c r="CJ27" s="28">
        <v>2099</v>
      </c>
      <c r="CK27" s="28">
        <v>2100</v>
      </c>
    </row>
    <row r="28" spans="1:89">
      <c r="B28" s="18" t="s">
        <v>770</v>
      </c>
      <c r="E28" s="18">
        <v>2030</v>
      </c>
      <c r="F28" s="28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</row>
    <row r="29" spans="1:89" s="20" customFormat="1">
      <c r="A29" s="18"/>
      <c r="B29" s="18" t="s">
        <v>71</v>
      </c>
      <c r="C29" s="18"/>
      <c r="D29" s="18"/>
      <c r="E29" s="18"/>
      <c r="F29" s="1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</row>
    <row r="30" spans="1:89" s="20" customFormat="1">
      <c r="A30" s="18"/>
      <c r="B30" s="18" t="s">
        <v>38</v>
      </c>
      <c r="C30" s="18"/>
      <c r="D30" s="18"/>
      <c r="E30" s="18"/>
      <c r="F30" s="1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</row>
    <row r="31" spans="1:89" s="20" customFormat="1">
      <c r="A31" s="18"/>
      <c r="B31" s="18" t="s">
        <v>72</v>
      </c>
      <c r="C31" s="18"/>
      <c r="D31" s="18"/>
      <c r="E31" s="18"/>
      <c r="F31" s="1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</row>
    <row r="32" spans="1:89" s="20" customFormat="1">
      <c r="A32" s="18"/>
      <c r="B32" s="18" t="s">
        <v>36</v>
      </c>
      <c r="C32" s="18"/>
      <c r="D32" s="18"/>
      <c r="E32" s="18"/>
      <c r="F32" s="1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</row>
    <row r="33" spans="1:89" s="34" customFormat="1">
      <c r="A33" s="18"/>
      <c r="B33" s="18" t="s">
        <v>73</v>
      </c>
      <c r="C33" s="18"/>
      <c r="D33" s="18"/>
      <c r="E33" s="18"/>
      <c r="F33" s="28">
        <v>1</v>
      </c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</row>
    <row r="35" spans="1:89">
      <c r="B35" s="18" t="s">
        <v>50</v>
      </c>
    </row>
    <row r="36" spans="1:89" s="34" customFormat="1">
      <c r="A36" s="18"/>
      <c r="B36" s="18"/>
      <c r="C36" s="18" t="s">
        <v>51</v>
      </c>
      <c r="D36" s="18"/>
      <c r="E36" s="18"/>
      <c r="F36" s="18"/>
      <c r="G36" s="34">
        <f>F39</f>
        <v>27.54</v>
      </c>
      <c r="H36" s="34">
        <f t="shared" ref="H36:BS36" si="3">G39</f>
        <v>27.54</v>
      </c>
      <c r="I36" s="34">
        <f t="shared" si="3"/>
        <v>27.54</v>
      </c>
      <c r="J36" s="34">
        <f t="shared" si="3"/>
        <v>27.54</v>
      </c>
      <c r="K36" s="34">
        <f t="shared" si="3"/>
        <v>27.54</v>
      </c>
      <c r="L36" s="34">
        <f t="shared" si="3"/>
        <v>27.54</v>
      </c>
      <c r="M36" s="34">
        <f t="shared" si="3"/>
        <v>27.54</v>
      </c>
      <c r="N36" s="34">
        <f t="shared" si="3"/>
        <v>27.54</v>
      </c>
      <c r="O36" s="34">
        <f t="shared" si="3"/>
        <v>27.54</v>
      </c>
      <c r="P36" s="34">
        <f t="shared" si="3"/>
        <v>27.54</v>
      </c>
      <c r="Q36" s="34">
        <f t="shared" si="3"/>
        <v>27.54</v>
      </c>
      <c r="R36" s="34">
        <f t="shared" si="3"/>
        <v>27.54</v>
      </c>
      <c r="S36" s="34">
        <f t="shared" si="3"/>
        <v>27.54</v>
      </c>
      <c r="T36" s="34">
        <f t="shared" si="3"/>
        <v>27.54</v>
      </c>
      <c r="U36" s="34">
        <f t="shared" si="3"/>
        <v>27.54</v>
      </c>
      <c r="V36" s="34">
        <f t="shared" si="3"/>
        <v>27.54</v>
      </c>
      <c r="W36" s="34">
        <f t="shared" si="3"/>
        <v>27.54</v>
      </c>
      <c r="X36" s="34">
        <f t="shared" si="3"/>
        <v>27.54</v>
      </c>
      <c r="Y36" s="34">
        <f t="shared" si="3"/>
        <v>27.54</v>
      </c>
      <c r="Z36" s="34">
        <f t="shared" si="3"/>
        <v>27.54</v>
      </c>
      <c r="AA36" s="34">
        <f t="shared" si="3"/>
        <v>27.54</v>
      </c>
      <c r="AB36" s="34">
        <f t="shared" si="3"/>
        <v>27.54</v>
      </c>
      <c r="AC36" s="34">
        <f t="shared" si="3"/>
        <v>27.54</v>
      </c>
      <c r="AD36" s="34">
        <f t="shared" si="3"/>
        <v>27.54</v>
      </c>
      <c r="AE36" s="34">
        <f t="shared" si="3"/>
        <v>27.54</v>
      </c>
      <c r="AF36" s="34">
        <f t="shared" si="3"/>
        <v>27.54</v>
      </c>
      <c r="AG36" s="34">
        <f t="shared" si="3"/>
        <v>27.54</v>
      </c>
      <c r="AH36" s="34">
        <f t="shared" si="3"/>
        <v>27.54</v>
      </c>
      <c r="AI36" s="34">
        <f t="shared" si="3"/>
        <v>27.54</v>
      </c>
      <c r="AJ36" s="34">
        <f t="shared" si="3"/>
        <v>27.54</v>
      </c>
      <c r="AK36" s="34">
        <f t="shared" si="3"/>
        <v>27.54</v>
      </c>
      <c r="AL36" s="34">
        <f t="shared" si="3"/>
        <v>27.54</v>
      </c>
      <c r="AM36" s="34">
        <f t="shared" si="3"/>
        <v>27.54</v>
      </c>
      <c r="AN36" s="34">
        <f t="shared" si="3"/>
        <v>27.54</v>
      </c>
      <c r="AO36" s="34">
        <f t="shared" si="3"/>
        <v>27.54</v>
      </c>
      <c r="AP36" s="34">
        <f t="shared" si="3"/>
        <v>27.54</v>
      </c>
      <c r="AQ36" s="34">
        <f t="shared" si="3"/>
        <v>27.54</v>
      </c>
      <c r="AR36" s="34">
        <f t="shared" si="3"/>
        <v>27.54</v>
      </c>
      <c r="AS36" s="34">
        <f t="shared" si="3"/>
        <v>27.54</v>
      </c>
      <c r="AT36" s="34">
        <f t="shared" si="3"/>
        <v>27.54</v>
      </c>
      <c r="AU36" s="34">
        <f t="shared" si="3"/>
        <v>27.54</v>
      </c>
      <c r="AV36" s="34">
        <f t="shared" si="3"/>
        <v>27.54</v>
      </c>
      <c r="AW36" s="34">
        <f t="shared" si="3"/>
        <v>27.54</v>
      </c>
      <c r="AX36" s="34">
        <f t="shared" si="3"/>
        <v>27.54</v>
      </c>
      <c r="AY36" s="34">
        <f t="shared" si="3"/>
        <v>27.54</v>
      </c>
      <c r="AZ36" s="34">
        <f t="shared" si="3"/>
        <v>27.54</v>
      </c>
      <c r="BA36" s="34">
        <f t="shared" si="3"/>
        <v>27.54</v>
      </c>
      <c r="BB36" s="34">
        <f t="shared" si="3"/>
        <v>27.54</v>
      </c>
      <c r="BC36" s="34">
        <f t="shared" si="3"/>
        <v>27.54</v>
      </c>
      <c r="BD36" s="34">
        <f t="shared" si="3"/>
        <v>27.54</v>
      </c>
      <c r="BE36" s="34">
        <f t="shared" si="3"/>
        <v>27.54</v>
      </c>
      <c r="BF36" s="34">
        <f t="shared" si="3"/>
        <v>27.54</v>
      </c>
      <c r="BG36" s="34">
        <f t="shared" si="3"/>
        <v>27.54</v>
      </c>
      <c r="BH36" s="34">
        <f t="shared" si="3"/>
        <v>27.54</v>
      </c>
      <c r="BI36" s="34">
        <f t="shared" si="3"/>
        <v>27.54</v>
      </c>
      <c r="BJ36" s="34">
        <f t="shared" si="3"/>
        <v>27.54</v>
      </c>
      <c r="BK36" s="34">
        <f t="shared" si="3"/>
        <v>27.54</v>
      </c>
      <c r="BL36" s="34">
        <f t="shared" si="3"/>
        <v>27.54</v>
      </c>
      <c r="BM36" s="34">
        <f t="shared" si="3"/>
        <v>27.54</v>
      </c>
      <c r="BN36" s="34">
        <f t="shared" si="3"/>
        <v>27.54</v>
      </c>
      <c r="BO36" s="34">
        <f t="shared" si="3"/>
        <v>27.54</v>
      </c>
      <c r="BP36" s="34">
        <f t="shared" si="3"/>
        <v>27.54</v>
      </c>
      <c r="BQ36" s="34">
        <f t="shared" si="3"/>
        <v>27.54</v>
      </c>
      <c r="BR36" s="34">
        <f t="shared" si="3"/>
        <v>27.54</v>
      </c>
      <c r="BS36" s="34">
        <f t="shared" si="3"/>
        <v>27.54</v>
      </c>
      <c r="BT36" s="34">
        <f t="shared" ref="BT36:CK36" si="4">BS39</f>
        <v>27.54</v>
      </c>
      <c r="BU36" s="34">
        <f t="shared" si="4"/>
        <v>27.54</v>
      </c>
      <c r="BV36" s="34">
        <f t="shared" si="4"/>
        <v>27.54</v>
      </c>
      <c r="BW36" s="34">
        <f t="shared" si="4"/>
        <v>27.54</v>
      </c>
      <c r="BX36" s="34">
        <f t="shared" si="4"/>
        <v>27.54</v>
      </c>
      <c r="BY36" s="34">
        <f t="shared" si="4"/>
        <v>27.54</v>
      </c>
      <c r="BZ36" s="34">
        <f t="shared" si="4"/>
        <v>27.54</v>
      </c>
      <c r="CA36" s="34">
        <f t="shared" si="4"/>
        <v>27.54</v>
      </c>
      <c r="CB36" s="34">
        <f t="shared" si="4"/>
        <v>27.54</v>
      </c>
      <c r="CC36" s="34">
        <f t="shared" si="4"/>
        <v>27.54</v>
      </c>
      <c r="CD36" s="34">
        <f t="shared" si="4"/>
        <v>27.54</v>
      </c>
      <c r="CE36" s="34">
        <f t="shared" si="4"/>
        <v>27.54</v>
      </c>
      <c r="CF36" s="34">
        <f t="shared" si="4"/>
        <v>27.54</v>
      </c>
      <c r="CG36" s="34">
        <f t="shared" si="4"/>
        <v>27.54</v>
      </c>
      <c r="CH36" s="34">
        <f t="shared" si="4"/>
        <v>27.54</v>
      </c>
      <c r="CI36" s="34">
        <f t="shared" si="4"/>
        <v>27.54</v>
      </c>
      <c r="CJ36" s="34">
        <f t="shared" si="4"/>
        <v>27.54</v>
      </c>
      <c r="CK36" s="34">
        <f t="shared" si="4"/>
        <v>27.54</v>
      </c>
    </row>
    <row r="37" spans="1:89" s="34" customFormat="1">
      <c r="A37" s="18"/>
      <c r="B37" s="18"/>
      <c r="C37" s="18" t="s">
        <v>52</v>
      </c>
      <c r="D37" s="18"/>
      <c r="E37" s="18"/>
      <c r="F37" s="18"/>
      <c r="G37" s="34">
        <f>G36*G29</f>
        <v>0</v>
      </c>
      <c r="H37" s="34">
        <f t="shared" ref="H37:BS37" si="5">H36*H29</f>
        <v>0</v>
      </c>
      <c r="I37" s="34">
        <f t="shared" si="5"/>
        <v>0</v>
      </c>
      <c r="J37" s="34">
        <f t="shared" si="5"/>
        <v>0</v>
      </c>
      <c r="K37" s="34">
        <f t="shared" si="5"/>
        <v>0</v>
      </c>
      <c r="L37" s="34">
        <f t="shared" si="5"/>
        <v>0</v>
      </c>
      <c r="M37" s="34">
        <f t="shared" si="5"/>
        <v>0</v>
      </c>
      <c r="N37" s="34">
        <f t="shared" si="5"/>
        <v>0</v>
      </c>
      <c r="O37" s="34">
        <f t="shared" si="5"/>
        <v>0</v>
      </c>
      <c r="P37" s="34">
        <f t="shared" si="5"/>
        <v>0</v>
      </c>
      <c r="Q37" s="34">
        <f t="shared" si="5"/>
        <v>0</v>
      </c>
      <c r="R37" s="34">
        <f t="shared" si="5"/>
        <v>0</v>
      </c>
      <c r="S37" s="34">
        <f t="shared" si="5"/>
        <v>0</v>
      </c>
      <c r="T37" s="34">
        <f t="shared" si="5"/>
        <v>0</v>
      </c>
      <c r="U37" s="34">
        <f t="shared" si="5"/>
        <v>0</v>
      </c>
      <c r="V37" s="34">
        <f t="shared" si="5"/>
        <v>0</v>
      </c>
      <c r="W37" s="34">
        <f t="shared" si="5"/>
        <v>0</v>
      </c>
      <c r="X37" s="34">
        <f t="shared" si="5"/>
        <v>0</v>
      </c>
      <c r="Y37" s="34">
        <f t="shared" si="5"/>
        <v>0</v>
      </c>
      <c r="Z37" s="34">
        <f t="shared" si="5"/>
        <v>0</v>
      </c>
      <c r="AA37" s="34">
        <f t="shared" si="5"/>
        <v>0</v>
      </c>
      <c r="AB37" s="34">
        <f t="shared" si="5"/>
        <v>0</v>
      </c>
      <c r="AC37" s="34">
        <f t="shared" si="5"/>
        <v>0</v>
      </c>
      <c r="AD37" s="34">
        <f t="shared" si="5"/>
        <v>0</v>
      </c>
      <c r="AE37" s="34">
        <f t="shared" si="5"/>
        <v>0</v>
      </c>
      <c r="AF37" s="34">
        <f t="shared" si="5"/>
        <v>0</v>
      </c>
      <c r="AG37" s="34">
        <f t="shared" si="5"/>
        <v>0</v>
      </c>
      <c r="AH37" s="34">
        <f t="shared" si="5"/>
        <v>0</v>
      </c>
      <c r="AI37" s="34">
        <f t="shared" si="5"/>
        <v>0</v>
      </c>
      <c r="AJ37" s="34">
        <f t="shared" si="5"/>
        <v>0</v>
      </c>
      <c r="AK37" s="34">
        <f t="shared" si="5"/>
        <v>0</v>
      </c>
      <c r="AL37" s="34">
        <f t="shared" si="5"/>
        <v>0</v>
      </c>
      <c r="AM37" s="34">
        <f t="shared" si="5"/>
        <v>0</v>
      </c>
      <c r="AN37" s="34">
        <f t="shared" si="5"/>
        <v>0</v>
      </c>
      <c r="AO37" s="34">
        <f t="shared" si="5"/>
        <v>0</v>
      </c>
      <c r="AP37" s="34">
        <f t="shared" si="5"/>
        <v>0</v>
      </c>
      <c r="AQ37" s="34">
        <f t="shared" si="5"/>
        <v>0</v>
      </c>
      <c r="AR37" s="34">
        <f t="shared" si="5"/>
        <v>0</v>
      </c>
      <c r="AS37" s="34">
        <f t="shared" si="5"/>
        <v>0</v>
      </c>
      <c r="AT37" s="34">
        <f t="shared" si="5"/>
        <v>0</v>
      </c>
      <c r="AU37" s="34">
        <f t="shared" si="5"/>
        <v>0</v>
      </c>
      <c r="AV37" s="34">
        <f t="shared" si="5"/>
        <v>0</v>
      </c>
      <c r="AW37" s="34">
        <f t="shared" si="5"/>
        <v>0</v>
      </c>
      <c r="AX37" s="34">
        <f t="shared" si="5"/>
        <v>0</v>
      </c>
      <c r="AY37" s="34">
        <f t="shared" si="5"/>
        <v>0</v>
      </c>
      <c r="AZ37" s="34">
        <f t="shared" si="5"/>
        <v>0</v>
      </c>
      <c r="BA37" s="34">
        <f t="shared" si="5"/>
        <v>0</v>
      </c>
      <c r="BB37" s="34">
        <f t="shared" si="5"/>
        <v>0</v>
      </c>
      <c r="BC37" s="34">
        <f t="shared" si="5"/>
        <v>0</v>
      </c>
      <c r="BD37" s="34">
        <f t="shared" si="5"/>
        <v>0</v>
      </c>
      <c r="BE37" s="34">
        <f t="shared" si="5"/>
        <v>0</v>
      </c>
      <c r="BF37" s="34">
        <f t="shared" si="5"/>
        <v>0</v>
      </c>
      <c r="BG37" s="34">
        <f t="shared" si="5"/>
        <v>0</v>
      </c>
      <c r="BH37" s="34">
        <f t="shared" si="5"/>
        <v>0</v>
      </c>
      <c r="BI37" s="34">
        <f t="shared" si="5"/>
        <v>0</v>
      </c>
      <c r="BJ37" s="34">
        <f t="shared" si="5"/>
        <v>0</v>
      </c>
      <c r="BK37" s="34">
        <f t="shared" si="5"/>
        <v>0</v>
      </c>
      <c r="BL37" s="34">
        <f t="shared" si="5"/>
        <v>0</v>
      </c>
      <c r="BM37" s="34">
        <f t="shared" si="5"/>
        <v>0</v>
      </c>
      <c r="BN37" s="34">
        <f t="shared" si="5"/>
        <v>0</v>
      </c>
      <c r="BO37" s="34">
        <f t="shared" si="5"/>
        <v>0</v>
      </c>
      <c r="BP37" s="34">
        <f t="shared" si="5"/>
        <v>0</v>
      </c>
      <c r="BQ37" s="34">
        <f t="shared" si="5"/>
        <v>0</v>
      </c>
      <c r="BR37" s="34">
        <f t="shared" si="5"/>
        <v>0</v>
      </c>
      <c r="BS37" s="34">
        <f t="shared" si="5"/>
        <v>0</v>
      </c>
      <c r="BT37" s="34">
        <f t="shared" ref="BT37:CK37" si="6">BT36*BT29</f>
        <v>0</v>
      </c>
      <c r="BU37" s="34">
        <f t="shared" si="6"/>
        <v>0</v>
      </c>
      <c r="BV37" s="34">
        <f t="shared" si="6"/>
        <v>0</v>
      </c>
      <c r="BW37" s="34">
        <f t="shared" si="6"/>
        <v>0</v>
      </c>
      <c r="BX37" s="34">
        <f t="shared" si="6"/>
        <v>0</v>
      </c>
      <c r="BY37" s="34">
        <f t="shared" si="6"/>
        <v>0</v>
      </c>
      <c r="BZ37" s="34">
        <f t="shared" si="6"/>
        <v>0</v>
      </c>
      <c r="CA37" s="34">
        <f t="shared" si="6"/>
        <v>0</v>
      </c>
      <c r="CB37" s="34">
        <f t="shared" si="6"/>
        <v>0</v>
      </c>
      <c r="CC37" s="34">
        <f t="shared" si="6"/>
        <v>0</v>
      </c>
      <c r="CD37" s="34">
        <f t="shared" si="6"/>
        <v>0</v>
      </c>
      <c r="CE37" s="34">
        <f t="shared" si="6"/>
        <v>0</v>
      </c>
      <c r="CF37" s="34">
        <f t="shared" si="6"/>
        <v>0</v>
      </c>
      <c r="CG37" s="34">
        <f t="shared" si="6"/>
        <v>0</v>
      </c>
      <c r="CH37" s="34">
        <f t="shared" si="6"/>
        <v>0</v>
      </c>
      <c r="CI37" s="34">
        <f t="shared" si="6"/>
        <v>0</v>
      </c>
      <c r="CJ37" s="34">
        <f t="shared" si="6"/>
        <v>0</v>
      </c>
      <c r="CK37" s="34">
        <f t="shared" si="6"/>
        <v>0</v>
      </c>
    </row>
    <row r="38" spans="1:89" s="34" customFormat="1">
      <c r="A38" s="18"/>
      <c r="B38" s="18"/>
      <c r="C38" s="18" t="s">
        <v>53</v>
      </c>
      <c r="D38" s="18"/>
      <c r="E38" s="18"/>
      <c r="F38" s="18"/>
      <c r="G38" s="34">
        <f>G37*G31</f>
        <v>0</v>
      </c>
      <c r="H38" s="34">
        <f t="shared" ref="H38:BS38" si="7">H37*H31</f>
        <v>0</v>
      </c>
      <c r="I38" s="34">
        <f t="shared" si="7"/>
        <v>0</v>
      </c>
      <c r="J38" s="34">
        <f t="shared" si="7"/>
        <v>0</v>
      </c>
      <c r="K38" s="34">
        <f t="shared" si="7"/>
        <v>0</v>
      </c>
      <c r="L38" s="34">
        <f t="shared" si="7"/>
        <v>0</v>
      </c>
      <c r="M38" s="34">
        <f t="shared" si="7"/>
        <v>0</v>
      </c>
      <c r="N38" s="34">
        <f t="shared" si="7"/>
        <v>0</v>
      </c>
      <c r="O38" s="34">
        <f t="shared" si="7"/>
        <v>0</v>
      </c>
      <c r="P38" s="34">
        <f t="shared" si="7"/>
        <v>0</v>
      </c>
      <c r="Q38" s="34">
        <f t="shared" si="7"/>
        <v>0</v>
      </c>
      <c r="R38" s="34">
        <f t="shared" si="7"/>
        <v>0</v>
      </c>
      <c r="S38" s="34">
        <f t="shared" si="7"/>
        <v>0</v>
      </c>
      <c r="T38" s="34">
        <f t="shared" si="7"/>
        <v>0</v>
      </c>
      <c r="U38" s="34">
        <f t="shared" si="7"/>
        <v>0</v>
      </c>
      <c r="V38" s="34">
        <f t="shared" si="7"/>
        <v>0</v>
      </c>
      <c r="W38" s="34">
        <f t="shared" si="7"/>
        <v>0</v>
      </c>
      <c r="X38" s="34">
        <f t="shared" si="7"/>
        <v>0</v>
      </c>
      <c r="Y38" s="34">
        <f t="shared" si="7"/>
        <v>0</v>
      </c>
      <c r="Z38" s="34">
        <f t="shared" si="7"/>
        <v>0</v>
      </c>
      <c r="AA38" s="34">
        <f t="shared" si="7"/>
        <v>0</v>
      </c>
      <c r="AB38" s="34">
        <f t="shared" si="7"/>
        <v>0</v>
      </c>
      <c r="AC38" s="34">
        <f t="shared" si="7"/>
        <v>0</v>
      </c>
      <c r="AD38" s="34">
        <f t="shared" si="7"/>
        <v>0</v>
      </c>
      <c r="AE38" s="34">
        <f t="shared" si="7"/>
        <v>0</v>
      </c>
      <c r="AF38" s="34">
        <f t="shared" si="7"/>
        <v>0</v>
      </c>
      <c r="AG38" s="34">
        <f t="shared" si="7"/>
        <v>0</v>
      </c>
      <c r="AH38" s="34">
        <f t="shared" si="7"/>
        <v>0</v>
      </c>
      <c r="AI38" s="34">
        <f t="shared" si="7"/>
        <v>0</v>
      </c>
      <c r="AJ38" s="34">
        <f t="shared" si="7"/>
        <v>0</v>
      </c>
      <c r="AK38" s="34">
        <f t="shared" si="7"/>
        <v>0</v>
      </c>
      <c r="AL38" s="34">
        <f t="shared" si="7"/>
        <v>0</v>
      </c>
      <c r="AM38" s="34">
        <f t="shared" si="7"/>
        <v>0</v>
      </c>
      <c r="AN38" s="34">
        <f t="shared" si="7"/>
        <v>0</v>
      </c>
      <c r="AO38" s="34">
        <f t="shared" si="7"/>
        <v>0</v>
      </c>
      <c r="AP38" s="34">
        <f t="shared" si="7"/>
        <v>0</v>
      </c>
      <c r="AQ38" s="34">
        <f t="shared" si="7"/>
        <v>0</v>
      </c>
      <c r="AR38" s="34">
        <f t="shared" si="7"/>
        <v>0</v>
      </c>
      <c r="AS38" s="34">
        <f t="shared" si="7"/>
        <v>0</v>
      </c>
      <c r="AT38" s="34">
        <f t="shared" si="7"/>
        <v>0</v>
      </c>
      <c r="AU38" s="34">
        <f t="shared" si="7"/>
        <v>0</v>
      </c>
      <c r="AV38" s="34">
        <f t="shared" si="7"/>
        <v>0</v>
      </c>
      <c r="AW38" s="34">
        <f t="shared" si="7"/>
        <v>0</v>
      </c>
      <c r="AX38" s="34">
        <f t="shared" si="7"/>
        <v>0</v>
      </c>
      <c r="AY38" s="34">
        <f t="shared" si="7"/>
        <v>0</v>
      </c>
      <c r="AZ38" s="34">
        <f t="shared" si="7"/>
        <v>0</v>
      </c>
      <c r="BA38" s="34">
        <f t="shared" si="7"/>
        <v>0</v>
      </c>
      <c r="BB38" s="34">
        <f t="shared" si="7"/>
        <v>0</v>
      </c>
      <c r="BC38" s="34">
        <f t="shared" si="7"/>
        <v>0</v>
      </c>
      <c r="BD38" s="34">
        <f t="shared" si="7"/>
        <v>0</v>
      </c>
      <c r="BE38" s="34">
        <f t="shared" si="7"/>
        <v>0</v>
      </c>
      <c r="BF38" s="34">
        <f t="shared" si="7"/>
        <v>0</v>
      </c>
      <c r="BG38" s="34">
        <f t="shared" si="7"/>
        <v>0</v>
      </c>
      <c r="BH38" s="34">
        <f t="shared" si="7"/>
        <v>0</v>
      </c>
      <c r="BI38" s="34">
        <f t="shared" si="7"/>
        <v>0</v>
      </c>
      <c r="BJ38" s="34">
        <f t="shared" si="7"/>
        <v>0</v>
      </c>
      <c r="BK38" s="34">
        <f t="shared" si="7"/>
        <v>0</v>
      </c>
      <c r="BL38" s="34">
        <f t="shared" si="7"/>
        <v>0</v>
      </c>
      <c r="BM38" s="34">
        <f t="shared" si="7"/>
        <v>0</v>
      </c>
      <c r="BN38" s="34">
        <f t="shared" si="7"/>
        <v>0</v>
      </c>
      <c r="BO38" s="34">
        <f t="shared" si="7"/>
        <v>0</v>
      </c>
      <c r="BP38" s="34">
        <f t="shared" si="7"/>
        <v>0</v>
      </c>
      <c r="BQ38" s="34">
        <f t="shared" si="7"/>
        <v>0</v>
      </c>
      <c r="BR38" s="34">
        <f t="shared" si="7"/>
        <v>0</v>
      </c>
      <c r="BS38" s="34">
        <f t="shared" si="7"/>
        <v>0</v>
      </c>
      <c r="BT38" s="34">
        <f t="shared" ref="BT38:CK38" si="8">BT37*BT31</f>
        <v>0</v>
      </c>
      <c r="BU38" s="34">
        <f t="shared" si="8"/>
        <v>0</v>
      </c>
      <c r="BV38" s="34">
        <f t="shared" si="8"/>
        <v>0</v>
      </c>
      <c r="BW38" s="34">
        <f t="shared" si="8"/>
        <v>0</v>
      </c>
      <c r="BX38" s="34">
        <f t="shared" si="8"/>
        <v>0</v>
      </c>
      <c r="BY38" s="34">
        <f t="shared" si="8"/>
        <v>0</v>
      </c>
      <c r="BZ38" s="34">
        <f t="shared" si="8"/>
        <v>0</v>
      </c>
      <c r="CA38" s="34">
        <f t="shared" si="8"/>
        <v>0</v>
      </c>
      <c r="CB38" s="34">
        <f t="shared" si="8"/>
        <v>0</v>
      </c>
      <c r="CC38" s="34">
        <f t="shared" si="8"/>
        <v>0</v>
      </c>
      <c r="CD38" s="34">
        <f t="shared" si="8"/>
        <v>0</v>
      </c>
      <c r="CE38" s="34">
        <f t="shared" si="8"/>
        <v>0</v>
      </c>
      <c r="CF38" s="34">
        <f t="shared" si="8"/>
        <v>0</v>
      </c>
      <c r="CG38" s="34">
        <f t="shared" si="8"/>
        <v>0</v>
      </c>
      <c r="CH38" s="34">
        <f t="shared" si="8"/>
        <v>0</v>
      </c>
      <c r="CI38" s="34">
        <f t="shared" si="8"/>
        <v>0</v>
      </c>
      <c r="CJ38" s="34">
        <f t="shared" si="8"/>
        <v>0</v>
      </c>
      <c r="CK38" s="34">
        <f t="shared" si="8"/>
        <v>0</v>
      </c>
    </row>
    <row r="39" spans="1:89" s="34" customFormat="1">
      <c r="A39" s="18"/>
      <c r="B39" s="18"/>
      <c r="C39" s="18" t="s">
        <v>54</v>
      </c>
      <c r="D39" s="18"/>
      <c r="E39" s="18"/>
      <c r="F39" s="18">
        <f>E24</f>
        <v>27.54</v>
      </c>
      <c r="G39" s="34">
        <f>G36+G37-G38</f>
        <v>27.54</v>
      </c>
      <c r="H39" s="34">
        <f t="shared" ref="H39:BS39" si="9">H36+H37-H38</f>
        <v>27.54</v>
      </c>
      <c r="I39" s="34">
        <f t="shared" si="9"/>
        <v>27.54</v>
      </c>
      <c r="J39" s="34">
        <f t="shared" si="9"/>
        <v>27.54</v>
      </c>
      <c r="K39" s="34">
        <f t="shared" si="9"/>
        <v>27.54</v>
      </c>
      <c r="L39" s="34">
        <f t="shared" si="9"/>
        <v>27.54</v>
      </c>
      <c r="M39" s="34">
        <f t="shared" si="9"/>
        <v>27.54</v>
      </c>
      <c r="N39" s="34">
        <f t="shared" si="9"/>
        <v>27.54</v>
      </c>
      <c r="O39" s="34">
        <f t="shared" si="9"/>
        <v>27.54</v>
      </c>
      <c r="P39" s="34">
        <f t="shared" si="9"/>
        <v>27.54</v>
      </c>
      <c r="Q39" s="34">
        <f t="shared" si="9"/>
        <v>27.54</v>
      </c>
      <c r="R39" s="34">
        <f t="shared" si="9"/>
        <v>27.54</v>
      </c>
      <c r="S39" s="34">
        <f t="shared" si="9"/>
        <v>27.54</v>
      </c>
      <c r="T39" s="34">
        <f t="shared" si="9"/>
        <v>27.54</v>
      </c>
      <c r="U39" s="34">
        <f t="shared" si="9"/>
        <v>27.54</v>
      </c>
      <c r="V39" s="34">
        <f t="shared" si="9"/>
        <v>27.54</v>
      </c>
      <c r="W39" s="34">
        <f t="shared" si="9"/>
        <v>27.54</v>
      </c>
      <c r="X39" s="34">
        <f t="shared" si="9"/>
        <v>27.54</v>
      </c>
      <c r="Y39" s="34">
        <f t="shared" si="9"/>
        <v>27.54</v>
      </c>
      <c r="Z39" s="34">
        <f t="shared" si="9"/>
        <v>27.54</v>
      </c>
      <c r="AA39" s="34">
        <f t="shared" si="9"/>
        <v>27.54</v>
      </c>
      <c r="AB39" s="34">
        <f t="shared" si="9"/>
        <v>27.54</v>
      </c>
      <c r="AC39" s="34">
        <f t="shared" si="9"/>
        <v>27.54</v>
      </c>
      <c r="AD39" s="34">
        <f t="shared" si="9"/>
        <v>27.54</v>
      </c>
      <c r="AE39" s="34">
        <f t="shared" si="9"/>
        <v>27.54</v>
      </c>
      <c r="AF39" s="34">
        <f t="shared" si="9"/>
        <v>27.54</v>
      </c>
      <c r="AG39" s="34">
        <f t="shared" si="9"/>
        <v>27.54</v>
      </c>
      <c r="AH39" s="34">
        <f t="shared" si="9"/>
        <v>27.54</v>
      </c>
      <c r="AI39" s="34">
        <f t="shared" si="9"/>
        <v>27.54</v>
      </c>
      <c r="AJ39" s="34">
        <f t="shared" si="9"/>
        <v>27.54</v>
      </c>
      <c r="AK39" s="34">
        <f t="shared" si="9"/>
        <v>27.54</v>
      </c>
      <c r="AL39" s="34">
        <f t="shared" si="9"/>
        <v>27.54</v>
      </c>
      <c r="AM39" s="34">
        <f t="shared" si="9"/>
        <v>27.54</v>
      </c>
      <c r="AN39" s="34">
        <f t="shared" si="9"/>
        <v>27.54</v>
      </c>
      <c r="AO39" s="34">
        <f t="shared" si="9"/>
        <v>27.54</v>
      </c>
      <c r="AP39" s="34">
        <f t="shared" si="9"/>
        <v>27.54</v>
      </c>
      <c r="AQ39" s="34">
        <f t="shared" si="9"/>
        <v>27.54</v>
      </c>
      <c r="AR39" s="34">
        <f t="shared" si="9"/>
        <v>27.54</v>
      </c>
      <c r="AS39" s="34">
        <f t="shared" si="9"/>
        <v>27.54</v>
      </c>
      <c r="AT39" s="34">
        <f t="shared" si="9"/>
        <v>27.54</v>
      </c>
      <c r="AU39" s="34">
        <f t="shared" si="9"/>
        <v>27.54</v>
      </c>
      <c r="AV39" s="34">
        <f t="shared" si="9"/>
        <v>27.54</v>
      </c>
      <c r="AW39" s="34">
        <f t="shared" si="9"/>
        <v>27.54</v>
      </c>
      <c r="AX39" s="34">
        <f t="shared" si="9"/>
        <v>27.54</v>
      </c>
      <c r="AY39" s="34">
        <f t="shared" si="9"/>
        <v>27.54</v>
      </c>
      <c r="AZ39" s="34">
        <f t="shared" si="9"/>
        <v>27.54</v>
      </c>
      <c r="BA39" s="34">
        <f t="shared" si="9"/>
        <v>27.54</v>
      </c>
      <c r="BB39" s="34">
        <f t="shared" si="9"/>
        <v>27.54</v>
      </c>
      <c r="BC39" s="34">
        <f t="shared" si="9"/>
        <v>27.54</v>
      </c>
      <c r="BD39" s="34">
        <f t="shared" si="9"/>
        <v>27.54</v>
      </c>
      <c r="BE39" s="34">
        <f t="shared" si="9"/>
        <v>27.54</v>
      </c>
      <c r="BF39" s="34">
        <f t="shared" si="9"/>
        <v>27.54</v>
      </c>
      <c r="BG39" s="34">
        <f t="shared" si="9"/>
        <v>27.54</v>
      </c>
      <c r="BH39" s="34">
        <f t="shared" si="9"/>
        <v>27.54</v>
      </c>
      <c r="BI39" s="34">
        <f t="shared" si="9"/>
        <v>27.54</v>
      </c>
      <c r="BJ39" s="34">
        <f t="shared" si="9"/>
        <v>27.54</v>
      </c>
      <c r="BK39" s="34">
        <f t="shared" si="9"/>
        <v>27.54</v>
      </c>
      <c r="BL39" s="34">
        <f t="shared" si="9"/>
        <v>27.54</v>
      </c>
      <c r="BM39" s="34">
        <f t="shared" si="9"/>
        <v>27.54</v>
      </c>
      <c r="BN39" s="34">
        <f t="shared" si="9"/>
        <v>27.54</v>
      </c>
      <c r="BO39" s="34">
        <f t="shared" si="9"/>
        <v>27.54</v>
      </c>
      <c r="BP39" s="34">
        <f t="shared" si="9"/>
        <v>27.54</v>
      </c>
      <c r="BQ39" s="34">
        <f t="shared" si="9"/>
        <v>27.54</v>
      </c>
      <c r="BR39" s="34">
        <f t="shared" si="9"/>
        <v>27.54</v>
      </c>
      <c r="BS39" s="34">
        <f t="shared" si="9"/>
        <v>27.54</v>
      </c>
      <c r="BT39" s="34">
        <f t="shared" ref="BT39:CK39" si="10">BT36+BT37-BT38</f>
        <v>27.54</v>
      </c>
      <c r="BU39" s="34">
        <f t="shared" si="10"/>
        <v>27.54</v>
      </c>
      <c r="BV39" s="34">
        <f t="shared" si="10"/>
        <v>27.54</v>
      </c>
      <c r="BW39" s="34">
        <f t="shared" si="10"/>
        <v>27.54</v>
      </c>
      <c r="BX39" s="34">
        <f t="shared" si="10"/>
        <v>27.54</v>
      </c>
      <c r="BY39" s="34">
        <f t="shared" si="10"/>
        <v>27.54</v>
      </c>
      <c r="BZ39" s="34">
        <f t="shared" si="10"/>
        <v>27.54</v>
      </c>
      <c r="CA39" s="34">
        <f t="shared" si="10"/>
        <v>27.54</v>
      </c>
      <c r="CB39" s="34">
        <f t="shared" si="10"/>
        <v>27.54</v>
      </c>
      <c r="CC39" s="34">
        <f t="shared" si="10"/>
        <v>27.54</v>
      </c>
      <c r="CD39" s="34">
        <f t="shared" si="10"/>
        <v>27.54</v>
      </c>
      <c r="CE39" s="34">
        <f t="shared" si="10"/>
        <v>27.54</v>
      </c>
      <c r="CF39" s="34">
        <f t="shared" si="10"/>
        <v>27.54</v>
      </c>
      <c r="CG39" s="34">
        <f t="shared" si="10"/>
        <v>27.54</v>
      </c>
      <c r="CH39" s="34">
        <f t="shared" si="10"/>
        <v>27.54</v>
      </c>
      <c r="CI39" s="34">
        <f t="shared" si="10"/>
        <v>27.54</v>
      </c>
      <c r="CJ39" s="34">
        <f t="shared" si="10"/>
        <v>27.54</v>
      </c>
      <c r="CK39" s="34">
        <f t="shared" si="10"/>
        <v>27.54</v>
      </c>
    </row>
    <row r="41" spans="1:89">
      <c r="C41" s="18" t="s">
        <v>55</v>
      </c>
      <c r="F41" s="104"/>
    </row>
    <row r="42" spans="1:89">
      <c r="C42" s="18" t="s">
        <v>56</v>
      </c>
      <c r="F42" s="105"/>
      <c r="G42" s="18" t="s">
        <v>769</v>
      </c>
    </row>
    <row r="43" spans="1:89">
      <c r="C43" s="18" t="s">
        <v>57</v>
      </c>
      <c r="F43" s="34">
        <f>F41/F39</f>
        <v>0</v>
      </c>
    </row>
  </sheetData>
  <conditionalFormatting sqref="A1:XFD1048576">
    <cfRule type="containsText" dxfId="69" priority="1" operator="containsText" text="FALSE">
      <formula>NOT(ISERROR(SEARCH("FALSE",A1)))</formula>
    </cfRule>
    <cfRule type="cellIs" dxfId="68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3</xdr:col>
                    <xdr:colOff>1238250</xdr:colOff>
                    <xdr:row>5</xdr:row>
                    <xdr:rowOff>184150</xdr:rowOff>
                  </from>
                  <to>
                    <xdr:col>3</xdr:col>
                    <xdr:colOff>2660650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3</xdr:col>
                    <xdr:colOff>1238250</xdr:colOff>
                    <xdr:row>11</xdr:row>
                    <xdr:rowOff>177800</xdr:rowOff>
                  </from>
                  <to>
                    <xdr:col>3</xdr:col>
                    <xdr:colOff>2660650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3</xdr:col>
                    <xdr:colOff>1212850</xdr:colOff>
                    <xdr:row>17</xdr:row>
                    <xdr:rowOff>165100</xdr:rowOff>
                  </from>
                  <to>
                    <xdr:col>3</xdr:col>
                    <xdr:colOff>2635250</xdr:colOff>
                    <xdr:row>19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 macro="[0]!CheckBox2_Click">
                <anchor moveWithCells="1">
                  <from>
                    <xdr:col>7</xdr:col>
                    <xdr:colOff>177800</xdr:colOff>
                    <xdr:row>1</xdr:row>
                    <xdr:rowOff>38100</xdr:rowOff>
                  </from>
                  <to>
                    <xdr:col>8</xdr:col>
                    <xdr:colOff>425450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GY59"/>
  <sheetViews>
    <sheetView zoomScale="90" zoomScaleNormal="90" workbookViewId="0">
      <selection activeCell="A10" sqref="A10"/>
    </sheetView>
  </sheetViews>
  <sheetFormatPr defaultColWidth="8.81640625" defaultRowHeight="14.5"/>
  <cols>
    <col min="1" max="3" width="1.81640625" style="18" customWidth="1"/>
    <col min="4" max="4" width="33.81640625" style="18" customWidth="1"/>
    <col min="5" max="6" width="8.81640625" style="18" bestFit="1" customWidth="1"/>
    <col min="7" max="7" width="9.54296875" style="18" bestFit="1" customWidth="1"/>
    <col min="8" max="120" width="9" style="18" bestFit="1" customWidth="1"/>
    <col min="121" max="162" width="10" style="18" bestFit="1" customWidth="1"/>
    <col min="163" max="203" width="11.54296875" style="18" bestFit="1" customWidth="1"/>
    <col min="204" max="207" width="12.54296875" style="18" bestFit="1" customWidth="1"/>
    <col min="208" max="16384" width="8.81640625" style="18"/>
  </cols>
  <sheetData>
    <row r="2" spans="1:207" s="31" customFormat="1">
      <c r="A2" s="31" t="s">
        <v>74</v>
      </c>
    </row>
    <row r="3" spans="1:207">
      <c r="B3" s="18" t="s">
        <v>75</v>
      </c>
      <c r="E3" s="30">
        <v>0.18</v>
      </c>
      <c r="I3" s="33" t="s">
        <v>10</v>
      </c>
      <c r="J3" s="34">
        <f ca="1">G37</f>
        <v>12.003417497478008</v>
      </c>
    </row>
    <row r="4" spans="1:207">
      <c r="B4" s="18" t="s">
        <v>38</v>
      </c>
      <c r="E4" s="30">
        <v>0.04</v>
      </c>
      <c r="I4" s="33" t="s">
        <v>76</v>
      </c>
      <c r="J4" s="34">
        <f ca="1">G38</f>
        <v>17.351770404384542</v>
      </c>
    </row>
    <row r="5" spans="1:207">
      <c r="B5" s="18" t="s">
        <v>77</v>
      </c>
      <c r="E5" s="30">
        <v>7.0000000000000007E-2</v>
      </c>
      <c r="I5" s="33" t="s">
        <v>78</v>
      </c>
      <c r="J5" s="34">
        <f ca="1">G39</f>
        <v>24.78824343483506</v>
      </c>
    </row>
    <row r="6" spans="1:207">
      <c r="B6" s="18" t="s">
        <v>79</v>
      </c>
      <c r="E6" s="28">
        <v>15</v>
      </c>
    </row>
    <row r="7" spans="1:207">
      <c r="B7" s="18" t="s">
        <v>80</v>
      </c>
      <c r="E7" s="20">
        <f>1/E6</f>
        <v>6.6666666666666666E-2</v>
      </c>
    </row>
    <row r="8" spans="1:207">
      <c r="B8" s="18" t="s">
        <v>81</v>
      </c>
      <c r="E8" s="20">
        <f ca="1">LOOKUP(E6+1,41:41,58:58)</f>
        <v>0.11457493232899779</v>
      </c>
      <c r="G8" s="18" t="s">
        <v>82</v>
      </c>
    </row>
    <row r="9" spans="1:207">
      <c r="B9" s="18" t="s">
        <v>83</v>
      </c>
      <c r="E9" s="20">
        <f ca="1">LOOKUP(E6+1,41:41,59:59)</f>
        <v>1.3491165055645986</v>
      </c>
    </row>
    <row r="10" spans="1:207">
      <c r="B10" s="18" t="s">
        <v>84</v>
      </c>
      <c r="E10" s="30">
        <v>0.4</v>
      </c>
    </row>
    <row r="11" spans="1:207">
      <c r="B11" s="18" t="s">
        <v>85</v>
      </c>
      <c r="E11" s="30">
        <v>0.3</v>
      </c>
    </row>
    <row r="12" spans="1:207">
      <c r="B12" s="18" t="s">
        <v>86</v>
      </c>
      <c r="E12" s="37">
        <v>174</v>
      </c>
    </row>
    <row r="13" spans="1:207">
      <c r="B13" s="18" t="s">
        <v>8</v>
      </c>
      <c r="E13" s="37">
        <v>50</v>
      </c>
    </row>
    <row r="15" spans="1:207" s="31" customFormat="1">
      <c r="A15" s="31" t="s">
        <v>50</v>
      </c>
      <c r="H15" s="31">
        <v>1</v>
      </c>
      <c r="I15" s="31">
        <v>2</v>
      </c>
      <c r="J15" s="31">
        <v>3</v>
      </c>
      <c r="K15" s="31">
        <v>4</v>
      </c>
      <c r="L15" s="31">
        <v>5</v>
      </c>
      <c r="M15" s="31">
        <v>6</v>
      </c>
      <c r="N15" s="31">
        <v>7</v>
      </c>
      <c r="O15" s="31">
        <v>8</v>
      </c>
      <c r="P15" s="31">
        <v>9</v>
      </c>
      <c r="Q15" s="31">
        <v>10</v>
      </c>
      <c r="R15" s="31">
        <v>11</v>
      </c>
      <c r="S15" s="31">
        <v>12</v>
      </c>
      <c r="T15" s="31">
        <v>13</v>
      </c>
      <c r="U15" s="31">
        <v>14</v>
      </c>
      <c r="V15" s="31">
        <v>15</v>
      </c>
      <c r="W15" s="31">
        <v>16</v>
      </c>
      <c r="X15" s="31">
        <v>17</v>
      </c>
      <c r="Y15" s="31">
        <v>18</v>
      </c>
      <c r="Z15" s="31">
        <v>19</v>
      </c>
      <c r="AA15" s="31">
        <v>20</v>
      </c>
      <c r="AB15" s="31">
        <v>21</v>
      </c>
      <c r="AC15" s="31">
        <v>22</v>
      </c>
      <c r="AD15" s="31">
        <v>23</v>
      </c>
      <c r="AE15" s="31">
        <v>24</v>
      </c>
      <c r="AF15" s="31">
        <v>25</v>
      </c>
      <c r="AG15" s="31">
        <v>26</v>
      </c>
      <c r="AH15" s="31">
        <v>27</v>
      </c>
      <c r="AI15" s="31">
        <v>28</v>
      </c>
      <c r="AJ15" s="31">
        <v>29</v>
      </c>
      <c r="AK15" s="31">
        <v>30</v>
      </c>
      <c r="AL15" s="31">
        <v>31</v>
      </c>
      <c r="AM15" s="31">
        <v>32</v>
      </c>
      <c r="AN15" s="31">
        <v>33</v>
      </c>
      <c r="AO15" s="31">
        <v>34</v>
      </c>
      <c r="AP15" s="31">
        <v>35</v>
      </c>
      <c r="AQ15" s="31">
        <v>36</v>
      </c>
      <c r="AR15" s="31">
        <v>37</v>
      </c>
      <c r="AS15" s="31">
        <v>38</v>
      </c>
      <c r="AT15" s="31">
        <v>39</v>
      </c>
      <c r="AU15" s="31">
        <v>40</v>
      </c>
      <c r="AV15" s="31">
        <v>41</v>
      </c>
      <c r="AW15" s="31">
        <v>42</v>
      </c>
      <c r="AX15" s="31">
        <v>43</v>
      </c>
      <c r="AY15" s="31">
        <v>44</v>
      </c>
      <c r="AZ15" s="31">
        <v>45</v>
      </c>
      <c r="BA15" s="31">
        <v>46</v>
      </c>
      <c r="BB15" s="31">
        <v>47</v>
      </c>
      <c r="BC15" s="31">
        <v>48</v>
      </c>
      <c r="BD15" s="31">
        <v>49</v>
      </c>
      <c r="BE15" s="31">
        <v>50</v>
      </c>
      <c r="BF15" s="31">
        <v>51</v>
      </c>
      <c r="BG15" s="31">
        <v>52</v>
      </c>
      <c r="BH15" s="31">
        <v>53</v>
      </c>
      <c r="BI15" s="31">
        <v>54</v>
      </c>
      <c r="BJ15" s="31">
        <v>55</v>
      </c>
      <c r="BK15" s="31">
        <v>56</v>
      </c>
      <c r="BL15" s="31">
        <v>57</v>
      </c>
      <c r="BM15" s="31">
        <v>58</v>
      </c>
      <c r="BN15" s="31">
        <v>59</v>
      </c>
      <c r="BO15" s="31">
        <v>60</v>
      </c>
      <c r="BP15" s="31">
        <v>61</v>
      </c>
      <c r="BQ15" s="31">
        <v>62</v>
      </c>
      <c r="BR15" s="31">
        <v>63</v>
      </c>
      <c r="BS15" s="31">
        <v>64</v>
      </c>
      <c r="BT15" s="31">
        <v>65</v>
      </c>
      <c r="BU15" s="31">
        <v>66</v>
      </c>
      <c r="BV15" s="31">
        <v>67</v>
      </c>
      <c r="BW15" s="31">
        <v>68</v>
      </c>
      <c r="BX15" s="31">
        <v>69</v>
      </c>
      <c r="BY15" s="31">
        <v>70</v>
      </c>
      <c r="BZ15" s="31">
        <v>71</v>
      </c>
      <c r="CA15" s="31">
        <v>72</v>
      </c>
      <c r="CB15" s="31">
        <v>73</v>
      </c>
      <c r="CC15" s="31">
        <v>74</v>
      </c>
      <c r="CD15" s="31">
        <v>75</v>
      </c>
      <c r="CE15" s="31">
        <v>76</v>
      </c>
      <c r="CF15" s="31">
        <v>77</v>
      </c>
      <c r="CG15" s="31">
        <v>78</v>
      </c>
      <c r="CH15" s="31">
        <v>79</v>
      </c>
      <c r="CI15" s="31">
        <v>80</v>
      </c>
      <c r="CJ15" s="31">
        <v>81</v>
      </c>
      <c r="CK15" s="31">
        <v>82</v>
      </c>
      <c r="CL15" s="31">
        <v>83</v>
      </c>
      <c r="CM15" s="31">
        <v>84</v>
      </c>
      <c r="CN15" s="31">
        <v>85</v>
      </c>
      <c r="CO15" s="31">
        <v>86</v>
      </c>
      <c r="CP15" s="31">
        <v>87</v>
      </c>
      <c r="CQ15" s="31">
        <v>88</v>
      </c>
      <c r="CR15" s="31">
        <v>89</v>
      </c>
      <c r="CS15" s="31">
        <v>90</v>
      </c>
      <c r="CT15" s="31">
        <v>91</v>
      </c>
      <c r="CU15" s="31">
        <v>92</v>
      </c>
      <c r="CV15" s="31">
        <v>93</v>
      </c>
      <c r="CW15" s="31">
        <v>94</v>
      </c>
      <c r="CX15" s="31">
        <v>95</v>
      </c>
      <c r="CY15" s="31">
        <v>96</v>
      </c>
      <c r="CZ15" s="31">
        <v>97</v>
      </c>
      <c r="DA15" s="31">
        <v>98</v>
      </c>
      <c r="DB15" s="31">
        <v>99</v>
      </c>
      <c r="DC15" s="31">
        <v>100</v>
      </c>
      <c r="DD15" s="31">
        <v>101</v>
      </c>
      <c r="DE15" s="31">
        <v>102</v>
      </c>
      <c r="DF15" s="31">
        <v>103</v>
      </c>
      <c r="DG15" s="31">
        <v>104</v>
      </c>
      <c r="DH15" s="31">
        <v>105</v>
      </c>
      <c r="DI15" s="31">
        <v>106</v>
      </c>
      <c r="DJ15" s="31">
        <v>107</v>
      </c>
      <c r="DK15" s="31">
        <v>108</v>
      </c>
      <c r="DL15" s="31">
        <v>109</v>
      </c>
      <c r="DM15" s="31">
        <v>110</v>
      </c>
      <c r="DN15" s="31">
        <v>111</v>
      </c>
      <c r="DO15" s="31">
        <v>112</v>
      </c>
      <c r="DP15" s="31">
        <v>113</v>
      </c>
      <c r="DQ15" s="31">
        <v>114</v>
      </c>
      <c r="DR15" s="31">
        <v>115</v>
      </c>
      <c r="DS15" s="31">
        <v>116</v>
      </c>
      <c r="DT15" s="31">
        <v>117</v>
      </c>
      <c r="DU15" s="31">
        <v>118</v>
      </c>
      <c r="DV15" s="31">
        <v>119</v>
      </c>
      <c r="DW15" s="31">
        <v>120</v>
      </c>
      <c r="DX15" s="31">
        <v>121</v>
      </c>
      <c r="DY15" s="31">
        <v>122</v>
      </c>
      <c r="DZ15" s="31">
        <v>123</v>
      </c>
      <c r="EA15" s="31">
        <v>124</v>
      </c>
      <c r="EB15" s="31">
        <v>125</v>
      </c>
      <c r="EC15" s="31">
        <v>126</v>
      </c>
      <c r="ED15" s="31">
        <v>127</v>
      </c>
      <c r="EE15" s="31">
        <v>128</v>
      </c>
      <c r="EF15" s="31">
        <v>129</v>
      </c>
      <c r="EG15" s="31">
        <v>130</v>
      </c>
      <c r="EH15" s="31">
        <v>131</v>
      </c>
      <c r="EI15" s="31">
        <v>132</v>
      </c>
      <c r="EJ15" s="31">
        <v>133</v>
      </c>
      <c r="EK15" s="31">
        <v>134</v>
      </c>
      <c r="EL15" s="31">
        <v>135</v>
      </c>
      <c r="EM15" s="31">
        <v>136</v>
      </c>
      <c r="EN15" s="31">
        <v>137</v>
      </c>
      <c r="EO15" s="31">
        <v>138</v>
      </c>
      <c r="EP15" s="31">
        <v>139</v>
      </c>
      <c r="EQ15" s="31">
        <v>140</v>
      </c>
      <c r="ER15" s="31">
        <v>141</v>
      </c>
      <c r="ES15" s="31">
        <v>142</v>
      </c>
      <c r="ET15" s="31">
        <v>143</v>
      </c>
      <c r="EU15" s="31">
        <v>144</v>
      </c>
      <c r="EV15" s="31">
        <v>145</v>
      </c>
      <c r="EW15" s="31">
        <v>146</v>
      </c>
      <c r="EX15" s="31">
        <v>147</v>
      </c>
      <c r="EY15" s="31">
        <v>148</v>
      </c>
      <c r="EZ15" s="31">
        <v>149</v>
      </c>
      <c r="FA15" s="31">
        <v>150</v>
      </c>
      <c r="FB15" s="31">
        <v>151</v>
      </c>
      <c r="FC15" s="31">
        <v>152</v>
      </c>
      <c r="FD15" s="31">
        <v>153</v>
      </c>
      <c r="FE15" s="31">
        <v>154</v>
      </c>
      <c r="FF15" s="31">
        <v>155</v>
      </c>
      <c r="FG15" s="31">
        <v>156</v>
      </c>
      <c r="FH15" s="31">
        <v>157</v>
      </c>
      <c r="FI15" s="31">
        <v>158</v>
      </c>
      <c r="FJ15" s="31">
        <v>159</v>
      </c>
      <c r="FK15" s="31">
        <v>160</v>
      </c>
      <c r="FL15" s="31">
        <v>161</v>
      </c>
      <c r="FM15" s="31">
        <v>162</v>
      </c>
      <c r="FN15" s="31">
        <v>163</v>
      </c>
      <c r="FO15" s="31">
        <v>164</v>
      </c>
      <c r="FP15" s="31">
        <v>165</v>
      </c>
      <c r="FQ15" s="31">
        <v>166</v>
      </c>
      <c r="FR15" s="31">
        <v>167</v>
      </c>
      <c r="FS15" s="31">
        <v>168</v>
      </c>
      <c r="FT15" s="31">
        <v>169</v>
      </c>
      <c r="FU15" s="31">
        <v>170</v>
      </c>
      <c r="FV15" s="31">
        <v>171</v>
      </c>
      <c r="FW15" s="31">
        <v>172</v>
      </c>
      <c r="FX15" s="31">
        <v>173</v>
      </c>
      <c r="FY15" s="31">
        <v>174</v>
      </c>
      <c r="FZ15" s="31">
        <v>175</v>
      </c>
      <c r="GA15" s="31">
        <v>176</v>
      </c>
      <c r="GB15" s="31">
        <v>177</v>
      </c>
      <c r="GC15" s="31">
        <v>178</v>
      </c>
      <c r="GD15" s="31">
        <v>179</v>
      </c>
      <c r="GE15" s="31">
        <v>180</v>
      </c>
      <c r="GF15" s="31">
        <v>181</v>
      </c>
      <c r="GG15" s="31">
        <v>182</v>
      </c>
      <c r="GH15" s="31">
        <v>183</v>
      </c>
      <c r="GI15" s="31">
        <v>184</v>
      </c>
      <c r="GJ15" s="31">
        <v>185</v>
      </c>
      <c r="GK15" s="31">
        <v>186</v>
      </c>
      <c r="GL15" s="31">
        <v>187</v>
      </c>
      <c r="GM15" s="31">
        <v>188</v>
      </c>
      <c r="GN15" s="31">
        <v>189</v>
      </c>
      <c r="GO15" s="31">
        <v>190</v>
      </c>
      <c r="GP15" s="31">
        <v>191</v>
      </c>
      <c r="GQ15" s="31">
        <v>192</v>
      </c>
      <c r="GR15" s="31">
        <v>193</v>
      </c>
      <c r="GS15" s="31">
        <v>194</v>
      </c>
      <c r="GT15" s="31">
        <v>195</v>
      </c>
      <c r="GU15" s="31">
        <v>196</v>
      </c>
      <c r="GV15" s="31">
        <v>197</v>
      </c>
      <c r="GW15" s="31">
        <v>198</v>
      </c>
      <c r="GX15" s="31">
        <v>199</v>
      </c>
      <c r="GY15" s="31">
        <v>200</v>
      </c>
    </row>
    <row r="16" spans="1:207">
      <c r="B16" s="18" t="s">
        <v>51</v>
      </c>
      <c r="H16" s="34">
        <f>G19</f>
        <v>154</v>
      </c>
      <c r="I16" s="34">
        <f t="shared" ref="I16:BT16" ca="1" si="0">H19</f>
        <v>160.16</v>
      </c>
      <c r="J16" s="34">
        <f t="shared" ca="1" si="0"/>
        <v>166.56640000000002</v>
      </c>
      <c r="K16" s="34">
        <f t="shared" ca="1" si="0"/>
        <v>173.22905600000004</v>
      </c>
      <c r="L16" s="34">
        <f t="shared" ca="1" si="0"/>
        <v>180.15821824000005</v>
      </c>
      <c r="M16" s="34">
        <f t="shared" ca="1" si="0"/>
        <v>187.36454696960007</v>
      </c>
      <c r="N16" s="34">
        <f t="shared" ca="1" si="0"/>
        <v>194.85912884838407</v>
      </c>
      <c r="O16" s="34">
        <f t="shared" ca="1" si="0"/>
        <v>202.65349400231946</v>
      </c>
      <c r="P16" s="34">
        <f t="shared" ca="1" si="0"/>
        <v>210.75963376241225</v>
      </c>
      <c r="Q16" s="34">
        <f t="shared" ca="1" si="0"/>
        <v>219.19001911290874</v>
      </c>
      <c r="R16" s="34">
        <f t="shared" ca="1" si="0"/>
        <v>227.95761987742512</v>
      </c>
      <c r="S16" s="34">
        <f t="shared" ca="1" si="0"/>
        <v>237.07592467252212</v>
      </c>
      <c r="T16" s="34">
        <f t="shared" ca="1" si="0"/>
        <v>246.55896165942306</v>
      </c>
      <c r="U16" s="34">
        <f t="shared" ca="1" si="0"/>
        <v>256.42132012580004</v>
      </c>
      <c r="V16" s="34">
        <f t="shared" ca="1" si="0"/>
        <v>266.67817293083203</v>
      </c>
      <c r="W16" s="34">
        <f t="shared" ca="1" si="0"/>
        <v>277.34529984806534</v>
      </c>
      <c r="X16" s="34">
        <f t="shared" ca="1" si="0"/>
        <v>288.43911184198794</v>
      </c>
      <c r="Y16" s="34">
        <f t="shared" ca="1" si="0"/>
        <v>299.97667631566748</v>
      </c>
      <c r="Z16" s="34">
        <f t="shared" ca="1" si="0"/>
        <v>311.97574336829422</v>
      </c>
      <c r="AA16" s="34">
        <f t="shared" ca="1" si="0"/>
        <v>324.45477310302601</v>
      </c>
      <c r="AB16" s="34">
        <f t="shared" ca="1" si="0"/>
        <v>337.43296402714702</v>
      </c>
      <c r="AC16" s="34">
        <f t="shared" ca="1" si="0"/>
        <v>350.9302825882329</v>
      </c>
      <c r="AD16" s="34">
        <f t="shared" ca="1" si="0"/>
        <v>364.96749389176227</v>
      </c>
      <c r="AE16" s="34">
        <f t="shared" ca="1" si="0"/>
        <v>379.56619364743278</v>
      </c>
      <c r="AF16" s="34">
        <f t="shared" ca="1" si="0"/>
        <v>394.74884139333011</v>
      </c>
      <c r="AG16" s="34">
        <f t="shared" ca="1" si="0"/>
        <v>410.53879504906337</v>
      </c>
      <c r="AH16" s="34">
        <f t="shared" ca="1" si="0"/>
        <v>426.96034685102597</v>
      </c>
      <c r="AI16" s="34">
        <f t="shared" ca="1" si="0"/>
        <v>444.03876072506705</v>
      </c>
      <c r="AJ16" s="34">
        <f t="shared" ca="1" si="0"/>
        <v>461.80031115406985</v>
      </c>
      <c r="AK16" s="34">
        <f t="shared" ca="1" si="0"/>
        <v>480.27232360023271</v>
      </c>
      <c r="AL16" s="34">
        <f t="shared" ca="1" si="0"/>
        <v>499.483216544242</v>
      </c>
      <c r="AM16" s="34">
        <f t="shared" ca="1" si="0"/>
        <v>519.46254520601167</v>
      </c>
      <c r="AN16" s="34">
        <f t="shared" ca="1" si="0"/>
        <v>540.24104701425222</v>
      </c>
      <c r="AO16" s="34">
        <f t="shared" ca="1" si="0"/>
        <v>561.85068889482227</v>
      </c>
      <c r="AP16" s="34">
        <f t="shared" ca="1" si="0"/>
        <v>584.32471645061526</v>
      </c>
      <c r="AQ16" s="34">
        <f t="shared" ca="1" si="0"/>
        <v>607.69770510863987</v>
      </c>
      <c r="AR16" s="34">
        <f t="shared" ca="1" si="0"/>
        <v>632.00561331298559</v>
      </c>
      <c r="AS16" s="34">
        <f t="shared" ca="1" si="0"/>
        <v>657.28583784550506</v>
      </c>
      <c r="AT16" s="34">
        <f t="shared" ca="1" si="0"/>
        <v>683.57727135932532</v>
      </c>
      <c r="AU16" s="34">
        <f t="shared" ca="1" si="0"/>
        <v>710.92036221369835</v>
      </c>
      <c r="AV16" s="34">
        <f t="shared" ca="1" si="0"/>
        <v>739.35717670224631</v>
      </c>
      <c r="AW16" s="34">
        <f t="shared" ca="1" si="0"/>
        <v>768.93146377033622</v>
      </c>
      <c r="AX16" s="34">
        <f t="shared" ca="1" si="0"/>
        <v>799.68872232114973</v>
      </c>
      <c r="AY16" s="34">
        <f t="shared" ca="1" si="0"/>
        <v>831.67627121399573</v>
      </c>
      <c r="AZ16" s="34">
        <f t="shared" ca="1" si="0"/>
        <v>864.94332206255569</v>
      </c>
      <c r="BA16" s="34">
        <f t="shared" ca="1" si="0"/>
        <v>899.54105494505791</v>
      </c>
      <c r="BB16" s="34">
        <f t="shared" ca="1" si="0"/>
        <v>935.52269714286035</v>
      </c>
      <c r="BC16" s="34">
        <f t="shared" ca="1" si="0"/>
        <v>972.94360502857478</v>
      </c>
      <c r="BD16" s="34">
        <f t="shared" ca="1" si="0"/>
        <v>1011.8613492297178</v>
      </c>
      <c r="BE16" s="34">
        <f t="shared" ca="1" si="0"/>
        <v>1052.3358031989064</v>
      </c>
      <c r="BF16" s="34">
        <f t="shared" ca="1" si="0"/>
        <v>1094.4292353268629</v>
      </c>
      <c r="BG16" s="34">
        <f t="shared" ca="1" si="0"/>
        <v>1138.2064047399376</v>
      </c>
      <c r="BH16" s="34">
        <f t="shared" ca="1" si="0"/>
        <v>1183.7346609295353</v>
      </c>
      <c r="BI16" s="34">
        <f t="shared" ca="1" si="0"/>
        <v>1231.0840473667167</v>
      </c>
      <c r="BJ16" s="34">
        <f t="shared" ca="1" si="0"/>
        <v>1280.3274092613854</v>
      </c>
      <c r="BK16" s="34">
        <f t="shared" ca="1" si="0"/>
        <v>1331.5405056318409</v>
      </c>
      <c r="BL16" s="34">
        <f t="shared" ca="1" si="0"/>
        <v>1384.8021258571148</v>
      </c>
      <c r="BM16" s="34">
        <f t="shared" ca="1" si="0"/>
        <v>1440.1942108913995</v>
      </c>
      <c r="BN16" s="34">
        <f t="shared" ca="1" si="0"/>
        <v>1497.8019793270555</v>
      </c>
      <c r="BO16" s="34">
        <f t="shared" ca="1" si="0"/>
        <v>1557.7140585001378</v>
      </c>
      <c r="BP16" s="34">
        <f t="shared" ca="1" si="0"/>
        <v>1620.0226208401434</v>
      </c>
      <c r="BQ16" s="34">
        <f t="shared" ca="1" si="0"/>
        <v>1684.8235256737491</v>
      </c>
      <c r="BR16" s="34">
        <f t="shared" ca="1" si="0"/>
        <v>1752.2164667006991</v>
      </c>
      <c r="BS16" s="34">
        <f t="shared" ca="1" si="0"/>
        <v>1822.3051253687272</v>
      </c>
      <c r="BT16" s="34">
        <f t="shared" ca="1" si="0"/>
        <v>1895.1973303834766</v>
      </c>
      <c r="BU16" s="34">
        <f t="shared" ref="BU16:EF16" ca="1" si="1">BT19</f>
        <v>1971.0052235988155</v>
      </c>
      <c r="BV16" s="34">
        <f t="shared" ca="1" si="1"/>
        <v>2049.8454325427683</v>
      </c>
      <c r="BW16" s="34">
        <f t="shared" ca="1" si="1"/>
        <v>2131.8392498444791</v>
      </c>
      <c r="BX16" s="34">
        <f t="shared" ca="1" si="1"/>
        <v>2217.1128198382585</v>
      </c>
      <c r="BY16" s="34">
        <f t="shared" ca="1" si="1"/>
        <v>2305.7973326317892</v>
      </c>
      <c r="BZ16" s="34">
        <f t="shared" ca="1" si="1"/>
        <v>2398.0292259370608</v>
      </c>
      <c r="CA16" s="34">
        <f t="shared" ca="1" si="1"/>
        <v>2493.9503949745435</v>
      </c>
      <c r="CB16" s="34">
        <f t="shared" ca="1" si="1"/>
        <v>2593.7084107735254</v>
      </c>
      <c r="CC16" s="34">
        <f t="shared" ca="1" si="1"/>
        <v>2697.4567472044664</v>
      </c>
      <c r="CD16" s="34">
        <f t="shared" ca="1" si="1"/>
        <v>2805.3550170926451</v>
      </c>
      <c r="CE16" s="34">
        <f t="shared" ca="1" si="1"/>
        <v>2917.5692177763513</v>
      </c>
      <c r="CF16" s="34">
        <f t="shared" ca="1" si="1"/>
        <v>3034.2719864874052</v>
      </c>
      <c r="CG16" s="34">
        <f t="shared" ca="1" si="1"/>
        <v>3155.6428659469016</v>
      </c>
      <c r="CH16" s="34">
        <f t="shared" ca="1" si="1"/>
        <v>3281.8685805847776</v>
      </c>
      <c r="CI16" s="34">
        <f t="shared" ca="1" si="1"/>
        <v>3413.143323808169</v>
      </c>
      <c r="CJ16" s="34">
        <f t="shared" ca="1" si="1"/>
        <v>3549.669056760496</v>
      </c>
      <c r="CK16" s="34">
        <f t="shared" ca="1" si="1"/>
        <v>3691.6558190309161</v>
      </c>
      <c r="CL16" s="34">
        <f t="shared" ca="1" si="1"/>
        <v>3839.3220517921527</v>
      </c>
      <c r="CM16" s="34">
        <f t="shared" ca="1" si="1"/>
        <v>3992.894933863839</v>
      </c>
      <c r="CN16" s="34">
        <f t="shared" ca="1" si="1"/>
        <v>4152.6107312183931</v>
      </c>
      <c r="CO16" s="34">
        <f t="shared" ca="1" si="1"/>
        <v>4318.715160467129</v>
      </c>
      <c r="CP16" s="34">
        <f t="shared" ca="1" si="1"/>
        <v>4491.463766885814</v>
      </c>
      <c r="CQ16" s="34">
        <f t="shared" ca="1" si="1"/>
        <v>4671.1223175612467</v>
      </c>
      <c r="CR16" s="34">
        <f t="shared" ca="1" si="1"/>
        <v>4857.9672102636969</v>
      </c>
      <c r="CS16" s="34">
        <f t="shared" ca="1" si="1"/>
        <v>5052.2858986742449</v>
      </c>
      <c r="CT16" s="34">
        <f t="shared" ca="1" si="1"/>
        <v>5254.3773346212156</v>
      </c>
      <c r="CU16" s="34">
        <f t="shared" ca="1" si="1"/>
        <v>5464.5524280060654</v>
      </c>
      <c r="CV16" s="34">
        <f t="shared" ca="1" si="1"/>
        <v>5683.1345251263083</v>
      </c>
      <c r="CW16" s="34">
        <f t="shared" ca="1" si="1"/>
        <v>5910.4599061313611</v>
      </c>
      <c r="CX16" s="34">
        <f t="shared" ca="1" si="1"/>
        <v>6146.8783023766164</v>
      </c>
      <c r="CY16" s="34">
        <f t="shared" ca="1" si="1"/>
        <v>6392.7534344716814</v>
      </c>
      <c r="CZ16" s="34">
        <f t="shared" ca="1" si="1"/>
        <v>6648.4635718505497</v>
      </c>
      <c r="DA16" s="34">
        <f t="shared" ca="1" si="1"/>
        <v>6914.4021147245721</v>
      </c>
      <c r="DB16" s="34">
        <f t="shared" ca="1" si="1"/>
        <v>7190.9781993135557</v>
      </c>
      <c r="DC16" s="34">
        <f t="shared" ca="1" si="1"/>
        <v>7478.6173272860979</v>
      </c>
      <c r="DD16" s="34">
        <f t="shared" ca="1" si="1"/>
        <v>7777.7620203775423</v>
      </c>
      <c r="DE16" s="34">
        <f t="shared" ca="1" si="1"/>
        <v>8088.8725011926444</v>
      </c>
      <c r="DF16" s="34">
        <f t="shared" ca="1" si="1"/>
        <v>8412.4274012403512</v>
      </c>
      <c r="DG16" s="34">
        <f t="shared" ca="1" si="1"/>
        <v>8748.9244972899651</v>
      </c>
      <c r="DH16" s="34">
        <f t="shared" ca="1" si="1"/>
        <v>9098.8814771815651</v>
      </c>
      <c r="DI16" s="34">
        <f t="shared" ca="1" si="1"/>
        <v>9462.8367362688277</v>
      </c>
      <c r="DJ16" s="34">
        <f t="shared" ca="1" si="1"/>
        <v>9841.3502057195819</v>
      </c>
      <c r="DK16" s="34">
        <f t="shared" ca="1" si="1"/>
        <v>10235.004213948367</v>
      </c>
      <c r="DL16" s="34">
        <f t="shared" ca="1" si="1"/>
        <v>10644.404382506302</v>
      </c>
      <c r="DM16" s="34">
        <f t="shared" ca="1" si="1"/>
        <v>11070.180557806554</v>
      </c>
      <c r="DN16" s="34">
        <f t="shared" ca="1" si="1"/>
        <v>11512.987780118816</v>
      </c>
      <c r="DO16" s="34">
        <f t="shared" ca="1" si="1"/>
        <v>11973.507291323569</v>
      </c>
      <c r="DP16" s="34">
        <f t="shared" ca="1" si="1"/>
        <v>12452.447582976512</v>
      </c>
      <c r="DQ16" s="34">
        <f t="shared" ca="1" si="1"/>
        <v>12950.545486295574</v>
      </c>
      <c r="DR16" s="34">
        <f t="shared" ca="1" si="1"/>
        <v>13468.567305747398</v>
      </c>
      <c r="DS16" s="34">
        <f t="shared" ca="1" si="1"/>
        <v>14007.309997977294</v>
      </c>
      <c r="DT16" s="34">
        <f t="shared" ca="1" si="1"/>
        <v>14567.602397896388</v>
      </c>
      <c r="DU16" s="34">
        <f t="shared" ca="1" si="1"/>
        <v>15150.306493812244</v>
      </c>
      <c r="DV16" s="34">
        <f t="shared" ca="1" si="1"/>
        <v>15756.318753564736</v>
      </c>
      <c r="DW16" s="34">
        <f t="shared" ca="1" si="1"/>
        <v>16386.571503707328</v>
      </c>
      <c r="DX16" s="34">
        <f t="shared" ca="1" si="1"/>
        <v>17042.034363855622</v>
      </c>
      <c r="DY16" s="34">
        <f t="shared" ca="1" si="1"/>
        <v>17723.71573840985</v>
      </c>
      <c r="DZ16" s="34">
        <f t="shared" ca="1" si="1"/>
        <v>18432.664367946247</v>
      </c>
      <c r="EA16" s="34">
        <f t="shared" ca="1" si="1"/>
        <v>19169.970942664098</v>
      </c>
      <c r="EB16" s="34">
        <f t="shared" ca="1" si="1"/>
        <v>19936.769780370661</v>
      </c>
      <c r="EC16" s="34">
        <f t="shared" ca="1" si="1"/>
        <v>20734.240571585487</v>
      </c>
      <c r="ED16" s="34">
        <f t="shared" ca="1" si="1"/>
        <v>21563.610194448909</v>
      </c>
      <c r="EE16" s="34">
        <f t="shared" ca="1" si="1"/>
        <v>22426.154602226867</v>
      </c>
      <c r="EF16" s="34">
        <f t="shared" ca="1" si="1"/>
        <v>23323.200786315942</v>
      </c>
      <c r="EG16" s="34">
        <f t="shared" ref="EG16:GR16" ca="1" si="2">EF19</f>
        <v>24256.128817768582</v>
      </c>
      <c r="EH16" s="34">
        <f t="shared" ca="1" si="2"/>
        <v>25226.373970479326</v>
      </c>
      <c r="EI16" s="34">
        <f t="shared" ca="1" si="2"/>
        <v>26235.428929298501</v>
      </c>
      <c r="EJ16" s="34">
        <f t="shared" ca="1" si="2"/>
        <v>27284.846086470443</v>
      </c>
      <c r="EK16" s="34">
        <f t="shared" ca="1" si="2"/>
        <v>28376.239929929263</v>
      </c>
      <c r="EL16" s="34">
        <f t="shared" ca="1" si="2"/>
        <v>29511.289527126435</v>
      </c>
      <c r="EM16" s="34">
        <f t="shared" ca="1" si="2"/>
        <v>30691.741108211492</v>
      </c>
      <c r="EN16" s="34">
        <f t="shared" ca="1" si="2"/>
        <v>31919.410752539952</v>
      </c>
      <c r="EO16" s="34">
        <f t="shared" ca="1" si="2"/>
        <v>33196.187182641552</v>
      </c>
      <c r="EP16" s="34">
        <f t="shared" ca="1" si="2"/>
        <v>34524.034669947214</v>
      </c>
      <c r="EQ16" s="34">
        <f t="shared" ca="1" si="2"/>
        <v>35904.996056745105</v>
      </c>
      <c r="ER16" s="34">
        <f t="shared" ca="1" si="2"/>
        <v>37341.195899014914</v>
      </c>
      <c r="ES16" s="34">
        <f t="shared" ca="1" si="2"/>
        <v>38834.843734975511</v>
      </c>
      <c r="ET16" s="34">
        <f t="shared" ca="1" si="2"/>
        <v>40388.237484374535</v>
      </c>
      <c r="EU16" s="34">
        <f t="shared" ca="1" si="2"/>
        <v>42003.76698374952</v>
      </c>
      <c r="EV16" s="34">
        <f t="shared" ca="1" si="2"/>
        <v>43683.917663099506</v>
      </c>
      <c r="EW16" s="34">
        <f t="shared" ca="1" si="2"/>
        <v>45431.27436962349</v>
      </c>
      <c r="EX16" s="34">
        <f t="shared" ca="1" si="2"/>
        <v>47248.52534440843</v>
      </c>
      <c r="EY16" s="34">
        <f t="shared" ca="1" si="2"/>
        <v>49138.466358184771</v>
      </c>
      <c r="EZ16" s="34">
        <f t="shared" ca="1" si="2"/>
        <v>51104.005012512163</v>
      </c>
      <c r="FA16" s="34">
        <f t="shared" ca="1" si="2"/>
        <v>53148.165213012653</v>
      </c>
      <c r="FB16" s="34">
        <f t="shared" ca="1" si="2"/>
        <v>55274.091821533162</v>
      </c>
      <c r="FC16" s="34">
        <f t="shared" ca="1" si="2"/>
        <v>57485.055494394495</v>
      </c>
      <c r="FD16" s="34">
        <f t="shared" ca="1" si="2"/>
        <v>59784.457714170283</v>
      </c>
      <c r="FE16" s="34">
        <f t="shared" ca="1" si="2"/>
        <v>62175.836022737094</v>
      </c>
      <c r="FF16" s="34">
        <f t="shared" ca="1" si="2"/>
        <v>64662.869463646581</v>
      </c>
      <c r="FG16" s="34">
        <f t="shared" ca="1" si="2"/>
        <v>67249.384242192449</v>
      </c>
      <c r="FH16" s="34">
        <f t="shared" ca="1" si="2"/>
        <v>69939.359611880151</v>
      </c>
      <c r="FI16" s="34">
        <f t="shared" ca="1" si="2"/>
        <v>72736.933996355365</v>
      </c>
      <c r="FJ16" s="34">
        <f t="shared" ca="1" si="2"/>
        <v>75646.411356209588</v>
      </c>
      <c r="FK16" s="34">
        <f t="shared" ca="1" si="2"/>
        <v>78672.267810457968</v>
      </c>
      <c r="FL16" s="34">
        <f t="shared" ca="1" si="2"/>
        <v>81819.1585228763</v>
      </c>
      <c r="FM16" s="34">
        <f t="shared" ca="1" si="2"/>
        <v>85091.924863791355</v>
      </c>
      <c r="FN16" s="34">
        <f t="shared" ca="1" si="2"/>
        <v>88495.601858343012</v>
      </c>
      <c r="FO16" s="34">
        <f t="shared" ca="1" si="2"/>
        <v>92035.425932676735</v>
      </c>
      <c r="FP16" s="34">
        <f t="shared" ca="1" si="2"/>
        <v>95716.842969983816</v>
      </c>
      <c r="FQ16" s="34">
        <f t="shared" ca="1" si="2"/>
        <v>99545.516688783187</v>
      </c>
      <c r="FR16" s="34">
        <f t="shared" ca="1" si="2"/>
        <v>103527.33735633452</v>
      </c>
      <c r="FS16" s="34">
        <f t="shared" ca="1" si="2"/>
        <v>107668.4308505879</v>
      </c>
      <c r="FT16" s="34">
        <f t="shared" ca="1" si="2"/>
        <v>111975.16808461142</v>
      </c>
      <c r="FU16" s="34">
        <f t="shared" ca="1" si="2"/>
        <v>116454.17480799589</v>
      </c>
      <c r="FV16" s="34">
        <f t="shared" ca="1" si="2"/>
        <v>121112.34180031573</v>
      </c>
      <c r="FW16" s="34">
        <f t="shared" ca="1" si="2"/>
        <v>125956.83547232837</v>
      </c>
      <c r="FX16" s="34">
        <f t="shared" ca="1" si="2"/>
        <v>130995.10889122151</v>
      </c>
      <c r="FY16" s="34">
        <f t="shared" ca="1" si="2"/>
        <v>136234.91324687036</v>
      </c>
      <c r="FZ16" s="34">
        <f t="shared" ca="1" si="2"/>
        <v>141684.30977674518</v>
      </c>
      <c r="GA16" s="34">
        <f t="shared" ca="1" si="2"/>
        <v>147351.68216781502</v>
      </c>
      <c r="GB16" s="34">
        <f t="shared" ca="1" si="2"/>
        <v>153245.74945452763</v>
      </c>
      <c r="GC16" s="34">
        <f t="shared" ca="1" si="2"/>
        <v>159375.57943270874</v>
      </c>
      <c r="GD16" s="34">
        <f t="shared" ca="1" si="2"/>
        <v>165750.60261001709</v>
      </c>
      <c r="GE16" s="34">
        <f t="shared" ca="1" si="2"/>
        <v>172380.6267144178</v>
      </c>
      <c r="GF16" s="34">
        <f t="shared" ca="1" si="2"/>
        <v>179275.85178299452</v>
      </c>
      <c r="GG16" s="34">
        <f t="shared" ca="1" si="2"/>
        <v>186446.88585431431</v>
      </c>
      <c r="GH16" s="34">
        <f t="shared" ca="1" si="2"/>
        <v>193904.76128848689</v>
      </c>
      <c r="GI16" s="34">
        <f t="shared" ca="1" si="2"/>
        <v>201660.95174002639</v>
      </c>
      <c r="GJ16" s="34">
        <f t="shared" ca="1" si="2"/>
        <v>209727.38980962746</v>
      </c>
      <c r="GK16" s="34">
        <f t="shared" ca="1" si="2"/>
        <v>218116.48540201256</v>
      </c>
      <c r="GL16" s="34">
        <f t="shared" ca="1" si="2"/>
        <v>226841.14481809307</v>
      </c>
      <c r="GM16" s="34">
        <f t="shared" ca="1" si="2"/>
        <v>235914.79061081682</v>
      </c>
      <c r="GN16" s="34">
        <f t="shared" ca="1" si="2"/>
        <v>245351.38223524953</v>
      </c>
      <c r="GO16" s="34">
        <f t="shared" ca="1" si="2"/>
        <v>255165.43752465953</v>
      </c>
      <c r="GP16" s="34">
        <f t="shared" ca="1" si="2"/>
        <v>265372.05502564594</v>
      </c>
      <c r="GQ16" s="34">
        <f t="shared" ca="1" si="2"/>
        <v>275986.93722667184</v>
      </c>
      <c r="GR16" s="34">
        <f t="shared" ca="1" si="2"/>
        <v>287026.41471573873</v>
      </c>
      <c r="GS16" s="34">
        <f t="shared" ref="GS16:GY16" ca="1" si="3">GR19</f>
        <v>298507.47130436829</v>
      </c>
      <c r="GT16" s="34">
        <f t="shared" ca="1" si="3"/>
        <v>310447.770156543</v>
      </c>
      <c r="GU16" s="34">
        <f t="shared" ca="1" si="3"/>
        <v>322865.6809628047</v>
      </c>
      <c r="GV16" s="34">
        <f t="shared" ca="1" si="3"/>
        <v>335780.30820131692</v>
      </c>
      <c r="GW16" s="34">
        <f t="shared" ca="1" si="3"/>
        <v>349211.52052936959</v>
      </c>
      <c r="GX16" s="34">
        <f t="shared" ca="1" si="3"/>
        <v>363179.98135054437</v>
      </c>
      <c r="GY16" s="34">
        <f t="shared" ca="1" si="3"/>
        <v>377707.18060456618</v>
      </c>
    </row>
    <row r="17" spans="1:207">
      <c r="B17" s="18" t="s">
        <v>87</v>
      </c>
      <c r="E17" s="20">
        <f ca="1">E9</f>
        <v>1.3491165055645986</v>
      </c>
      <c r="H17" s="34">
        <f ca="1">H18*$E$17</f>
        <v>23.804539578665672</v>
      </c>
      <c r="I17" s="34">
        <f t="shared" ref="I17:BT17" ca="1" si="4">I18*$E$17</f>
        <v>24.756721161812298</v>
      </c>
      <c r="J17" s="34">
        <f t="shared" ca="1" si="4"/>
        <v>25.746990008284794</v>
      </c>
      <c r="K17" s="34">
        <f t="shared" ca="1" si="4"/>
        <v>26.776869608616188</v>
      </c>
      <c r="L17" s="34">
        <f t="shared" ca="1" si="4"/>
        <v>27.847944392960834</v>
      </c>
      <c r="M17" s="34">
        <f t="shared" ca="1" si="4"/>
        <v>28.961862168679271</v>
      </c>
      <c r="N17" s="34">
        <f t="shared" ca="1" si="4"/>
        <v>30.120336655426446</v>
      </c>
      <c r="O17" s="34">
        <f t="shared" ca="1" si="4"/>
        <v>31.325150121643503</v>
      </c>
      <c r="P17" s="34">
        <f t="shared" ca="1" si="4"/>
        <v>32.578156126509242</v>
      </c>
      <c r="Q17" s="34">
        <f t="shared" ca="1" si="4"/>
        <v>33.881282371569618</v>
      </c>
      <c r="R17" s="34">
        <f t="shared" ca="1" si="4"/>
        <v>35.236533666432408</v>
      </c>
      <c r="S17" s="34">
        <f t="shared" ca="1" si="4"/>
        <v>36.645995013089703</v>
      </c>
      <c r="T17" s="34">
        <f t="shared" ca="1" si="4"/>
        <v>38.111834813613299</v>
      </c>
      <c r="U17" s="34">
        <f t="shared" ca="1" si="4"/>
        <v>39.636308206157835</v>
      </c>
      <c r="V17" s="34">
        <f t="shared" ca="1" si="4"/>
        <v>41.221760534404147</v>
      </c>
      <c r="W17" s="34">
        <f t="shared" ca="1" si="4"/>
        <v>42.870630955780321</v>
      </c>
      <c r="X17" s="34">
        <f t="shared" ca="1" si="4"/>
        <v>44.585456194011535</v>
      </c>
      <c r="Y17" s="34">
        <f t="shared" ca="1" si="4"/>
        <v>46.368874441771993</v>
      </c>
      <c r="Z17" s="34">
        <f t="shared" ca="1" si="4"/>
        <v>48.223629419442879</v>
      </c>
      <c r="AA17" s="34">
        <f t="shared" ca="1" si="4"/>
        <v>50.152574596220596</v>
      </c>
      <c r="AB17" s="34">
        <f t="shared" ca="1" si="4"/>
        <v>52.158677580069423</v>
      </c>
      <c r="AC17" s="34">
        <f t="shared" ca="1" si="4"/>
        <v>54.245024683272199</v>
      </c>
      <c r="AD17" s="34">
        <f t="shared" ca="1" si="4"/>
        <v>56.414825670603093</v>
      </c>
      <c r="AE17" s="34">
        <f t="shared" ca="1" si="4"/>
        <v>58.671418697427214</v>
      </c>
      <c r="AF17" s="34">
        <f t="shared" ca="1" si="4"/>
        <v>61.018275445324306</v>
      </c>
      <c r="AG17" s="34">
        <f t="shared" ca="1" si="4"/>
        <v>63.459006463137293</v>
      </c>
      <c r="AH17" s="34">
        <f t="shared" ca="1" si="4"/>
        <v>65.997366721662786</v>
      </c>
      <c r="AI17" s="34">
        <f t="shared" ca="1" si="4"/>
        <v>68.637261390529318</v>
      </c>
      <c r="AJ17" s="34">
        <f t="shared" ca="1" si="4"/>
        <v>71.382751846150498</v>
      </c>
      <c r="AK17" s="34">
        <f t="shared" ca="1" si="4"/>
        <v>74.238061919996539</v>
      </c>
      <c r="AL17" s="34">
        <f t="shared" ca="1" si="4"/>
        <v>77.207584396796392</v>
      </c>
      <c r="AM17" s="34">
        <f t="shared" ca="1" si="4"/>
        <v>80.295887772668252</v>
      </c>
      <c r="AN17" s="34">
        <f t="shared" ca="1" si="4"/>
        <v>83.50772328357499</v>
      </c>
      <c r="AO17" s="34">
        <f t="shared" ca="1" si="4"/>
        <v>86.848032214917978</v>
      </c>
      <c r="AP17" s="34">
        <f t="shared" ca="1" si="4"/>
        <v>90.32195350351472</v>
      </c>
      <c r="AQ17" s="34">
        <f t="shared" ca="1" si="4"/>
        <v>93.934831643655301</v>
      </c>
      <c r="AR17" s="34">
        <f t="shared" ca="1" si="4"/>
        <v>97.692224909401546</v>
      </c>
      <c r="AS17" s="34">
        <f t="shared" ca="1" si="4"/>
        <v>101.59991390577761</v>
      </c>
      <c r="AT17" s="34">
        <f t="shared" ca="1" si="4"/>
        <v>105.66391046200872</v>
      </c>
      <c r="AU17" s="34">
        <f t="shared" ca="1" si="4"/>
        <v>109.89046688048907</v>
      </c>
      <c r="AV17" s="34">
        <f t="shared" ca="1" si="4"/>
        <v>114.28608555570864</v>
      </c>
      <c r="AW17" s="34">
        <f t="shared" ca="1" si="4"/>
        <v>118.85752897793699</v>
      </c>
      <c r="AX17" s="34">
        <f t="shared" ca="1" si="4"/>
        <v>123.61183013705447</v>
      </c>
      <c r="AY17" s="34">
        <f t="shared" ca="1" si="4"/>
        <v>128.55630334253667</v>
      </c>
      <c r="AZ17" s="34">
        <f t="shared" ca="1" si="4"/>
        <v>133.69855547623814</v>
      </c>
      <c r="BA17" s="34">
        <f t="shared" ca="1" si="4"/>
        <v>139.04649769528768</v>
      </c>
      <c r="BB17" s="34">
        <f t="shared" ca="1" si="4"/>
        <v>144.60835760309919</v>
      </c>
      <c r="BC17" s="34">
        <f t="shared" ca="1" si="4"/>
        <v>150.39269190722317</v>
      </c>
      <c r="BD17" s="34">
        <f t="shared" ca="1" si="4"/>
        <v>156.40839958351211</v>
      </c>
      <c r="BE17" s="34">
        <f t="shared" ca="1" si="4"/>
        <v>162.66473556685256</v>
      </c>
      <c r="BF17" s="34">
        <f t="shared" ca="1" si="4"/>
        <v>169.17132498952671</v>
      </c>
      <c r="BG17" s="34">
        <f t="shared" ca="1" si="4"/>
        <v>175.9381779891078</v>
      </c>
      <c r="BH17" s="34">
        <f t="shared" ca="1" si="4"/>
        <v>182.97570510867214</v>
      </c>
      <c r="BI17" s="34">
        <f t="shared" ca="1" si="4"/>
        <v>190.29473331301901</v>
      </c>
      <c r="BJ17" s="34">
        <f t="shared" ca="1" si="4"/>
        <v>197.90652264553978</v>
      </c>
      <c r="BK17" s="34">
        <f t="shared" ca="1" si="4"/>
        <v>205.8227835513614</v>
      </c>
      <c r="BL17" s="34">
        <f t="shared" ca="1" si="4"/>
        <v>214.0556948934159</v>
      </c>
      <c r="BM17" s="34">
        <f t="shared" ca="1" si="4"/>
        <v>222.61792268915255</v>
      </c>
      <c r="BN17" s="34">
        <f t="shared" ca="1" si="4"/>
        <v>231.52263959671868</v>
      </c>
      <c r="BO17" s="34">
        <f t="shared" ca="1" si="4"/>
        <v>240.7835451805874</v>
      </c>
      <c r="BP17" s="34">
        <f t="shared" ca="1" si="4"/>
        <v>250.41488698781092</v>
      </c>
      <c r="BQ17" s="34">
        <f t="shared" ca="1" si="4"/>
        <v>260.43148246732335</v>
      </c>
      <c r="BR17" s="34">
        <f t="shared" ca="1" si="4"/>
        <v>270.8487417660163</v>
      </c>
      <c r="BS17" s="34">
        <f t="shared" ca="1" si="4"/>
        <v>281.68269143665697</v>
      </c>
      <c r="BT17" s="34">
        <f t="shared" ca="1" si="4"/>
        <v>292.94999909412326</v>
      </c>
      <c r="BU17" s="34">
        <f t="shared" ref="BU17:EF17" ca="1" si="5">BU18*$E$17</f>
        <v>304.66799905788821</v>
      </c>
      <c r="BV17" s="34">
        <f t="shared" ca="1" si="5"/>
        <v>316.85471902020379</v>
      </c>
      <c r="BW17" s="34">
        <f t="shared" ca="1" si="5"/>
        <v>329.52890778101192</v>
      </c>
      <c r="BX17" s="34">
        <f t="shared" ca="1" si="5"/>
        <v>342.71006409225242</v>
      </c>
      <c r="BY17" s="34">
        <f t="shared" ca="1" si="5"/>
        <v>356.41846665594261</v>
      </c>
      <c r="BZ17" s="34">
        <f t="shared" ca="1" si="5"/>
        <v>370.67520532218026</v>
      </c>
      <c r="CA17" s="34">
        <f t="shared" ca="1" si="5"/>
        <v>385.50221353506754</v>
      </c>
      <c r="CB17" s="34">
        <f t="shared" ca="1" si="5"/>
        <v>400.92230207647032</v>
      </c>
      <c r="CC17" s="34">
        <f t="shared" ca="1" si="5"/>
        <v>416.95919415952909</v>
      </c>
      <c r="CD17" s="34">
        <f t="shared" ca="1" si="5"/>
        <v>433.63756192591023</v>
      </c>
      <c r="CE17" s="34">
        <f t="shared" ca="1" si="5"/>
        <v>450.98306440294675</v>
      </c>
      <c r="CF17" s="34">
        <f t="shared" ca="1" si="5"/>
        <v>469.02238697906455</v>
      </c>
      <c r="CG17" s="34">
        <f t="shared" ca="1" si="5"/>
        <v>487.78328245822712</v>
      </c>
      <c r="CH17" s="34">
        <f t="shared" ca="1" si="5"/>
        <v>507.29461375655626</v>
      </c>
      <c r="CI17" s="34">
        <f t="shared" ca="1" si="5"/>
        <v>527.58639830681852</v>
      </c>
      <c r="CJ17" s="34">
        <f t="shared" ca="1" si="5"/>
        <v>548.68985423909135</v>
      </c>
      <c r="CK17" s="34">
        <f t="shared" ca="1" si="5"/>
        <v>570.63744840865502</v>
      </c>
      <c r="CL17" s="34">
        <f t="shared" ca="1" si="5"/>
        <v>593.46294634500123</v>
      </c>
      <c r="CM17" s="34">
        <f t="shared" ca="1" si="5"/>
        <v>617.20146419880132</v>
      </c>
      <c r="CN17" s="34">
        <f t="shared" ca="1" si="5"/>
        <v>641.88952276675343</v>
      </c>
      <c r="CO17" s="34">
        <f t="shared" ca="1" si="5"/>
        <v>667.56510367742362</v>
      </c>
      <c r="CP17" s="34">
        <f t="shared" ca="1" si="5"/>
        <v>694.26770782452047</v>
      </c>
      <c r="CQ17" s="34">
        <f t="shared" ca="1" si="5"/>
        <v>722.03841613750126</v>
      </c>
      <c r="CR17" s="34">
        <f t="shared" ca="1" si="5"/>
        <v>750.91995278300135</v>
      </c>
      <c r="CS17" s="34">
        <f t="shared" ca="1" si="5"/>
        <v>780.95675089432154</v>
      </c>
      <c r="CT17" s="34">
        <f t="shared" ca="1" si="5"/>
        <v>812.19502093009453</v>
      </c>
      <c r="CU17" s="34">
        <f t="shared" ca="1" si="5"/>
        <v>844.68282176729849</v>
      </c>
      <c r="CV17" s="34">
        <f t="shared" ca="1" si="5"/>
        <v>878.47013463799044</v>
      </c>
      <c r="CW17" s="34">
        <f t="shared" ca="1" si="5"/>
        <v>913.60894002351017</v>
      </c>
      <c r="CX17" s="34">
        <f t="shared" ca="1" si="5"/>
        <v>950.15329762445072</v>
      </c>
      <c r="CY17" s="34">
        <f t="shared" ca="1" si="5"/>
        <v>988.15942952942873</v>
      </c>
      <c r="CZ17" s="34">
        <f t="shared" ca="1" si="5"/>
        <v>1027.6858067106061</v>
      </c>
      <c r="DA17" s="34">
        <f t="shared" ca="1" si="5"/>
        <v>1068.7932389790305</v>
      </c>
      <c r="DB17" s="34">
        <f t="shared" ca="1" si="5"/>
        <v>1111.5449685381916</v>
      </c>
      <c r="DC17" s="34">
        <f t="shared" ca="1" si="5"/>
        <v>1156.0067672797193</v>
      </c>
      <c r="DD17" s="34">
        <f t="shared" ca="1" si="5"/>
        <v>1202.2470379709082</v>
      </c>
      <c r="DE17" s="34">
        <f t="shared" ca="1" si="5"/>
        <v>1250.3369194897446</v>
      </c>
      <c r="DF17" s="34">
        <f t="shared" ca="1" si="5"/>
        <v>1300.3503962693346</v>
      </c>
      <c r="DG17" s="34">
        <f t="shared" ca="1" si="5"/>
        <v>1352.364412120108</v>
      </c>
      <c r="DH17" s="34">
        <f t="shared" ca="1" si="5"/>
        <v>1406.4589886049127</v>
      </c>
      <c r="DI17" s="34">
        <f t="shared" ca="1" si="5"/>
        <v>1462.7173481491091</v>
      </c>
      <c r="DJ17" s="34">
        <f t="shared" ca="1" si="5"/>
        <v>1521.2260420750733</v>
      </c>
      <c r="DK17" s="34">
        <f t="shared" ca="1" si="5"/>
        <v>1582.0750837580767</v>
      </c>
      <c r="DL17" s="34">
        <f t="shared" ca="1" si="5"/>
        <v>1645.3580871083998</v>
      </c>
      <c r="DM17" s="34">
        <f t="shared" ca="1" si="5"/>
        <v>1711.1724105927358</v>
      </c>
      <c r="DN17" s="34">
        <f t="shared" ca="1" si="5"/>
        <v>1779.6193070164452</v>
      </c>
      <c r="DO17" s="34">
        <f t="shared" ca="1" si="5"/>
        <v>1850.8040792971033</v>
      </c>
      <c r="DP17" s="34">
        <f t="shared" ca="1" si="5"/>
        <v>1924.8362424689874</v>
      </c>
      <c r="DQ17" s="34">
        <f t="shared" ca="1" si="5"/>
        <v>2001.829692167747</v>
      </c>
      <c r="DR17" s="34">
        <f t="shared" ca="1" si="5"/>
        <v>2081.9028798544568</v>
      </c>
      <c r="DS17" s="34">
        <f t="shared" ca="1" si="5"/>
        <v>2165.1789950486354</v>
      </c>
      <c r="DT17" s="34">
        <f t="shared" ca="1" si="5"/>
        <v>2251.7861548505812</v>
      </c>
      <c r="DU17" s="34">
        <f t="shared" ca="1" si="5"/>
        <v>2341.8576010446045</v>
      </c>
      <c r="DV17" s="34">
        <f t="shared" ca="1" si="5"/>
        <v>2435.5319050863891</v>
      </c>
      <c r="DW17" s="34">
        <f t="shared" ca="1" si="5"/>
        <v>2532.9531812898449</v>
      </c>
      <c r="DX17" s="34">
        <f t="shared" ca="1" si="5"/>
        <v>2634.2713085414389</v>
      </c>
      <c r="DY17" s="34">
        <f t="shared" ca="1" si="5"/>
        <v>2739.6421608830969</v>
      </c>
      <c r="DZ17" s="34">
        <f t="shared" ca="1" si="5"/>
        <v>2849.227847318421</v>
      </c>
      <c r="EA17" s="34">
        <f t="shared" ca="1" si="5"/>
        <v>2963.1969612111584</v>
      </c>
      <c r="EB17" s="34">
        <f t="shared" ca="1" si="5"/>
        <v>3081.7248396596046</v>
      </c>
      <c r="EC17" s="34">
        <f t="shared" ca="1" si="5"/>
        <v>3204.9938332459883</v>
      </c>
      <c r="ED17" s="34">
        <f t="shared" ca="1" si="5"/>
        <v>3333.1935865758287</v>
      </c>
      <c r="EE17" s="34">
        <f t="shared" ca="1" si="5"/>
        <v>3466.5213300388618</v>
      </c>
      <c r="EF17" s="34">
        <f t="shared" ca="1" si="5"/>
        <v>3605.1821832404162</v>
      </c>
      <c r="EG17" s="34">
        <f t="shared" ref="EG17:GR17" ca="1" si="6">EG18*$E$17</f>
        <v>3749.3894705700336</v>
      </c>
      <c r="EH17" s="34">
        <f t="shared" ca="1" si="6"/>
        <v>3899.3650493928349</v>
      </c>
      <c r="EI17" s="34">
        <f t="shared" ca="1" si="6"/>
        <v>4055.3396513685484</v>
      </c>
      <c r="EJ17" s="34">
        <f t="shared" ca="1" si="6"/>
        <v>4217.5532374232907</v>
      </c>
      <c r="EK17" s="34">
        <f t="shared" ca="1" si="6"/>
        <v>4386.2553669202225</v>
      </c>
      <c r="EL17" s="34">
        <f t="shared" ca="1" si="6"/>
        <v>4561.7055815970325</v>
      </c>
      <c r="EM17" s="34">
        <f t="shared" ca="1" si="6"/>
        <v>4744.1738048609132</v>
      </c>
      <c r="EN17" s="34">
        <f t="shared" ca="1" si="6"/>
        <v>4933.9407570553494</v>
      </c>
      <c r="EO17" s="34">
        <f t="shared" ca="1" si="6"/>
        <v>5131.2983873375633</v>
      </c>
      <c r="EP17" s="34">
        <f t="shared" ca="1" si="6"/>
        <v>5336.5503228310663</v>
      </c>
      <c r="EQ17" s="34">
        <f t="shared" ca="1" si="6"/>
        <v>5550.012335744309</v>
      </c>
      <c r="ER17" s="34">
        <f t="shared" ca="1" si="6"/>
        <v>5772.012829174083</v>
      </c>
      <c r="ES17" s="34">
        <f t="shared" ca="1" si="6"/>
        <v>6002.8933423410463</v>
      </c>
      <c r="ET17" s="34">
        <f t="shared" ca="1" si="6"/>
        <v>6243.0090760346884</v>
      </c>
      <c r="EU17" s="34">
        <f t="shared" ca="1" si="6"/>
        <v>6492.7294390760771</v>
      </c>
      <c r="EV17" s="34">
        <f t="shared" ca="1" si="6"/>
        <v>6752.4386166391205</v>
      </c>
      <c r="EW17" s="34">
        <f t="shared" ca="1" si="6"/>
        <v>7022.5361613046862</v>
      </c>
      <c r="EX17" s="34">
        <f t="shared" ca="1" si="6"/>
        <v>7303.4376077568741</v>
      </c>
      <c r="EY17" s="34">
        <f t="shared" ca="1" si="6"/>
        <v>7595.5751120671493</v>
      </c>
      <c r="EZ17" s="34">
        <f t="shared" ca="1" si="6"/>
        <v>7899.3981165498344</v>
      </c>
      <c r="FA17" s="34">
        <f t="shared" ca="1" si="6"/>
        <v>8215.3740412118295</v>
      </c>
      <c r="FB17" s="34">
        <f t="shared" ca="1" si="6"/>
        <v>8543.9890028603022</v>
      </c>
      <c r="FC17" s="34">
        <f t="shared" ca="1" si="6"/>
        <v>8885.7485629747152</v>
      </c>
      <c r="FD17" s="34">
        <f t="shared" ca="1" si="6"/>
        <v>9241.1785054937045</v>
      </c>
      <c r="FE17" s="34">
        <f t="shared" ca="1" si="6"/>
        <v>9610.8256457134539</v>
      </c>
      <c r="FF17" s="34">
        <f t="shared" ca="1" si="6"/>
        <v>9995.2586715419911</v>
      </c>
      <c r="FG17" s="34">
        <f t="shared" ca="1" si="6"/>
        <v>10395.069018403674</v>
      </c>
      <c r="FH17" s="34">
        <f t="shared" ca="1" si="6"/>
        <v>10810.871779139821</v>
      </c>
      <c r="FI17" s="34">
        <f t="shared" ca="1" si="6"/>
        <v>11243.306650305414</v>
      </c>
      <c r="FJ17" s="34">
        <f t="shared" ca="1" si="6"/>
        <v>11693.038916317633</v>
      </c>
      <c r="FK17" s="34">
        <f t="shared" ca="1" si="6"/>
        <v>12160.760472970338</v>
      </c>
      <c r="FL17" s="34">
        <f t="shared" ca="1" si="6"/>
        <v>12647.190891889153</v>
      </c>
      <c r="FM17" s="34">
        <f t="shared" ca="1" si="6"/>
        <v>13153.078527564718</v>
      </c>
      <c r="FN17" s="34">
        <f t="shared" ca="1" si="6"/>
        <v>13679.201668667309</v>
      </c>
      <c r="FO17" s="34">
        <f t="shared" ca="1" si="6"/>
        <v>14226.369735414</v>
      </c>
      <c r="FP17" s="34">
        <f t="shared" ca="1" si="6"/>
        <v>14795.424524830561</v>
      </c>
      <c r="FQ17" s="34">
        <f t="shared" ca="1" si="6"/>
        <v>15387.241505823788</v>
      </c>
      <c r="FR17" s="34">
        <f t="shared" ca="1" si="6"/>
        <v>16002.731166056741</v>
      </c>
      <c r="FS17" s="34">
        <f t="shared" ca="1" si="6"/>
        <v>16642.84041269901</v>
      </c>
      <c r="FT17" s="34">
        <f t="shared" ca="1" si="6"/>
        <v>17308.554029206971</v>
      </c>
      <c r="FU17" s="34">
        <f t="shared" ca="1" si="6"/>
        <v>18000.896190375253</v>
      </c>
      <c r="FV17" s="34">
        <f t="shared" ca="1" si="6"/>
        <v>18720.932037990264</v>
      </c>
      <c r="FW17" s="34">
        <f t="shared" ca="1" si="6"/>
        <v>19469.769319509876</v>
      </c>
      <c r="FX17" s="34">
        <f t="shared" ca="1" si="6"/>
        <v>20248.56009229027</v>
      </c>
      <c r="FY17" s="34">
        <f t="shared" ca="1" si="6"/>
        <v>21058.50249598188</v>
      </c>
      <c r="FZ17" s="34">
        <f t="shared" ca="1" si="6"/>
        <v>21900.842595821156</v>
      </c>
      <c r="GA17" s="34">
        <f t="shared" ca="1" si="6"/>
        <v>22776.87629965401</v>
      </c>
      <c r="GB17" s="34">
        <f t="shared" ca="1" si="6"/>
        <v>23687.951351640168</v>
      </c>
      <c r="GC17" s="34">
        <f t="shared" ca="1" si="6"/>
        <v>24635.469405705779</v>
      </c>
      <c r="GD17" s="34">
        <f t="shared" ca="1" si="6"/>
        <v>25620.888181934006</v>
      </c>
      <c r="GE17" s="34">
        <f t="shared" ca="1" si="6"/>
        <v>26645.723709211368</v>
      </c>
      <c r="GF17" s="34">
        <f t="shared" ca="1" si="6"/>
        <v>27711.552657579825</v>
      </c>
      <c r="GG17" s="34">
        <f t="shared" ca="1" si="6"/>
        <v>28820.01476388302</v>
      </c>
      <c r="GH17" s="34">
        <f t="shared" ca="1" si="6"/>
        <v>29972.815354438346</v>
      </c>
      <c r="GI17" s="34">
        <f t="shared" ca="1" si="6"/>
        <v>31171.727968615884</v>
      </c>
      <c r="GJ17" s="34">
        <f t="shared" ca="1" si="6"/>
        <v>32418.597087360522</v>
      </c>
      <c r="GK17" s="34">
        <f t="shared" ca="1" si="6"/>
        <v>33715.340970854937</v>
      </c>
      <c r="GL17" s="34">
        <f t="shared" ca="1" si="6"/>
        <v>35063.954609689143</v>
      </c>
      <c r="GM17" s="34">
        <f t="shared" ca="1" si="6"/>
        <v>36466.512794076712</v>
      </c>
      <c r="GN17" s="34">
        <f t="shared" ca="1" si="6"/>
        <v>37925.173305839788</v>
      </c>
      <c r="GO17" s="34">
        <f t="shared" ca="1" si="6"/>
        <v>39442.180238073379</v>
      </c>
      <c r="GP17" s="34">
        <f t="shared" ca="1" si="6"/>
        <v>41019.867447596313</v>
      </c>
      <c r="GQ17" s="34">
        <f t="shared" ca="1" si="6"/>
        <v>42660.66214550018</v>
      </c>
      <c r="GR17" s="34">
        <f t="shared" ca="1" si="6"/>
        <v>44367.088631320185</v>
      </c>
      <c r="GS17" s="34">
        <f t="shared" ref="GS17:GY17" ca="1" si="7">GS18*$E$17</f>
        <v>46141.772176573002</v>
      </c>
      <c r="GT17" s="34">
        <f t="shared" ca="1" si="7"/>
        <v>47987.44306363591</v>
      </c>
      <c r="GU17" s="34">
        <f t="shared" ca="1" si="7"/>
        <v>49906.940786181345</v>
      </c>
      <c r="GV17" s="34">
        <f t="shared" ca="1" si="7"/>
        <v>51903.21841762861</v>
      </c>
      <c r="GW17" s="34">
        <f t="shared" ca="1" si="7"/>
        <v>53979.347154333751</v>
      </c>
      <c r="GX17" s="34">
        <f t="shared" ca="1" si="7"/>
        <v>56138.521040507097</v>
      </c>
      <c r="GY17" s="34">
        <f t="shared" ca="1" si="7"/>
        <v>58384.061882127389</v>
      </c>
    </row>
    <row r="18" spans="1:207">
      <c r="B18" s="18" t="s">
        <v>88</v>
      </c>
      <c r="E18" s="20">
        <f ca="1">E8</f>
        <v>0.11457493232899779</v>
      </c>
      <c r="H18" s="34">
        <f ca="1">H16*$E$18</f>
        <v>17.644539578665661</v>
      </c>
      <c r="I18" s="34">
        <f t="shared" ref="I18:BT18" ca="1" si="8">I16*$E$18</f>
        <v>18.350321161812285</v>
      </c>
      <c r="J18" s="34">
        <f t="shared" ca="1" si="8"/>
        <v>19.084334008284781</v>
      </c>
      <c r="K18" s="34">
        <f t="shared" ca="1" si="8"/>
        <v>19.847707368616174</v>
      </c>
      <c r="L18" s="34">
        <f t="shared" ca="1" si="8"/>
        <v>20.64161566336082</v>
      </c>
      <c r="M18" s="34">
        <f t="shared" ca="1" si="8"/>
        <v>21.467280289895257</v>
      </c>
      <c r="N18" s="34">
        <f t="shared" ca="1" si="8"/>
        <v>22.325971501491068</v>
      </c>
      <c r="O18" s="34">
        <f t="shared" ca="1" si="8"/>
        <v>23.219010361550712</v>
      </c>
      <c r="P18" s="34">
        <f t="shared" ca="1" si="8"/>
        <v>24.147770776012742</v>
      </c>
      <c r="Q18" s="34">
        <f t="shared" ca="1" si="8"/>
        <v>25.113681607053252</v>
      </c>
      <c r="R18" s="34">
        <f t="shared" ca="1" si="8"/>
        <v>26.118228871335386</v>
      </c>
      <c r="S18" s="34">
        <f t="shared" ca="1" si="8"/>
        <v>27.1629580261888</v>
      </c>
      <c r="T18" s="34">
        <f t="shared" ca="1" si="8"/>
        <v>28.24947634723636</v>
      </c>
      <c r="U18" s="34">
        <f t="shared" ca="1" si="8"/>
        <v>29.379455401125817</v>
      </c>
      <c r="V18" s="34">
        <f t="shared" ca="1" si="8"/>
        <v>30.55463361717085</v>
      </c>
      <c r="W18" s="34">
        <f t="shared" ca="1" si="8"/>
        <v>31.776818961857689</v>
      </c>
      <c r="X18" s="34">
        <f t="shared" ca="1" si="8"/>
        <v>33.047891720331997</v>
      </c>
      <c r="Y18" s="34">
        <f t="shared" ca="1" si="8"/>
        <v>34.369807389145272</v>
      </c>
      <c r="Z18" s="34">
        <f t="shared" ca="1" si="8"/>
        <v>35.744599684711091</v>
      </c>
      <c r="AA18" s="34">
        <f t="shared" ca="1" si="8"/>
        <v>37.174383672099538</v>
      </c>
      <c r="AB18" s="34">
        <f t="shared" ca="1" si="8"/>
        <v>38.661359018983518</v>
      </c>
      <c r="AC18" s="34">
        <f t="shared" ca="1" si="8"/>
        <v>40.207813379742859</v>
      </c>
      <c r="AD18" s="34">
        <f t="shared" ca="1" si="8"/>
        <v>41.816125914932577</v>
      </c>
      <c r="AE18" s="34">
        <f t="shared" ca="1" si="8"/>
        <v>43.488770951529879</v>
      </c>
      <c r="AF18" s="34">
        <f t="shared" ca="1" si="8"/>
        <v>45.228321789591078</v>
      </c>
      <c r="AG18" s="34">
        <f t="shared" ca="1" si="8"/>
        <v>47.037454661174728</v>
      </c>
      <c r="AH18" s="34">
        <f t="shared" ca="1" si="8"/>
        <v>48.918952847621725</v>
      </c>
      <c r="AI18" s="34">
        <f t="shared" ca="1" si="8"/>
        <v>50.8757109615266</v>
      </c>
      <c r="AJ18" s="34">
        <f t="shared" ca="1" si="8"/>
        <v>52.910739399987676</v>
      </c>
      <c r="AK18" s="34">
        <f t="shared" ca="1" si="8"/>
        <v>55.027168975987195</v>
      </c>
      <c r="AL18" s="34">
        <f t="shared" ca="1" si="8"/>
        <v>57.228255735026679</v>
      </c>
      <c r="AM18" s="34">
        <f t="shared" ca="1" si="8"/>
        <v>59.517385964427746</v>
      </c>
      <c r="AN18" s="34">
        <f t="shared" ca="1" si="8"/>
        <v>61.898081403004859</v>
      </c>
      <c r="AO18" s="34">
        <f t="shared" ca="1" si="8"/>
        <v>64.374004659125049</v>
      </c>
      <c r="AP18" s="34">
        <f t="shared" ca="1" si="8"/>
        <v>66.948964845490067</v>
      </c>
      <c r="AQ18" s="34">
        <f t="shared" ca="1" si="8"/>
        <v>69.626923439309664</v>
      </c>
      <c r="AR18" s="34">
        <f t="shared" ca="1" si="8"/>
        <v>72.412000376882077</v>
      </c>
      <c r="AS18" s="34">
        <f t="shared" ca="1" si="8"/>
        <v>75.30848039195736</v>
      </c>
      <c r="AT18" s="34">
        <f t="shared" ca="1" si="8"/>
        <v>78.320819607635656</v>
      </c>
      <c r="AU18" s="34">
        <f t="shared" ca="1" si="8"/>
        <v>81.453652391941091</v>
      </c>
      <c r="AV18" s="34">
        <f t="shared" ca="1" si="8"/>
        <v>84.711798487618736</v>
      </c>
      <c r="AW18" s="34">
        <f t="shared" ca="1" si="8"/>
        <v>88.10027042712349</v>
      </c>
      <c r="AX18" s="34">
        <f t="shared" ca="1" si="8"/>
        <v>91.624281244208433</v>
      </c>
      <c r="AY18" s="34">
        <f t="shared" ca="1" si="8"/>
        <v>95.289252493976775</v>
      </c>
      <c r="AZ18" s="34">
        <f t="shared" ca="1" si="8"/>
        <v>99.100822593735856</v>
      </c>
      <c r="BA18" s="34">
        <f t="shared" ca="1" si="8"/>
        <v>103.0648554974853</v>
      </c>
      <c r="BB18" s="34">
        <f t="shared" ca="1" si="8"/>
        <v>107.18744971738472</v>
      </c>
      <c r="BC18" s="34">
        <f t="shared" ca="1" si="8"/>
        <v>111.47494770608012</v>
      </c>
      <c r="BD18" s="34">
        <f t="shared" ca="1" si="8"/>
        <v>115.93394561432332</v>
      </c>
      <c r="BE18" s="34">
        <f t="shared" ca="1" si="8"/>
        <v>120.57130343889624</v>
      </c>
      <c r="BF18" s="34">
        <f t="shared" ca="1" si="8"/>
        <v>125.39415557645212</v>
      </c>
      <c r="BG18" s="34">
        <f t="shared" ca="1" si="8"/>
        <v>130.40992179951022</v>
      </c>
      <c r="BH18" s="34">
        <f t="shared" ca="1" si="8"/>
        <v>135.62631867149065</v>
      </c>
      <c r="BI18" s="34">
        <f t="shared" ca="1" si="8"/>
        <v>141.05137141835027</v>
      </c>
      <c r="BJ18" s="34">
        <f t="shared" ca="1" si="8"/>
        <v>146.69342627508428</v>
      </c>
      <c r="BK18" s="34">
        <f t="shared" ca="1" si="8"/>
        <v>152.56116332608767</v>
      </c>
      <c r="BL18" s="34">
        <f t="shared" ca="1" si="8"/>
        <v>158.66360985913121</v>
      </c>
      <c r="BM18" s="34">
        <f t="shared" ca="1" si="8"/>
        <v>165.01015425349647</v>
      </c>
      <c r="BN18" s="34">
        <f t="shared" ca="1" si="8"/>
        <v>171.61056042363634</v>
      </c>
      <c r="BO18" s="34">
        <f t="shared" ca="1" si="8"/>
        <v>178.47498284058179</v>
      </c>
      <c r="BP18" s="34">
        <f t="shared" ca="1" si="8"/>
        <v>185.61398215420508</v>
      </c>
      <c r="BQ18" s="34">
        <f t="shared" ca="1" si="8"/>
        <v>193.03854144037328</v>
      </c>
      <c r="BR18" s="34">
        <f t="shared" ca="1" si="8"/>
        <v>200.76008309798823</v>
      </c>
      <c r="BS18" s="34">
        <f t="shared" ca="1" si="8"/>
        <v>208.79048642190776</v>
      </c>
      <c r="BT18" s="34">
        <f t="shared" ca="1" si="8"/>
        <v>217.14210587878409</v>
      </c>
      <c r="BU18" s="34">
        <f t="shared" ref="BU18:EF18" ca="1" si="9">BU16*$E$18</f>
        <v>225.82779011393544</v>
      </c>
      <c r="BV18" s="34">
        <f t="shared" ca="1" si="9"/>
        <v>234.8609017184929</v>
      </c>
      <c r="BW18" s="34">
        <f t="shared" ca="1" si="9"/>
        <v>244.25533778723261</v>
      </c>
      <c r="BX18" s="34">
        <f t="shared" ca="1" si="9"/>
        <v>254.02555129872195</v>
      </c>
      <c r="BY18" s="34">
        <f t="shared" ca="1" si="9"/>
        <v>264.18657335067087</v>
      </c>
      <c r="BZ18" s="34">
        <f t="shared" ca="1" si="9"/>
        <v>274.75403628469769</v>
      </c>
      <c r="CA18" s="34">
        <f t="shared" ca="1" si="9"/>
        <v>285.74419773608565</v>
      </c>
      <c r="CB18" s="34">
        <f t="shared" ca="1" si="9"/>
        <v>297.17396564552911</v>
      </c>
      <c r="CC18" s="34">
        <f t="shared" ca="1" si="9"/>
        <v>309.06092427135025</v>
      </c>
      <c r="CD18" s="34">
        <f t="shared" ca="1" si="9"/>
        <v>321.42336124220424</v>
      </c>
      <c r="CE18" s="34">
        <f t="shared" ca="1" si="9"/>
        <v>334.28029569189249</v>
      </c>
      <c r="CF18" s="34">
        <f t="shared" ca="1" si="9"/>
        <v>347.65150751956816</v>
      </c>
      <c r="CG18" s="34">
        <f t="shared" ca="1" si="9"/>
        <v>361.55756782035087</v>
      </c>
      <c r="CH18" s="34">
        <f t="shared" ca="1" si="9"/>
        <v>376.01987053316492</v>
      </c>
      <c r="CI18" s="34">
        <f t="shared" ca="1" si="9"/>
        <v>391.06066535449156</v>
      </c>
      <c r="CJ18" s="34">
        <f t="shared" ca="1" si="9"/>
        <v>406.70309196867123</v>
      </c>
      <c r="CK18" s="34">
        <f t="shared" ca="1" si="9"/>
        <v>422.97121564741815</v>
      </c>
      <c r="CL18" s="34">
        <f t="shared" ca="1" si="9"/>
        <v>439.89006427331486</v>
      </c>
      <c r="CM18" s="34">
        <f t="shared" ca="1" si="9"/>
        <v>457.48566684424748</v>
      </c>
      <c r="CN18" s="34">
        <f t="shared" ca="1" si="9"/>
        <v>475.78509351801745</v>
      </c>
      <c r="CO18" s="34">
        <f t="shared" ca="1" si="9"/>
        <v>494.81649725873814</v>
      </c>
      <c r="CP18" s="34">
        <f t="shared" ca="1" si="9"/>
        <v>514.60915714908765</v>
      </c>
      <c r="CQ18" s="34">
        <f t="shared" ca="1" si="9"/>
        <v>535.19352343505113</v>
      </c>
      <c r="CR18" s="34">
        <f t="shared" ca="1" si="9"/>
        <v>556.60126437245322</v>
      </c>
      <c r="CS18" s="34">
        <f t="shared" ca="1" si="9"/>
        <v>578.86531494735141</v>
      </c>
      <c r="CT18" s="34">
        <f t="shared" ca="1" si="9"/>
        <v>602.01992754524554</v>
      </c>
      <c r="CU18" s="34">
        <f t="shared" ca="1" si="9"/>
        <v>626.10072464705547</v>
      </c>
      <c r="CV18" s="34">
        <f t="shared" ca="1" si="9"/>
        <v>651.14475363293775</v>
      </c>
      <c r="CW18" s="34">
        <f t="shared" ca="1" si="9"/>
        <v>677.19054377825535</v>
      </c>
      <c r="CX18" s="34">
        <f t="shared" ca="1" si="9"/>
        <v>704.27816552938566</v>
      </c>
      <c r="CY18" s="34">
        <f t="shared" ca="1" si="9"/>
        <v>732.44929215056106</v>
      </c>
      <c r="CZ18" s="34">
        <f t="shared" ca="1" si="9"/>
        <v>761.74726383658367</v>
      </c>
      <c r="DA18" s="34">
        <f t="shared" ca="1" si="9"/>
        <v>792.21715439004709</v>
      </c>
      <c r="DB18" s="34">
        <f t="shared" ca="1" si="9"/>
        <v>823.90584056564899</v>
      </c>
      <c r="DC18" s="34">
        <f t="shared" ca="1" si="9"/>
        <v>856.86207418827496</v>
      </c>
      <c r="DD18" s="34">
        <f t="shared" ca="1" si="9"/>
        <v>891.13655715580603</v>
      </c>
      <c r="DE18" s="34">
        <f t="shared" ca="1" si="9"/>
        <v>926.78201944203829</v>
      </c>
      <c r="DF18" s="34">
        <f t="shared" ca="1" si="9"/>
        <v>963.85330021972004</v>
      </c>
      <c r="DG18" s="34">
        <f t="shared" ca="1" si="9"/>
        <v>1002.4074322285088</v>
      </c>
      <c r="DH18" s="34">
        <f t="shared" ca="1" si="9"/>
        <v>1042.5037295176494</v>
      </c>
      <c r="DI18" s="34">
        <f t="shared" ca="1" si="9"/>
        <v>1084.2038786983553</v>
      </c>
      <c r="DJ18" s="34">
        <f t="shared" ca="1" si="9"/>
        <v>1127.5720338462895</v>
      </c>
      <c r="DK18" s="34">
        <f t="shared" ca="1" si="9"/>
        <v>1172.6749152001414</v>
      </c>
      <c r="DL18" s="34">
        <f t="shared" ca="1" si="9"/>
        <v>1219.581911808147</v>
      </c>
      <c r="DM18" s="34">
        <f t="shared" ca="1" si="9"/>
        <v>1268.3651882804729</v>
      </c>
      <c r="DN18" s="34">
        <f t="shared" ca="1" si="9"/>
        <v>1319.0997958116918</v>
      </c>
      <c r="DO18" s="34">
        <f t="shared" ca="1" si="9"/>
        <v>1371.8637876441596</v>
      </c>
      <c r="DP18" s="34">
        <f t="shared" ca="1" si="9"/>
        <v>1426.7383391499261</v>
      </c>
      <c r="DQ18" s="34">
        <f t="shared" ca="1" si="9"/>
        <v>1483.8078727159232</v>
      </c>
      <c r="DR18" s="34">
        <f t="shared" ca="1" si="9"/>
        <v>1543.1601876245602</v>
      </c>
      <c r="DS18" s="34">
        <f t="shared" ca="1" si="9"/>
        <v>1604.8865951295427</v>
      </c>
      <c r="DT18" s="34">
        <f t="shared" ca="1" si="9"/>
        <v>1669.0820589347245</v>
      </c>
      <c r="DU18" s="34">
        <f t="shared" ca="1" si="9"/>
        <v>1735.8453412921137</v>
      </c>
      <c r="DV18" s="34">
        <f t="shared" ca="1" si="9"/>
        <v>1805.2791549437984</v>
      </c>
      <c r="DW18" s="34">
        <f t="shared" ca="1" si="9"/>
        <v>1877.4903211415506</v>
      </c>
      <c r="DX18" s="34">
        <f t="shared" ca="1" si="9"/>
        <v>1952.5899339872128</v>
      </c>
      <c r="DY18" s="34">
        <f t="shared" ca="1" si="9"/>
        <v>2030.6935313467018</v>
      </c>
      <c r="DZ18" s="34">
        <f t="shared" ca="1" si="9"/>
        <v>2111.9212726005699</v>
      </c>
      <c r="EA18" s="34">
        <f t="shared" ca="1" si="9"/>
        <v>2196.3981235045931</v>
      </c>
      <c r="EB18" s="34">
        <f t="shared" ca="1" si="9"/>
        <v>2284.2540484447768</v>
      </c>
      <c r="EC18" s="34">
        <f t="shared" ca="1" si="9"/>
        <v>2375.6242103825675</v>
      </c>
      <c r="ED18" s="34">
        <f t="shared" ca="1" si="9"/>
        <v>2470.6491787978707</v>
      </c>
      <c r="EE18" s="34">
        <f t="shared" ca="1" si="9"/>
        <v>2569.4751459497857</v>
      </c>
      <c r="EF18" s="34">
        <f t="shared" ca="1" si="9"/>
        <v>2672.2541517877771</v>
      </c>
      <c r="EG18" s="34">
        <f t="shared" ref="EG18:GR18" ca="1" si="10">EG16*$E$18</f>
        <v>2779.1443178592885</v>
      </c>
      <c r="EH18" s="34">
        <f t="shared" ca="1" si="10"/>
        <v>2890.3100905736601</v>
      </c>
      <c r="EI18" s="34">
        <f t="shared" ca="1" si="10"/>
        <v>3005.9224941966067</v>
      </c>
      <c r="EJ18" s="34">
        <f t="shared" ca="1" si="10"/>
        <v>3126.1593939644713</v>
      </c>
      <c r="EK18" s="34">
        <f t="shared" ca="1" si="10"/>
        <v>3251.2057697230503</v>
      </c>
      <c r="EL18" s="34">
        <f t="shared" ca="1" si="10"/>
        <v>3381.2540005119727</v>
      </c>
      <c r="EM18" s="34">
        <f t="shared" ca="1" si="10"/>
        <v>3516.5041605324514</v>
      </c>
      <c r="EN18" s="34">
        <f t="shared" ca="1" si="10"/>
        <v>3657.1643269537494</v>
      </c>
      <c r="EO18" s="34">
        <f t="shared" ca="1" si="10"/>
        <v>3803.4509000318994</v>
      </c>
      <c r="EP18" s="34">
        <f t="shared" ca="1" si="10"/>
        <v>3955.5889360331757</v>
      </c>
      <c r="EQ18" s="34">
        <f t="shared" ca="1" si="10"/>
        <v>4113.8124934745028</v>
      </c>
      <c r="ER18" s="34">
        <f t="shared" ca="1" si="10"/>
        <v>4278.364993213484</v>
      </c>
      <c r="ES18" s="34">
        <f t="shared" ca="1" si="10"/>
        <v>4449.4995929420229</v>
      </c>
      <c r="ET18" s="34">
        <f t="shared" ca="1" si="10"/>
        <v>4627.4795766597044</v>
      </c>
      <c r="EU18" s="34">
        <f t="shared" ca="1" si="10"/>
        <v>4812.5787597260933</v>
      </c>
      <c r="EV18" s="34">
        <f t="shared" ca="1" si="10"/>
        <v>5005.0819101151374</v>
      </c>
      <c r="EW18" s="34">
        <f t="shared" ca="1" si="10"/>
        <v>5205.2851865197435</v>
      </c>
      <c r="EX18" s="34">
        <f t="shared" ca="1" si="10"/>
        <v>5413.4965939805334</v>
      </c>
      <c r="EY18" s="34">
        <f t="shared" ca="1" si="10"/>
        <v>5630.036457739755</v>
      </c>
      <c r="EZ18" s="34">
        <f t="shared" ca="1" si="10"/>
        <v>5855.2379160493447</v>
      </c>
      <c r="FA18" s="34">
        <f t="shared" ca="1" si="10"/>
        <v>6089.4474326913196</v>
      </c>
      <c r="FB18" s="34">
        <f t="shared" ca="1" si="10"/>
        <v>6333.0253299989727</v>
      </c>
      <c r="FC18" s="34">
        <f t="shared" ca="1" si="10"/>
        <v>6586.3463431989321</v>
      </c>
      <c r="FD18" s="34">
        <f t="shared" ca="1" si="10"/>
        <v>6849.8001969268898</v>
      </c>
      <c r="FE18" s="34">
        <f t="shared" ca="1" si="10"/>
        <v>7123.7922048039654</v>
      </c>
      <c r="FF18" s="34">
        <f t="shared" ca="1" si="10"/>
        <v>7408.7438929961245</v>
      </c>
      <c r="FG18" s="34">
        <f t="shared" ca="1" si="10"/>
        <v>7705.0936487159706</v>
      </c>
      <c r="FH18" s="34">
        <f t="shared" ca="1" si="10"/>
        <v>8013.2973946646098</v>
      </c>
      <c r="FI18" s="34">
        <f t="shared" ca="1" si="10"/>
        <v>8333.8292904511945</v>
      </c>
      <c r="FJ18" s="34">
        <f t="shared" ca="1" si="10"/>
        <v>8667.1824620692441</v>
      </c>
      <c r="FK18" s="34">
        <f t="shared" ca="1" si="10"/>
        <v>9013.8697605520138</v>
      </c>
      <c r="FL18" s="34">
        <f t="shared" ca="1" si="10"/>
        <v>9374.4245509740958</v>
      </c>
      <c r="FM18" s="34">
        <f t="shared" ca="1" si="10"/>
        <v>9749.4015330130587</v>
      </c>
      <c r="FN18" s="34">
        <f t="shared" ca="1" si="10"/>
        <v>10139.377594333582</v>
      </c>
      <c r="FO18" s="34">
        <f t="shared" ca="1" si="10"/>
        <v>10544.952698106925</v>
      </c>
      <c r="FP18" s="34">
        <f t="shared" ca="1" si="10"/>
        <v>10966.750806031203</v>
      </c>
      <c r="FQ18" s="34">
        <f t="shared" ca="1" si="10"/>
        <v>11405.420838272454</v>
      </c>
      <c r="FR18" s="34">
        <f t="shared" ca="1" si="10"/>
        <v>11861.637671803353</v>
      </c>
      <c r="FS18" s="34">
        <f t="shared" ca="1" si="10"/>
        <v>12336.103178675487</v>
      </c>
      <c r="FT18" s="34">
        <f t="shared" ca="1" si="10"/>
        <v>12829.547305822507</v>
      </c>
      <c r="FU18" s="34">
        <f t="shared" ca="1" si="10"/>
        <v>13342.729198055409</v>
      </c>
      <c r="FV18" s="34">
        <f t="shared" ca="1" si="10"/>
        <v>13876.438365977625</v>
      </c>
      <c r="FW18" s="34">
        <f t="shared" ca="1" si="10"/>
        <v>14431.495900616732</v>
      </c>
      <c r="FX18" s="34">
        <f t="shared" ca="1" si="10"/>
        <v>15008.7557366414</v>
      </c>
      <c r="FY18" s="34">
        <f t="shared" ca="1" si="10"/>
        <v>15609.105966107056</v>
      </c>
      <c r="FZ18" s="34">
        <f t="shared" ca="1" si="10"/>
        <v>16233.47020475134</v>
      </c>
      <c r="GA18" s="34">
        <f t="shared" ca="1" si="10"/>
        <v>16882.809012941398</v>
      </c>
      <c r="GB18" s="34">
        <f t="shared" ca="1" si="10"/>
        <v>17558.121373459053</v>
      </c>
      <c r="GC18" s="34">
        <f t="shared" ca="1" si="10"/>
        <v>18260.446228397417</v>
      </c>
      <c r="GD18" s="34">
        <f t="shared" ca="1" si="10"/>
        <v>18990.864077533312</v>
      </c>
      <c r="GE18" s="34">
        <f t="shared" ca="1" si="10"/>
        <v>19750.498640634647</v>
      </c>
      <c r="GF18" s="34">
        <f t="shared" ca="1" si="10"/>
        <v>20540.518586260034</v>
      </c>
      <c r="GG18" s="34">
        <f t="shared" ca="1" si="10"/>
        <v>21362.139329710437</v>
      </c>
      <c r="GH18" s="34">
        <f t="shared" ca="1" si="10"/>
        <v>22216.624902898857</v>
      </c>
      <c r="GI18" s="34">
        <f t="shared" ca="1" si="10"/>
        <v>23105.289899014813</v>
      </c>
      <c r="GJ18" s="34">
        <f t="shared" ca="1" si="10"/>
        <v>24029.501494975408</v>
      </c>
      <c r="GK18" s="34">
        <f t="shared" ca="1" si="10"/>
        <v>24990.681554774423</v>
      </c>
      <c r="GL18" s="34">
        <f t="shared" ca="1" si="10"/>
        <v>25990.308816965404</v>
      </c>
      <c r="GM18" s="34">
        <f t="shared" ca="1" si="10"/>
        <v>27029.921169644022</v>
      </c>
      <c r="GN18" s="34">
        <f t="shared" ca="1" si="10"/>
        <v>28111.118016429788</v>
      </c>
      <c r="GO18" s="34">
        <f t="shared" ca="1" si="10"/>
        <v>29235.562737086981</v>
      </c>
      <c r="GP18" s="34">
        <f t="shared" ca="1" si="10"/>
        <v>30404.985246570461</v>
      </c>
      <c r="GQ18" s="34">
        <f t="shared" ca="1" si="10"/>
        <v>31621.184656433288</v>
      </c>
      <c r="GR18" s="34">
        <f t="shared" ca="1" si="10"/>
        <v>32886.032042690618</v>
      </c>
      <c r="GS18" s="34">
        <f t="shared" ref="GS18:GY18" ca="1" si="11">GS16*$E$18</f>
        <v>34201.473324398248</v>
      </c>
      <c r="GT18" s="34">
        <f t="shared" ca="1" si="11"/>
        <v>35569.532257374172</v>
      </c>
      <c r="GU18" s="34">
        <f t="shared" ca="1" si="11"/>
        <v>36992.313547669139</v>
      </c>
      <c r="GV18" s="34">
        <f t="shared" ca="1" si="11"/>
        <v>38472.006089575909</v>
      </c>
      <c r="GW18" s="34">
        <f t="shared" ca="1" si="11"/>
        <v>40010.886333158945</v>
      </c>
      <c r="GX18" s="34">
        <f t="shared" ca="1" si="11"/>
        <v>41611.3217864853</v>
      </c>
      <c r="GY18" s="34">
        <f t="shared" ca="1" si="11"/>
        <v>43275.774657944719</v>
      </c>
    </row>
    <row r="19" spans="1:207" ht="15" thickBot="1">
      <c r="B19" s="35" t="s">
        <v>54</v>
      </c>
      <c r="C19" s="35"/>
      <c r="D19" s="35"/>
      <c r="E19" s="35"/>
      <c r="F19" s="35"/>
      <c r="G19" s="36">
        <f>G21-G20</f>
        <v>154</v>
      </c>
      <c r="H19" s="36">
        <f ca="1">H16+H17-H18</f>
        <v>160.16</v>
      </c>
      <c r="I19" s="36">
        <f t="shared" ref="I19:BT19" ca="1" si="12">I16+I17-I18</f>
        <v>166.56640000000002</v>
      </c>
      <c r="J19" s="36">
        <f t="shared" ca="1" si="12"/>
        <v>173.22905600000004</v>
      </c>
      <c r="K19" s="36">
        <f t="shared" ca="1" si="12"/>
        <v>180.15821824000005</v>
      </c>
      <c r="L19" s="36">
        <f t="shared" ca="1" si="12"/>
        <v>187.36454696960007</v>
      </c>
      <c r="M19" s="36">
        <f t="shared" ca="1" si="12"/>
        <v>194.85912884838407</v>
      </c>
      <c r="N19" s="36">
        <f t="shared" ca="1" si="12"/>
        <v>202.65349400231946</v>
      </c>
      <c r="O19" s="36">
        <f t="shared" ca="1" si="12"/>
        <v>210.75963376241225</v>
      </c>
      <c r="P19" s="36">
        <f t="shared" ca="1" si="12"/>
        <v>219.19001911290874</v>
      </c>
      <c r="Q19" s="36">
        <f t="shared" ca="1" si="12"/>
        <v>227.95761987742512</v>
      </c>
      <c r="R19" s="36">
        <f t="shared" ca="1" si="12"/>
        <v>237.07592467252212</v>
      </c>
      <c r="S19" s="36">
        <f t="shared" ca="1" si="12"/>
        <v>246.55896165942306</v>
      </c>
      <c r="T19" s="36">
        <f t="shared" ca="1" si="12"/>
        <v>256.42132012580004</v>
      </c>
      <c r="U19" s="36">
        <f t="shared" ca="1" si="12"/>
        <v>266.67817293083203</v>
      </c>
      <c r="V19" s="36">
        <f t="shared" ca="1" si="12"/>
        <v>277.34529984806534</v>
      </c>
      <c r="W19" s="36">
        <f t="shared" ca="1" si="12"/>
        <v>288.43911184198794</v>
      </c>
      <c r="X19" s="36">
        <f t="shared" ca="1" si="12"/>
        <v>299.97667631566748</v>
      </c>
      <c r="Y19" s="36">
        <f t="shared" ca="1" si="12"/>
        <v>311.97574336829422</v>
      </c>
      <c r="Z19" s="36">
        <f t="shared" ca="1" si="12"/>
        <v>324.45477310302601</v>
      </c>
      <c r="AA19" s="36">
        <f t="shared" ca="1" si="12"/>
        <v>337.43296402714702</v>
      </c>
      <c r="AB19" s="36">
        <f t="shared" ca="1" si="12"/>
        <v>350.9302825882329</v>
      </c>
      <c r="AC19" s="36">
        <f t="shared" ca="1" si="12"/>
        <v>364.96749389176227</v>
      </c>
      <c r="AD19" s="36">
        <f t="shared" ca="1" si="12"/>
        <v>379.56619364743278</v>
      </c>
      <c r="AE19" s="36">
        <f t="shared" ca="1" si="12"/>
        <v>394.74884139333011</v>
      </c>
      <c r="AF19" s="36">
        <f t="shared" ca="1" si="12"/>
        <v>410.53879504906337</v>
      </c>
      <c r="AG19" s="36">
        <f t="shared" ca="1" si="12"/>
        <v>426.96034685102597</v>
      </c>
      <c r="AH19" s="36">
        <f t="shared" ca="1" si="12"/>
        <v>444.03876072506705</v>
      </c>
      <c r="AI19" s="36">
        <f t="shared" ca="1" si="12"/>
        <v>461.80031115406985</v>
      </c>
      <c r="AJ19" s="36">
        <f t="shared" ca="1" si="12"/>
        <v>480.27232360023271</v>
      </c>
      <c r="AK19" s="36">
        <f t="shared" ca="1" si="12"/>
        <v>499.483216544242</v>
      </c>
      <c r="AL19" s="36">
        <f t="shared" ca="1" si="12"/>
        <v>519.46254520601167</v>
      </c>
      <c r="AM19" s="36">
        <f t="shared" ca="1" si="12"/>
        <v>540.24104701425222</v>
      </c>
      <c r="AN19" s="36">
        <f t="shared" ca="1" si="12"/>
        <v>561.85068889482227</v>
      </c>
      <c r="AO19" s="36">
        <f t="shared" ca="1" si="12"/>
        <v>584.32471645061526</v>
      </c>
      <c r="AP19" s="36">
        <f t="shared" ca="1" si="12"/>
        <v>607.69770510863987</v>
      </c>
      <c r="AQ19" s="36">
        <f t="shared" ca="1" si="12"/>
        <v>632.00561331298559</v>
      </c>
      <c r="AR19" s="36">
        <f t="shared" ca="1" si="12"/>
        <v>657.28583784550506</v>
      </c>
      <c r="AS19" s="36">
        <f t="shared" ca="1" si="12"/>
        <v>683.57727135932532</v>
      </c>
      <c r="AT19" s="36">
        <f t="shared" ca="1" si="12"/>
        <v>710.92036221369835</v>
      </c>
      <c r="AU19" s="36">
        <f t="shared" ca="1" si="12"/>
        <v>739.35717670224631</v>
      </c>
      <c r="AV19" s="36">
        <f t="shared" ca="1" si="12"/>
        <v>768.93146377033622</v>
      </c>
      <c r="AW19" s="36">
        <f t="shared" ca="1" si="12"/>
        <v>799.68872232114973</v>
      </c>
      <c r="AX19" s="36">
        <f t="shared" ca="1" si="12"/>
        <v>831.67627121399573</v>
      </c>
      <c r="AY19" s="36">
        <f t="shared" ca="1" si="12"/>
        <v>864.94332206255569</v>
      </c>
      <c r="AZ19" s="36">
        <f t="shared" ca="1" si="12"/>
        <v>899.54105494505791</v>
      </c>
      <c r="BA19" s="36">
        <f t="shared" ca="1" si="12"/>
        <v>935.52269714286035</v>
      </c>
      <c r="BB19" s="36">
        <f t="shared" ca="1" si="12"/>
        <v>972.94360502857478</v>
      </c>
      <c r="BC19" s="36">
        <f t="shared" ca="1" si="12"/>
        <v>1011.8613492297178</v>
      </c>
      <c r="BD19" s="36">
        <f t="shared" ca="1" si="12"/>
        <v>1052.3358031989064</v>
      </c>
      <c r="BE19" s="36">
        <f t="shared" ca="1" si="12"/>
        <v>1094.4292353268629</v>
      </c>
      <c r="BF19" s="36">
        <f t="shared" ca="1" si="12"/>
        <v>1138.2064047399376</v>
      </c>
      <c r="BG19" s="36">
        <f t="shared" ca="1" si="12"/>
        <v>1183.7346609295353</v>
      </c>
      <c r="BH19" s="36">
        <f t="shared" ca="1" si="12"/>
        <v>1231.0840473667167</v>
      </c>
      <c r="BI19" s="36">
        <f t="shared" ca="1" si="12"/>
        <v>1280.3274092613854</v>
      </c>
      <c r="BJ19" s="36">
        <f t="shared" ca="1" si="12"/>
        <v>1331.5405056318409</v>
      </c>
      <c r="BK19" s="36">
        <f t="shared" ca="1" si="12"/>
        <v>1384.8021258571148</v>
      </c>
      <c r="BL19" s="36">
        <f t="shared" ca="1" si="12"/>
        <v>1440.1942108913995</v>
      </c>
      <c r="BM19" s="36">
        <f t="shared" ca="1" si="12"/>
        <v>1497.8019793270555</v>
      </c>
      <c r="BN19" s="36">
        <f t="shared" ca="1" si="12"/>
        <v>1557.7140585001378</v>
      </c>
      <c r="BO19" s="36">
        <f t="shared" ca="1" si="12"/>
        <v>1620.0226208401434</v>
      </c>
      <c r="BP19" s="36">
        <f t="shared" ca="1" si="12"/>
        <v>1684.8235256737491</v>
      </c>
      <c r="BQ19" s="36">
        <f t="shared" ca="1" si="12"/>
        <v>1752.2164667006991</v>
      </c>
      <c r="BR19" s="36">
        <f t="shared" ca="1" si="12"/>
        <v>1822.3051253687272</v>
      </c>
      <c r="BS19" s="36">
        <f t="shared" ca="1" si="12"/>
        <v>1895.1973303834766</v>
      </c>
      <c r="BT19" s="36">
        <f t="shared" ca="1" si="12"/>
        <v>1971.0052235988155</v>
      </c>
      <c r="BU19" s="36">
        <f t="shared" ref="BU19:EF19" ca="1" si="13">BU16+BU17-BU18</f>
        <v>2049.8454325427683</v>
      </c>
      <c r="BV19" s="36">
        <f t="shared" ca="1" si="13"/>
        <v>2131.8392498444791</v>
      </c>
      <c r="BW19" s="36">
        <f t="shared" ca="1" si="13"/>
        <v>2217.1128198382585</v>
      </c>
      <c r="BX19" s="36">
        <f t="shared" ca="1" si="13"/>
        <v>2305.7973326317892</v>
      </c>
      <c r="BY19" s="36">
        <f t="shared" ca="1" si="13"/>
        <v>2398.0292259370608</v>
      </c>
      <c r="BZ19" s="36">
        <f t="shared" ca="1" si="13"/>
        <v>2493.9503949745435</v>
      </c>
      <c r="CA19" s="36">
        <f t="shared" ca="1" si="13"/>
        <v>2593.7084107735254</v>
      </c>
      <c r="CB19" s="36">
        <f t="shared" ca="1" si="13"/>
        <v>2697.4567472044664</v>
      </c>
      <c r="CC19" s="36">
        <f t="shared" ca="1" si="13"/>
        <v>2805.3550170926451</v>
      </c>
      <c r="CD19" s="36">
        <f t="shared" ca="1" si="13"/>
        <v>2917.5692177763513</v>
      </c>
      <c r="CE19" s="36">
        <f t="shared" ca="1" si="13"/>
        <v>3034.2719864874052</v>
      </c>
      <c r="CF19" s="36">
        <f t="shared" ca="1" si="13"/>
        <v>3155.6428659469016</v>
      </c>
      <c r="CG19" s="36">
        <f t="shared" ca="1" si="13"/>
        <v>3281.8685805847776</v>
      </c>
      <c r="CH19" s="36">
        <f t="shared" ca="1" si="13"/>
        <v>3413.143323808169</v>
      </c>
      <c r="CI19" s="36">
        <f t="shared" ca="1" si="13"/>
        <v>3549.669056760496</v>
      </c>
      <c r="CJ19" s="36">
        <f t="shared" ca="1" si="13"/>
        <v>3691.6558190309161</v>
      </c>
      <c r="CK19" s="36">
        <f t="shared" ca="1" si="13"/>
        <v>3839.3220517921527</v>
      </c>
      <c r="CL19" s="36">
        <f t="shared" ca="1" si="13"/>
        <v>3992.894933863839</v>
      </c>
      <c r="CM19" s="36">
        <f t="shared" ca="1" si="13"/>
        <v>4152.6107312183931</v>
      </c>
      <c r="CN19" s="36">
        <f t="shared" ca="1" si="13"/>
        <v>4318.715160467129</v>
      </c>
      <c r="CO19" s="36">
        <f t="shared" ca="1" si="13"/>
        <v>4491.463766885814</v>
      </c>
      <c r="CP19" s="36">
        <f t="shared" ca="1" si="13"/>
        <v>4671.1223175612467</v>
      </c>
      <c r="CQ19" s="36">
        <f t="shared" ca="1" si="13"/>
        <v>4857.9672102636969</v>
      </c>
      <c r="CR19" s="36">
        <f t="shared" ca="1" si="13"/>
        <v>5052.2858986742449</v>
      </c>
      <c r="CS19" s="36">
        <f t="shared" ca="1" si="13"/>
        <v>5254.3773346212156</v>
      </c>
      <c r="CT19" s="36">
        <f t="shared" ca="1" si="13"/>
        <v>5464.5524280060654</v>
      </c>
      <c r="CU19" s="36">
        <f t="shared" ca="1" si="13"/>
        <v>5683.1345251263083</v>
      </c>
      <c r="CV19" s="36">
        <f t="shared" ca="1" si="13"/>
        <v>5910.4599061313611</v>
      </c>
      <c r="CW19" s="36">
        <f t="shared" ca="1" si="13"/>
        <v>6146.8783023766164</v>
      </c>
      <c r="CX19" s="36">
        <f t="shared" ca="1" si="13"/>
        <v>6392.7534344716814</v>
      </c>
      <c r="CY19" s="36">
        <f t="shared" ca="1" si="13"/>
        <v>6648.4635718505497</v>
      </c>
      <c r="CZ19" s="36">
        <f t="shared" ca="1" si="13"/>
        <v>6914.4021147245721</v>
      </c>
      <c r="DA19" s="36">
        <f t="shared" ca="1" si="13"/>
        <v>7190.9781993135557</v>
      </c>
      <c r="DB19" s="36">
        <f t="shared" ca="1" si="13"/>
        <v>7478.6173272860979</v>
      </c>
      <c r="DC19" s="36">
        <f t="shared" ca="1" si="13"/>
        <v>7777.7620203775423</v>
      </c>
      <c r="DD19" s="36">
        <f t="shared" ca="1" si="13"/>
        <v>8088.8725011926444</v>
      </c>
      <c r="DE19" s="36">
        <f t="shared" ca="1" si="13"/>
        <v>8412.4274012403512</v>
      </c>
      <c r="DF19" s="36">
        <f t="shared" ca="1" si="13"/>
        <v>8748.9244972899651</v>
      </c>
      <c r="DG19" s="36">
        <f t="shared" ca="1" si="13"/>
        <v>9098.8814771815651</v>
      </c>
      <c r="DH19" s="36">
        <f t="shared" ca="1" si="13"/>
        <v>9462.8367362688277</v>
      </c>
      <c r="DI19" s="36">
        <f t="shared" ca="1" si="13"/>
        <v>9841.3502057195819</v>
      </c>
      <c r="DJ19" s="36">
        <f t="shared" ca="1" si="13"/>
        <v>10235.004213948367</v>
      </c>
      <c r="DK19" s="36">
        <f t="shared" ca="1" si="13"/>
        <v>10644.404382506302</v>
      </c>
      <c r="DL19" s="36">
        <f t="shared" ca="1" si="13"/>
        <v>11070.180557806554</v>
      </c>
      <c r="DM19" s="36">
        <f t="shared" ca="1" si="13"/>
        <v>11512.987780118816</v>
      </c>
      <c r="DN19" s="36">
        <f t="shared" ca="1" si="13"/>
        <v>11973.507291323569</v>
      </c>
      <c r="DO19" s="36">
        <f t="shared" ca="1" si="13"/>
        <v>12452.447582976512</v>
      </c>
      <c r="DP19" s="36">
        <f t="shared" ca="1" si="13"/>
        <v>12950.545486295574</v>
      </c>
      <c r="DQ19" s="36">
        <f t="shared" ca="1" si="13"/>
        <v>13468.567305747398</v>
      </c>
      <c r="DR19" s="36">
        <f t="shared" ca="1" si="13"/>
        <v>14007.309997977294</v>
      </c>
      <c r="DS19" s="36">
        <f t="shared" ca="1" si="13"/>
        <v>14567.602397896388</v>
      </c>
      <c r="DT19" s="36">
        <f t="shared" ca="1" si="13"/>
        <v>15150.306493812244</v>
      </c>
      <c r="DU19" s="36">
        <f t="shared" ca="1" si="13"/>
        <v>15756.318753564736</v>
      </c>
      <c r="DV19" s="36">
        <f t="shared" ca="1" si="13"/>
        <v>16386.571503707328</v>
      </c>
      <c r="DW19" s="36">
        <f t="shared" ca="1" si="13"/>
        <v>17042.034363855622</v>
      </c>
      <c r="DX19" s="36">
        <f t="shared" ca="1" si="13"/>
        <v>17723.71573840985</v>
      </c>
      <c r="DY19" s="36">
        <f t="shared" ca="1" si="13"/>
        <v>18432.664367946247</v>
      </c>
      <c r="DZ19" s="36">
        <f t="shared" ca="1" si="13"/>
        <v>19169.970942664098</v>
      </c>
      <c r="EA19" s="36">
        <f t="shared" ca="1" si="13"/>
        <v>19936.769780370661</v>
      </c>
      <c r="EB19" s="36">
        <f t="shared" ca="1" si="13"/>
        <v>20734.240571585487</v>
      </c>
      <c r="EC19" s="36">
        <f t="shared" ca="1" si="13"/>
        <v>21563.610194448909</v>
      </c>
      <c r="ED19" s="36">
        <f t="shared" ca="1" si="13"/>
        <v>22426.154602226867</v>
      </c>
      <c r="EE19" s="36">
        <f t="shared" ca="1" si="13"/>
        <v>23323.200786315942</v>
      </c>
      <c r="EF19" s="36">
        <f t="shared" ca="1" si="13"/>
        <v>24256.128817768582</v>
      </c>
      <c r="EG19" s="36">
        <f t="shared" ref="EG19:GR19" ca="1" si="14">EG16+EG17-EG18</f>
        <v>25226.373970479326</v>
      </c>
      <c r="EH19" s="36">
        <f t="shared" ca="1" si="14"/>
        <v>26235.428929298501</v>
      </c>
      <c r="EI19" s="36">
        <f t="shared" ca="1" si="14"/>
        <v>27284.846086470443</v>
      </c>
      <c r="EJ19" s="36">
        <f t="shared" ca="1" si="14"/>
        <v>28376.239929929263</v>
      </c>
      <c r="EK19" s="36">
        <f t="shared" ca="1" si="14"/>
        <v>29511.289527126435</v>
      </c>
      <c r="EL19" s="36">
        <f t="shared" ca="1" si="14"/>
        <v>30691.741108211492</v>
      </c>
      <c r="EM19" s="36">
        <f t="shared" ca="1" si="14"/>
        <v>31919.410752539952</v>
      </c>
      <c r="EN19" s="36">
        <f t="shared" ca="1" si="14"/>
        <v>33196.187182641552</v>
      </c>
      <c r="EO19" s="36">
        <f t="shared" ca="1" si="14"/>
        <v>34524.034669947214</v>
      </c>
      <c r="EP19" s="36">
        <f t="shared" ca="1" si="14"/>
        <v>35904.996056745105</v>
      </c>
      <c r="EQ19" s="36">
        <f t="shared" ca="1" si="14"/>
        <v>37341.195899014914</v>
      </c>
      <c r="ER19" s="36">
        <f t="shared" ca="1" si="14"/>
        <v>38834.843734975511</v>
      </c>
      <c r="ES19" s="36">
        <f t="shared" ca="1" si="14"/>
        <v>40388.237484374535</v>
      </c>
      <c r="ET19" s="36">
        <f t="shared" ca="1" si="14"/>
        <v>42003.76698374952</v>
      </c>
      <c r="EU19" s="36">
        <f t="shared" ca="1" si="14"/>
        <v>43683.917663099506</v>
      </c>
      <c r="EV19" s="36">
        <f t="shared" ca="1" si="14"/>
        <v>45431.27436962349</v>
      </c>
      <c r="EW19" s="36">
        <f t="shared" ca="1" si="14"/>
        <v>47248.52534440843</v>
      </c>
      <c r="EX19" s="36">
        <f t="shared" ca="1" si="14"/>
        <v>49138.466358184771</v>
      </c>
      <c r="EY19" s="36">
        <f t="shared" ca="1" si="14"/>
        <v>51104.005012512163</v>
      </c>
      <c r="EZ19" s="36">
        <f t="shared" ca="1" si="14"/>
        <v>53148.165213012653</v>
      </c>
      <c r="FA19" s="36">
        <f t="shared" ca="1" si="14"/>
        <v>55274.091821533162</v>
      </c>
      <c r="FB19" s="36">
        <f t="shared" ca="1" si="14"/>
        <v>57485.055494394495</v>
      </c>
      <c r="FC19" s="36">
        <f t="shared" ca="1" si="14"/>
        <v>59784.457714170283</v>
      </c>
      <c r="FD19" s="36">
        <f t="shared" ca="1" si="14"/>
        <v>62175.836022737094</v>
      </c>
      <c r="FE19" s="36">
        <f t="shared" ca="1" si="14"/>
        <v>64662.869463646581</v>
      </c>
      <c r="FF19" s="36">
        <f t="shared" ca="1" si="14"/>
        <v>67249.384242192449</v>
      </c>
      <c r="FG19" s="36">
        <f t="shared" ca="1" si="14"/>
        <v>69939.359611880151</v>
      </c>
      <c r="FH19" s="36">
        <f t="shared" ca="1" si="14"/>
        <v>72736.933996355365</v>
      </c>
      <c r="FI19" s="36">
        <f t="shared" ca="1" si="14"/>
        <v>75646.411356209588</v>
      </c>
      <c r="FJ19" s="36">
        <f t="shared" ca="1" si="14"/>
        <v>78672.267810457968</v>
      </c>
      <c r="FK19" s="36">
        <f t="shared" ca="1" si="14"/>
        <v>81819.1585228763</v>
      </c>
      <c r="FL19" s="36">
        <f t="shared" ca="1" si="14"/>
        <v>85091.924863791355</v>
      </c>
      <c r="FM19" s="36">
        <f t="shared" ca="1" si="14"/>
        <v>88495.601858343012</v>
      </c>
      <c r="FN19" s="36">
        <f t="shared" ca="1" si="14"/>
        <v>92035.425932676735</v>
      </c>
      <c r="FO19" s="36">
        <f t="shared" ca="1" si="14"/>
        <v>95716.842969983816</v>
      </c>
      <c r="FP19" s="36">
        <f t="shared" ca="1" si="14"/>
        <v>99545.516688783187</v>
      </c>
      <c r="FQ19" s="36">
        <f t="shared" ca="1" si="14"/>
        <v>103527.33735633452</v>
      </c>
      <c r="FR19" s="36">
        <f t="shared" ca="1" si="14"/>
        <v>107668.4308505879</v>
      </c>
      <c r="FS19" s="36">
        <f t="shared" ca="1" si="14"/>
        <v>111975.16808461142</v>
      </c>
      <c r="FT19" s="36">
        <f t="shared" ca="1" si="14"/>
        <v>116454.17480799589</v>
      </c>
      <c r="FU19" s="36">
        <f t="shared" ca="1" si="14"/>
        <v>121112.34180031573</v>
      </c>
      <c r="FV19" s="36">
        <f t="shared" ca="1" si="14"/>
        <v>125956.83547232837</v>
      </c>
      <c r="FW19" s="36">
        <f t="shared" ca="1" si="14"/>
        <v>130995.10889122151</v>
      </c>
      <c r="FX19" s="36">
        <f t="shared" ca="1" si="14"/>
        <v>136234.91324687036</v>
      </c>
      <c r="FY19" s="36">
        <f t="shared" ca="1" si="14"/>
        <v>141684.30977674518</v>
      </c>
      <c r="FZ19" s="36">
        <f t="shared" ca="1" si="14"/>
        <v>147351.68216781502</v>
      </c>
      <c r="GA19" s="36">
        <f t="shared" ca="1" si="14"/>
        <v>153245.74945452763</v>
      </c>
      <c r="GB19" s="36">
        <f t="shared" ca="1" si="14"/>
        <v>159375.57943270874</v>
      </c>
      <c r="GC19" s="36">
        <f t="shared" ca="1" si="14"/>
        <v>165750.60261001709</v>
      </c>
      <c r="GD19" s="36">
        <f t="shared" ca="1" si="14"/>
        <v>172380.6267144178</v>
      </c>
      <c r="GE19" s="36">
        <f t="shared" ca="1" si="14"/>
        <v>179275.85178299452</v>
      </c>
      <c r="GF19" s="36">
        <f t="shared" ca="1" si="14"/>
        <v>186446.88585431431</v>
      </c>
      <c r="GG19" s="36">
        <f t="shared" ca="1" si="14"/>
        <v>193904.76128848689</v>
      </c>
      <c r="GH19" s="36">
        <f t="shared" ca="1" si="14"/>
        <v>201660.95174002639</v>
      </c>
      <c r="GI19" s="36">
        <f t="shared" ca="1" si="14"/>
        <v>209727.38980962746</v>
      </c>
      <c r="GJ19" s="36">
        <f t="shared" ca="1" si="14"/>
        <v>218116.48540201256</v>
      </c>
      <c r="GK19" s="36">
        <f t="shared" ca="1" si="14"/>
        <v>226841.14481809307</v>
      </c>
      <c r="GL19" s="36">
        <f t="shared" ca="1" si="14"/>
        <v>235914.79061081682</v>
      </c>
      <c r="GM19" s="36">
        <f t="shared" ca="1" si="14"/>
        <v>245351.38223524953</v>
      </c>
      <c r="GN19" s="36">
        <f t="shared" ca="1" si="14"/>
        <v>255165.43752465953</v>
      </c>
      <c r="GO19" s="36">
        <f t="shared" ca="1" si="14"/>
        <v>265372.05502564594</v>
      </c>
      <c r="GP19" s="36">
        <f t="shared" ca="1" si="14"/>
        <v>275986.93722667184</v>
      </c>
      <c r="GQ19" s="36">
        <f t="shared" ca="1" si="14"/>
        <v>287026.41471573873</v>
      </c>
      <c r="GR19" s="36">
        <f t="shared" ca="1" si="14"/>
        <v>298507.47130436829</v>
      </c>
      <c r="GS19" s="36">
        <f t="shared" ref="GS19:GY19" ca="1" si="15">GS16+GS17-GS18</f>
        <v>310447.770156543</v>
      </c>
      <c r="GT19" s="36">
        <f t="shared" ca="1" si="15"/>
        <v>322865.6809628047</v>
      </c>
      <c r="GU19" s="36">
        <f t="shared" ca="1" si="15"/>
        <v>335780.30820131692</v>
      </c>
      <c r="GV19" s="36">
        <f t="shared" ca="1" si="15"/>
        <v>349211.52052936959</v>
      </c>
      <c r="GW19" s="36">
        <f t="shared" ca="1" si="15"/>
        <v>363179.98135054437</v>
      </c>
      <c r="GX19" s="36">
        <f t="shared" ca="1" si="15"/>
        <v>377707.18060456618</v>
      </c>
      <c r="GY19" s="36">
        <f t="shared" ca="1" si="15"/>
        <v>392815.46782874881</v>
      </c>
    </row>
    <row r="20" spans="1:207">
      <c r="B20" s="18" t="s">
        <v>89</v>
      </c>
      <c r="E20" s="22">
        <f>E10</f>
        <v>0.4</v>
      </c>
      <c r="G20" s="34">
        <f>E13*E10</f>
        <v>20</v>
      </c>
      <c r="H20" s="34">
        <f>$E$20*G26</f>
        <v>20</v>
      </c>
      <c r="I20" s="34">
        <f t="shared" ref="I20:BT20" ca="1" si="16">$E$20*H26</f>
        <v>22.897815831466268</v>
      </c>
      <c r="J20" s="34">
        <f t="shared" ca="1" si="16"/>
        <v>23.813728464724917</v>
      </c>
      <c r="K20" s="34">
        <f t="shared" ca="1" si="16"/>
        <v>24.766277603313917</v>
      </c>
      <c r="L20" s="34">
        <f t="shared" ca="1" si="16"/>
        <v>25.756928707446477</v>
      </c>
      <c r="M20" s="34">
        <f t="shared" ca="1" si="16"/>
        <v>26.787205855744332</v>
      </c>
      <c r="N20" s="34">
        <f t="shared" ca="1" si="16"/>
        <v>27.858694089974108</v>
      </c>
      <c r="O20" s="34">
        <f t="shared" ca="1" si="16"/>
        <v>28.973041853573079</v>
      </c>
      <c r="P20" s="34">
        <f t="shared" ca="1" si="16"/>
        <v>30.131963527716</v>
      </c>
      <c r="Q20" s="34">
        <f t="shared" ca="1" si="16"/>
        <v>31.337242068824647</v>
      </c>
      <c r="R20" s="34">
        <f t="shared" ca="1" si="16"/>
        <v>32.590731751577628</v>
      </c>
      <c r="S20" s="34">
        <f t="shared" ca="1" si="16"/>
        <v>33.894361021640741</v>
      </c>
      <c r="T20" s="34">
        <f t="shared" ca="1" si="16"/>
        <v>35.250135462506371</v>
      </c>
      <c r="U20" s="34">
        <f t="shared" ca="1" si="16"/>
        <v>36.660140881006633</v>
      </c>
      <c r="V20" s="34">
        <f t="shared" ca="1" si="16"/>
        <v>38.126546516246904</v>
      </c>
      <c r="W20" s="34">
        <f t="shared" ca="1" si="16"/>
        <v>39.651608376896775</v>
      </c>
      <c r="X20" s="34">
        <f t="shared" ca="1" si="16"/>
        <v>41.237672711972657</v>
      </c>
      <c r="Y20" s="34">
        <f t="shared" ca="1" si="16"/>
        <v>42.887179620451562</v>
      </c>
      <c r="Z20" s="34">
        <f t="shared" ca="1" si="16"/>
        <v>44.602666805269621</v>
      </c>
      <c r="AA20" s="34">
        <f t="shared" ca="1" si="16"/>
        <v>46.386773477480418</v>
      </c>
      <c r="AB20" s="34">
        <f t="shared" ca="1" si="16"/>
        <v>48.242244416579638</v>
      </c>
      <c r="AC20" s="34">
        <f t="shared" ca="1" si="16"/>
        <v>50.171934193242819</v>
      </c>
      <c r="AD20" s="34">
        <f t="shared" ca="1" si="16"/>
        <v>52.178811560972534</v>
      </c>
      <c r="AE20" s="34">
        <f t="shared" ca="1" si="16"/>
        <v>54.265964023411442</v>
      </c>
      <c r="AF20" s="34">
        <f t="shared" ca="1" si="16"/>
        <v>56.436602584347895</v>
      </c>
      <c r="AG20" s="34">
        <f t="shared" ca="1" si="16"/>
        <v>58.694066687721808</v>
      </c>
      <c r="AH20" s="34">
        <f t="shared" ca="1" si="16"/>
        <v>61.041829355230703</v>
      </c>
      <c r="AI20" s="34">
        <f t="shared" ca="1" si="16"/>
        <v>63.483502529439932</v>
      </c>
      <c r="AJ20" s="34">
        <f t="shared" ca="1" si="16"/>
        <v>66.022842630617546</v>
      </c>
      <c r="AK20" s="34">
        <f t="shared" ca="1" si="16"/>
        <v>68.663756335842251</v>
      </c>
      <c r="AL20" s="34">
        <f t="shared" ca="1" si="16"/>
        <v>71.410306589275962</v>
      </c>
      <c r="AM20" s="34">
        <f t="shared" ca="1" si="16"/>
        <v>74.266718852847006</v>
      </c>
      <c r="AN20" s="34">
        <f t="shared" ca="1" si="16"/>
        <v>77.23738760696088</v>
      </c>
      <c r="AO20" s="34">
        <f t="shared" ca="1" si="16"/>
        <v>80.326883111239312</v>
      </c>
      <c r="AP20" s="34">
        <f t="shared" ca="1" si="16"/>
        <v>83.539958435688874</v>
      </c>
      <c r="AQ20" s="34">
        <f t="shared" ca="1" si="16"/>
        <v>86.881556773116458</v>
      </c>
      <c r="AR20" s="34">
        <f t="shared" ca="1" si="16"/>
        <v>90.356819044041117</v>
      </c>
      <c r="AS20" s="34">
        <f t="shared" ca="1" si="16"/>
        <v>93.971091805802786</v>
      </c>
      <c r="AT20" s="34">
        <f t="shared" ca="1" si="16"/>
        <v>97.729935478034903</v>
      </c>
      <c r="AU20" s="34">
        <f t="shared" ca="1" si="16"/>
        <v>101.6391328971563</v>
      </c>
      <c r="AV20" s="34">
        <f t="shared" ca="1" si="16"/>
        <v>105.70469821304255</v>
      </c>
      <c r="AW20" s="34">
        <f t="shared" ca="1" si="16"/>
        <v>109.93288614156427</v>
      </c>
      <c r="AX20" s="34">
        <f t="shared" ca="1" si="16"/>
        <v>114.33020158722684</v>
      </c>
      <c r="AY20" s="34">
        <f t="shared" ca="1" si="16"/>
        <v>118.90340965071591</v>
      </c>
      <c r="AZ20" s="34">
        <f t="shared" ca="1" si="16"/>
        <v>123.65954603674457</v>
      </c>
      <c r="BA20" s="34">
        <f t="shared" ca="1" si="16"/>
        <v>128.60592787821437</v>
      </c>
      <c r="BB20" s="34">
        <f t="shared" ca="1" si="16"/>
        <v>133.75016499334296</v>
      </c>
      <c r="BC20" s="34">
        <f t="shared" ca="1" si="16"/>
        <v>139.10017159307668</v>
      </c>
      <c r="BD20" s="34">
        <f t="shared" ca="1" si="16"/>
        <v>144.66417845679976</v>
      </c>
      <c r="BE20" s="34">
        <f t="shared" ca="1" si="16"/>
        <v>150.45074559507174</v>
      </c>
      <c r="BF20" s="34">
        <f t="shared" ca="1" si="16"/>
        <v>156.4687754188746</v>
      </c>
      <c r="BG20" s="34">
        <f t="shared" ca="1" si="16"/>
        <v>162.72752643562961</v>
      </c>
      <c r="BH20" s="34">
        <f t="shared" ca="1" si="16"/>
        <v>169.23662749305481</v>
      </c>
      <c r="BI20" s="34">
        <f t="shared" ca="1" si="16"/>
        <v>176.00609259277704</v>
      </c>
      <c r="BJ20" s="34">
        <f t="shared" ca="1" si="16"/>
        <v>183.04633629648811</v>
      </c>
      <c r="BK20" s="34">
        <f t="shared" ca="1" si="16"/>
        <v>190.36818974834765</v>
      </c>
      <c r="BL20" s="34">
        <f t="shared" ca="1" si="16"/>
        <v>197.98291733828157</v>
      </c>
      <c r="BM20" s="34">
        <f t="shared" ca="1" si="16"/>
        <v>205.9022340318129</v>
      </c>
      <c r="BN20" s="34">
        <f t="shared" ca="1" si="16"/>
        <v>214.13832339308539</v>
      </c>
      <c r="BO20" s="34">
        <f t="shared" ca="1" si="16"/>
        <v>222.70385632880885</v>
      </c>
      <c r="BP20" s="34">
        <f t="shared" ca="1" si="16"/>
        <v>231.61201058196121</v>
      </c>
      <c r="BQ20" s="34">
        <f t="shared" ca="1" si="16"/>
        <v>240.8764910052397</v>
      </c>
      <c r="BR20" s="34">
        <f t="shared" ca="1" si="16"/>
        <v>250.51155064544923</v>
      </c>
      <c r="BS20" s="34">
        <f t="shared" ca="1" si="16"/>
        <v>260.53201267126718</v>
      </c>
      <c r="BT20" s="34">
        <f t="shared" ca="1" si="16"/>
        <v>270.95329317811792</v>
      </c>
      <c r="BU20" s="34">
        <f t="shared" ref="BU20:EF20" ca="1" si="17">$E$20*BT26</f>
        <v>281.79142490524265</v>
      </c>
      <c r="BV20" s="34">
        <f t="shared" ca="1" si="17"/>
        <v>293.06308190145234</v>
      </c>
      <c r="BW20" s="34">
        <f t="shared" ca="1" si="17"/>
        <v>304.78560517751049</v>
      </c>
      <c r="BX20" s="34">
        <f t="shared" ca="1" si="17"/>
        <v>316.97702938461089</v>
      </c>
      <c r="BY20" s="34">
        <f t="shared" ca="1" si="17"/>
        <v>329.65611055999534</v>
      </c>
      <c r="BZ20" s="34">
        <f t="shared" ca="1" si="17"/>
        <v>342.84235498239531</v>
      </c>
      <c r="CA20" s="34">
        <f t="shared" ca="1" si="17"/>
        <v>356.55604918169109</v>
      </c>
      <c r="CB20" s="34">
        <f t="shared" ca="1" si="17"/>
        <v>370.81829114895874</v>
      </c>
      <c r="CC20" s="34">
        <f t="shared" ca="1" si="17"/>
        <v>385.65102279491714</v>
      </c>
      <c r="CD20" s="34">
        <f t="shared" ca="1" si="17"/>
        <v>401.07706370671383</v>
      </c>
      <c r="CE20" s="34">
        <f t="shared" ca="1" si="17"/>
        <v>417.12014625498233</v>
      </c>
      <c r="CF20" s="34">
        <f t="shared" ca="1" si="17"/>
        <v>433.80495210518177</v>
      </c>
      <c r="CG20" s="34">
        <f t="shared" ca="1" si="17"/>
        <v>451.15715018938903</v>
      </c>
      <c r="CH20" s="34">
        <f t="shared" ca="1" si="17"/>
        <v>469.2034361969645</v>
      </c>
      <c r="CI20" s="34">
        <f t="shared" ca="1" si="17"/>
        <v>487.97157364484315</v>
      </c>
      <c r="CJ20" s="34">
        <f t="shared" ca="1" si="17"/>
        <v>507.49043659063682</v>
      </c>
      <c r="CK20" s="34">
        <f t="shared" ca="1" si="17"/>
        <v>527.79005405426233</v>
      </c>
      <c r="CL20" s="34">
        <f t="shared" ca="1" si="17"/>
        <v>548.90165621643303</v>
      </c>
      <c r="CM20" s="34">
        <f t="shared" ca="1" si="17"/>
        <v>570.85772246509021</v>
      </c>
      <c r="CN20" s="34">
        <f t="shared" ca="1" si="17"/>
        <v>593.69203136369401</v>
      </c>
      <c r="CO20" s="34">
        <f t="shared" ca="1" si="17"/>
        <v>617.43971261824174</v>
      </c>
      <c r="CP20" s="34">
        <f t="shared" ca="1" si="17"/>
        <v>642.13730112297139</v>
      </c>
      <c r="CQ20" s="34">
        <f t="shared" ca="1" si="17"/>
        <v>667.82279316789027</v>
      </c>
      <c r="CR20" s="34">
        <f t="shared" ca="1" si="17"/>
        <v>694.53570489460583</v>
      </c>
      <c r="CS20" s="34">
        <f t="shared" ca="1" si="17"/>
        <v>722.31713309039014</v>
      </c>
      <c r="CT20" s="34">
        <f t="shared" ca="1" si="17"/>
        <v>751.20981841400589</v>
      </c>
      <c r="CU20" s="34">
        <f t="shared" ca="1" si="17"/>
        <v>781.25821115056624</v>
      </c>
      <c r="CV20" s="34">
        <f t="shared" ca="1" si="17"/>
        <v>812.50853959658889</v>
      </c>
      <c r="CW20" s="34">
        <f t="shared" ca="1" si="17"/>
        <v>845.00888118045259</v>
      </c>
      <c r="CX20" s="34">
        <f t="shared" ca="1" si="17"/>
        <v>878.80923642767073</v>
      </c>
      <c r="CY20" s="34">
        <f t="shared" ca="1" si="17"/>
        <v>913.96160588477767</v>
      </c>
      <c r="CZ20" s="34">
        <f t="shared" ca="1" si="17"/>
        <v>950.52007012016884</v>
      </c>
      <c r="DA20" s="34">
        <f t="shared" ca="1" si="17"/>
        <v>988.5408729249757</v>
      </c>
      <c r="DB20" s="34">
        <f t="shared" ca="1" si="17"/>
        <v>1028.0825078419748</v>
      </c>
      <c r="DC20" s="34">
        <f t="shared" ca="1" si="17"/>
        <v>1069.205808155654</v>
      </c>
      <c r="DD20" s="34">
        <f t="shared" ca="1" si="17"/>
        <v>1111.9740404818801</v>
      </c>
      <c r="DE20" s="34">
        <f t="shared" ca="1" si="17"/>
        <v>1156.4530021011553</v>
      </c>
      <c r="DF20" s="34">
        <f t="shared" ca="1" si="17"/>
        <v>1202.7111221852017</v>
      </c>
      <c r="DG20" s="34">
        <f t="shared" ca="1" si="17"/>
        <v>1250.81956707261</v>
      </c>
      <c r="DH20" s="34">
        <f t="shared" ca="1" si="17"/>
        <v>1300.8523497555143</v>
      </c>
      <c r="DI20" s="34">
        <f t="shared" ca="1" si="17"/>
        <v>1352.8864437457351</v>
      </c>
      <c r="DJ20" s="34">
        <f t="shared" ca="1" si="17"/>
        <v>1407.0019014955644</v>
      </c>
      <c r="DK20" s="34">
        <f t="shared" ca="1" si="17"/>
        <v>1463.2819775553871</v>
      </c>
      <c r="DL20" s="34">
        <f t="shared" ca="1" si="17"/>
        <v>1521.8132566576032</v>
      </c>
      <c r="DM20" s="34">
        <f t="shared" ca="1" si="17"/>
        <v>1582.685786923907</v>
      </c>
      <c r="DN20" s="34">
        <f t="shared" ca="1" si="17"/>
        <v>1645.9932184008635</v>
      </c>
      <c r="DO20" s="34">
        <f t="shared" ca="1" si="17"/>
        <v>1711.8329471368979</v>
      </c>
      <c r="DP20" s="34">
        <f t="shared" ca="1" si="17"/>
        <v>1780.306265022374</v>
      </c>
      <c r="DQ20" s="34">
        <f t="shared" ca="1" si="17"/>
        <v>1851.5185156232692</v>
      </c>
      <c r="DR20" s="34">
        <f t="shared" ca="1" si="17"/>
        <v>1925.5792562482</v>
      </c>
      <c r="DS20" s="34">
        <f t="shared" ca="1" si="17"/>
        <v>2002.6024264981279</v>
      </c>
      <c r="DT20" s="34">
        <f t="shared" ca="1" si="17"/>
        <v>2082.706523558053</v>
      </c>
      <c r="DU20" s="34">
        <f t="shared" ca="1" si="17"/>
        <v>2166.0147845003753</v>
      </c>
      <c r="DV20" s="34">
        <f t="shared" ca="1" si="17"/>
        <v>2252.6553758803907</v>
      </c>
      <c r="DW20" s="34">
        <f t="shared" ca="1" si="17"/>
        <v>2342.7615909156066</v>
      </c>
      <c r="DX20" s="34">
        <f t="shared" ca="1" si="17"/>
        <v>2436.4720545522309</v>
      </c>
      <c r="DY20" s="34">
        <f t="shared" ca="1" si="17"/>
        <v>2533.9309367343208</v>
      </c>
      <c r="DZ20" s="34">
        <f t="shared" ca="1" si="17"/>
        <v>2635.2881742036939</v>
      </c>
      <c r="EA20" s="34">
        <f t="shared" ca="1" si="17"/>
        <v>2740.6997011718418</v>
      </c>
      <c r="EB20" s="34">
        <f t="shared" ca="1" si="17"/>
        <v>2850.3276892187159</v>
      </c>
      <c r="EC20" s="34">
        <f t="shared" ca="1" si="17"/>
        <v>2964.3407967874646</v>
      </c>
      <c r="ED20" s="34">
        <f t="shared" ca="1" si="17"/>
        <v>3082.9144286589635</v>
      </c>
      <c r="EE20" s="34">
        <f t="shared" ca="1" si="17"/>
        <v>3206.2310058053222</v>
      </c>
      <c r="EF20" s="34">
        <f t="shared" ca="1" si="17"/>
        <v>3334.4802460375345</v>
      </c>
      <c r="EG20" s="34">
        <f t="shared" ref="EG20:GR20" ca="1" si="18">$E$20*EF26</f>
        <v>3467.8594558790364</v>
      </c>
      <c r="EH20" s="34">
        <f t="shared" ca="1" si="18"/>
        <v>3606.5738341141987</v>
      </c>
      <c r="EI20" s="34">
        <f t="shared" ca="1" si="18"/>
        <v>3750.8367874787664</v>
      </c>
      <c r="EJ20" s="34">
        <f t="shared" ca="1" si="18"/>
        <v>3900.8702589779177</v>
      </c>
      <c r="EK20" s="34">
        <f t="shared" ca="1" si="18"/>
        <v>4056.9050693370345</v>
      </c>
      <c r="EL20" s="34">
        <f t="shared" ca="1" si="18"/>
        <v>4219.1812721105161</v>
      </c>
      <c r="EM20" s="34">
        <f t="shared" ca="1" si="18"/>
        <v>4387.9485229949369</v>
      </c>
      <c r="EN20" s="34">
        <f t="shared" ca="1" si="18"/>
        <v>4563.466463914734</v>
      </c>
      <c r="EO20" s="34">
        <f t="shared" ca="1" si="18"/>
        <v>4746.0051224713234</v>
      </c>
      <c r="EP20" s="34">
        <f t="shared" ca="1" si="18"/>
        <v>4935.8453273701771</v>
      </c>
      <c r="EQ20" s="34">
        <f t="shared" ca="1" si="18"/>
        <v>5133.2791404649834</v>
      </c>
      <c r="ER20" s="34">
        <f t="shared" ca="1" si="18"/>
        <v>5338.610306083584</v>
      </c>
      <c r="ES20" s="34">
        <f t="shared" ca="1" si="18"/>
        <v>5552.1547183269277</v>
      </c>
      <c r="ET20" s="34">
        <f t="shared" ca="1" si="18"/>
        <v>5774.2409070600042</v>
      </c>
      <c r="EU20" s="34">
        <f t="shared" ca="1" si="18"/>
        <v>6005.2105433424049</v>
      </c>
      <c r="EV20" s="34">
        <f t="shared" ca="1" si="18"/>
        <v>6245.4189650761027</v>
      </c>
      <c r="EW20" s="34">
        <f t="shared" ca="1" si="18"/>
        <v>6495.2357236791477</v>
      </c>
      <c r="EX20" s="34">
        <f t="shared" ca="1" si="18"/>
        <v>6755.0451526263132</v>
      </c>
      <c r="EY20" s="34">
        <f t="shared" ca="1" si="18"/>
        <v>7025.2469587313653</v>
      </c>
      <c r="EZ20" s="34">
        <f t="shared" ca="1" si="18"/>
        <v>7306.2568370806221</v>
      </c>
      <c r="FA20" s="34">
        <f t="shared" ca="1" si="18"/>
        <v>7598.5071105638463</v>
      </c>
      <c r="FB20" s="34">
        <f t="shared" ca="1" si="18"/>
        <v>7902.4473949864014</v>
      </c>
      <c r="FC20" s="34">
        <f t="shared" ca="1" si="18"/>
        <v>8218.5452907858562</v>
      </c>
      <c r="FD20" s="34">
        <f t="shared" ca="1" si="18"/>
        <v>8547.2871024172928</v>
      </c>
      <c r="FE20" s="34">
        <f t="shared" ca="1" si="18"/>
        <v>8889.1785865139864</v>
      </c>
      <c r="FF20" s="34">
        <f t="shared" ca="1" si="18"/>
        <v>9244.7457299745456</v>
      </c>
      <c r="FG20" s="34">
        <f t="shared" ca="1" si="18"/>
        <v>9614.5355591735261</v>
      </c>
      <c r="FH20" s="34">
        <f t="shared" ca="1" si="18"/>
        <v>9999.1169815404701</v>
      </c>
      <c r="FI20" s="34">
        <f t="shared" ca="1" si="18"/>
        <v>10399.081660802089</v>
      </c>
      <c r="FJ20" s="34">
        <f t="shared" ca="1" si="18"/>
        <v>10815.044927234172</v>
      </c>
      <c r="FK20" s="34">
        <f t="shared" ca="1" si="18"/>
        <v>11247.646724323542</v>
      </c>
      <c r="FL20" s="34">
        <f t="shared" ca="1" si="18"/>
        <v>11697.552593296483</v>
      </c>
      <c r="FM20" s="34">
        <f t="shared" ca="1" si="18"/>
        <v>12165.454697028345</v>
      </c>
      <c r="FN20" s="34">
        <f t="shared" ca="1" si="18"/>
        <v>12652.072884909478</v>
      </c>
      <c r="FO20" s="34">
        <f t="shared" ca="1" si="18"/>
        <v>13158.155800305858</v>
      </c>
      <c r="FP20" s="34">
        <f t="shared" ca="1" si="18"/>
        <v>13684.48203231809</v>
      </c>
      <c r="FQ20" s="34">
        <f t="shared" ca="1" si="18"/>
        <v>14231.861313610818</v>
      </c>
      <c r="FR20" s="34">
        <f t="shared" ca="1" si="18"/>
        <v>14801.135766155254</v>
      </c>
      <c r="FS20" s="34">
        <f t="shared" ca="1" si="18"/>
        <v>15393.181196801464</v>
      </c>
      <c r="FT20" s="34">
        <f t="shared" ca="1" si="18"/>
        <v>16008.908444673521</v>
      </c>
      <c r="FU20" s="34">
        <f t="shared" ca="1" si="18"/>
        <v>16649.264782460461</v>
      </c>
      <c r="FV20" s="34">
        <f t="shared" ca="1" si="18"/>
        <v>17315.235373758886</v>
      </c>
      <c r="FW20" s="34">
        <f t="shared" ca="1" si="18"/>
        <v>18007.844788709241</v>
      </c>
      <c r="FX20" s="34">
        <f t="shared" ca="1" si="18"/>
        <v>18728.158580257612</v>
      </c>
      <c r="FY20" s="34">
        <f t="shared" ca="1" si="18"/>
        <v>19477.28492346792</v>
      </c>
      <c r="FZ20" s="34">
        <f t="shared" ca="1" si="18"/>
        <v>20256.376320406634</v>
      </c>
      <c r="GA20" s="34">
        <f t="shared" ca="1" si="18"/>
        <v>21066.631373222903</v>
      </c>
      <c r="GB20" s="34">
        <f t="shared" ca="1" si="18"/>
        <v>21909.296628151817</v>
      </c>
      <c r="GC20" s="34">
        <f t="shared" ca="1" si="18"/>
        <v>22785.668493277895</v>
      </c>
      <c r="GD20" s="34">
        <f t="shared" ca="1" si="18"/>
        <v>23697.095233009011</v>
      </c>
      <c r="GE20" s="34">
        <f t="shared" ca="1" si="18"/>
        <v>24644.979042329371</v>
      </c>
      <c r="GF20" s="34">
        <f t="shared" ca="1" si="18"/>
        <v>25630.778204022547</v>
      </c>
      <c r="GG20" s="34">
        <f t="shared" ca="1" si="18"/>
        <v>26656.009332183447</v>
      </c>
      <c r="GH20" s="34">
        <f t="shared" ca="1" si="18"/>
        <v>27722.249705470793</v>
      </c>
      <c r="GI20" s="34">
        <f t="shared" ca="1" si="18"/>
        <v>28831.139693689627</v>
      </c>
      <c r="GJ20" s="34">
        <f t="shared" ca="1" si="18"/>
        <v>29984.385281437211</v>
      </c>
      <c r="GK20" s="34">
        <f t="shared" ca="1" si="18"/>
        <v>31183.760692694705</v>
      </c>
      <c r="GL20" s="34">
        <f t="shared" ca="1" si="18"/>
        <v>32431.111120402493</v>
      </c>
      <c r="GM20" s="34">
        <f t="shared" ca="1" si="18"/>
        <v>33728.355565218597</v>
      </c>
      <c r="GN20" s="34">
        <f t="shared" ca="1" si="18"/>
        <v>35077.48978782734</v>
      </c>
      <c r="GO20" s="34">
        <f t="shared" ca="1" si="18"/>
        <v>36480.589379340439</v>
      </c>
      <c r="GP20" s="34">
        <f t="shared" ca="1" si="18"/>
        <v>37939.812954514055</v>
      </c>
      <c r="GQ20" s="34">
        <f t="shared" ca="1" si="18"/>
        <v>39457.405472694627</v>
      </c>
      <c r="GR20" s="34">
        <f t="shared" ca="1" si="18"/>
        <v>41035.701691602415</v>
      </c>
      <c r="GS20" s="34">
        <f t="shared" ref="GS20:GY20" ca="1" si="19">$E$20*GR26</f>
        <v>42677.129759266521</v>
      </c>
      <c r="GT20" s="34">
        <f t="shared" ca="1" si="19"/>
        <v>44384.214949637186</v>
      </c>
      <c r="GU20" s="34">
        <f t="shared" ca="1" si="19"/>
        <v>46159.583547622664</v>
      </c>
      <c r="GV20" s="34">
        <f t="shared" ca="1" si="19"/>
        <v>48005.966889527568</v>
      </c>
      <c r="GW20" s="34">
        <f t="shared" ca="1" si="19"/>
        <v>49926.205565108685</v>
      </c>
      <c r="GX20" s="34">
        <f t="shared" ca="1" si="19"/>
        <v>51923.253787713023</v>
      </c>
      <c r="GY20" s="34">
        <f t="shared" ca="1" si="19"/>
        <v>54000.183939221548</v>
      </c>
    </row>
    <row r="21" spans="1:207" ht="15" thickBot="1">
      <c r="B21" s="35" t="s">
        <v>90</v>
      </c>
      <c r="C21" s="35"/>
      <c r="D21" s="35"/>
      <c r="E21" s="35"/>
      <c r="F21" s="35"/>
      <c r="G21" s="36">
        <f>E12</f>
        <v>174</v>
      </c>
      <c r="H21" s="36">
        <f ca="1">H19+H20</f>
        <v>180.16</v>
      </c>
      <c r="I21" s="36">
        <f t="shared" ref="I21:BT21" ca="1" si="20">I19+I20</f>
        <v>189.46421583146628</v>
      </c>
      <c r="J21" s="36">
        <f t="shared" ca="1" si="20"/>
        <v>197.04278446472495</v>
      </c>
      <c r="K21" s="36">
        <f t="shared" ca="1" si="20"/>
        <v>204.92449584331396</v>
      </c>
      <c r="L21" s="36">
        <f t="shared" ca="1" si="20"/>
        <v>213.12147567704653</v>
      </c>
      <c r="M21" s="36">
        <f t="shared" ca="1" si="20"/>
        <v>221.64633470412841</v>
      </c>
      <c r="N21" s="36">
        <f t="shared" ca="1" si="20"/>
        <v>230.51218809229357</v>
      </c>
      <c r="O21" s="36">
        <f t="shared" ca="1" si="20"/>
        <v>239.73267561598533</v>
      </c>
      <c r="P21" s="36">
        <f t="shared" ca="1" si="20"/>
        <v>249.32198264062475</v>
      </c>
      <c r="Q21" s="36">
        <f t="shared" ca="1" si="20"/>
        <v>259.29486194624974</v>
      </c>
      <c r="R21" s="36">
        <f t="shared" ca="1" si="20"/>
        <v>269.66665642409976</v>
      </c>
      <c r="S21" s="36">
        <f t="shared" ca="1" si="20"/>
        <v>280.45332268106381</v>
      </c>
      <c r="T21" s="36">
        <f t="shared" ca="1" si="20"/>
        <v>291.6714555883064</v>
      </c>
      <c r="U21" s="36">
        <f t="shared" ca="1" si="20"/>
        <v>303.33831381183865</v>
      </c>
      <c r="V21" s="36">
        <f t="shared" ca="1" si="20"/>
        <v>315.47184636431223</v>
      </c>
      <c r="W21" s="36">
        <f t="shared" ca="1" si="20"/>
        <v>328.09072021888471</v>
      </c>
      <c r="X21" s="36">
        <f t="shared" ca="1" si="20"/>
        <v>341.21434902764014</v>
      </c>
      <c r="Y21" s="36">
        <f t="shared" ca="1" si="20"/>
        <v>354.86292298874577</v>
      </c>
      <c r="Z21" s="36">
        <f t="shared" ca="1" si="20"/>
        <v>369.05743990829563</v>
      </c>
      <c r="AA21" s="36">
        <f t="shared" ca="1" si="20"/>
        <v>383.81973750462743</v>
      </c>
      <c r="AB21" s="36">
        <f t="shared" ca="1" si="20"/>
        <v>399.17252700481254</v>
      </c>
      <c r="AC21" s="36">
        <f t="shared" ca="1" si="20"/>
        <v>415.13942808500508</v>
      </c>
      <c r="AD21" s="36">
        <f t="shared" ca="1" si="20"/>
        <v>431.7450052084053</v>
      </c>
      <c r="AE21" s="36">
        <f t="shared" ca="1" si="20"/>
        <v>449.01480541674152</v>
      </c>
      <c r="AF21" s="36">
        <f t="shared" ca="1" si="20"/>
        <v>466.97539763341126</v>
      </c>
      <c r="AG21" s="36">
        <f t="shared" ca="1" si="20"/>
        <v>485.6544135387478</v>
      </c>
      <c r="AH21" s="36">
        <f t="shared" ca="1" si="20"/>
        <v>505.08059008029772</v>
      </c>
      <c r="AI21" s="36">
        <f t="shared" ca="1" si="20"/>
        <v>525.28381368350983</v>
      </c>
      <c r="AJ21" s="36">
        <f t="shared" ca="1" si="20"/>
        <v>546.29516623085021</v>
      </c>
      <c r="AK21" s="36">
        <f t="shared" ca="1" si="20"/>
        <v>568.14697288008426</v>
      </c>
      <c r="AL21" s="36">
        <f t="shared" ca="1" si="20"/>
        <v>590.8728517952876</v>
      </c>
      <c r="AM21" s="36">
        <f t="shared" ca="1" si="20"/>
        <v>614.50776586709924</v>
      </c>
      <c r="AN21" s="36">
        <f t="shared" ca="1" si="20"/>
        <v>639.08807650178312</v>
      </c>
      <c r="AO21" s="36">
        <f t="shared" ca="1" si="20"/>
        <v>664.6515995618546</v>
      </c>
      <c r="AP21" s="36">
        <f t="shared" ca="1" si="20"/>
        <v>691.23766354432871</v>
      </c>
      <c r="AQ21" s="36">
        <f t="shared" ca="1" si="20"/>
        <v>718.88717008610206</v>
      </c>
      <c r="AR21" s="36">
        <f t="shared" ca="1" si="20"/>
        <v>747.64265688954617</v>
      </c>
      <c r="AS21" s="36">
        <f t="shared" ca="1" si="20"/>
        <v>777.54836316512808</v>
      </c>
      <c r="AT21" s="36">
        <f t="shared" ca="1" si="20"/>
        <v>808.65029769173327</v>
      </c>
      <c r="AU21" s="36">
        <f t="shared" ca="1" si="20"/>
        <v>840.99630959940259</v>
      </c>
      <c r="AV21" s="36">
        <f t="shared" ca="1" si="20"/>
        <v>874.63616198337877</v>
      </c>
      <c r="AW21" s="36">
        <f t="shared" ca="1" si="20"/>
        <v>909.62160846271399</v>
      </c>
      <c r="AX21" s="36">
        <f t="shared" ca="1" si="20"/>
        <v>946.00647280122257</v>
      </c>
      <c r="AY21" s="36">
        <f t="shared" ca="1" si="20"/>
        <v>983.84673171327165</v>
      </c>
      <c r="AZ21" s="36">
        <f t="shared" ca="1" si="20"/>
        <v>1023.2006009818025</v>
      </c>
      <c r="BA21" s="36">
        <f t="shared" ca="1" si="20"/>
        <v>1064.1286250210746</v>
      </c>
      <c r="BB21" s="36">
        <f t="shared" ca="1" si="20"/>
        <v>1106.6937700219178</v>
      </c>
      <c r="BC21" s="36">
        <f t="shared" ca="1" si="20"/>
        <v>1150.9615208227945</v>
      </c>
      <c r="BD21" s="36">
        <f t="shared" ca="1" si="20"/>
        <v>1196.9999816557063</v>
      </c>
      <c r="BE21" s="36">
        <f t="shared" ca="1" si="20"/>
        <v>1244.8799809219347</v>
      </c>
      <c r="BF21" s="36">
        <f t="shared" ca="1" si="20"/>
        <v>1294.6751801588123</v>
      </c>
      <c r="BG21" s="36">
        <f t="shared" ca="1" si="20"/>
        <v>1346.4621873651649</v>
      </c>
      <c r="BH21" s="36">
        <f t="shared" ca="1" si="20"/>
        <v>1400.3206748597715</v>
      </c>
      <c r="BI21" s="36">
        <f t="shared" ca="1" si="20"/>
        <v>1456.3335018541625</v>
      </c>
      <c r="BJ21" s="36">
        <f t="shared" ca="1" si="20"/>
        <v>1514.586841928329</v>
      </c>
      <c r="BK21" s="36">
        <f t="shared" ca="1" si="20"/>
        <v>1575.1703156054625</v>
      </c>
      <c r="BL21" s="36">
        <f t="shared" ca="1" si="20"/>
        <v>1638.1771282296811</v>
      </c>
      <c r="BM21" s="36">
        <f t="shared" ca="1" si="20"/>
        <v>1703.7042133588684</v>
      </c>
      <c r="BN21" s="36">
        <f t="shared" ca="1" si="20"/>
        <v>1771.8523818932231</v>
      </c>
      <c r="BO21" s="36">
        <f t="shared" ca="1" si="20"/>
        <v>1842.7264771689522</v>
      </c>
      <c r="BP21" s="36">
        <f t="shared" ca="1" si="20"/>
        <v>1916.4355362557103</v>
      </c>
      <c r="BQ21" s="36">
        <f t="shared" ca="1" si="20"/>
        <v>1993.0929577059387</v>
      </c>
      <c r="BR21" s="36">
        <f t="shared" ca="1" si="20"/>
        <v>2072.8166760141767</v>
      </c>
      <c r="BS21" s="36">
        <f t="shared" ca="1" si="20"/>
        <v>2155.7293430547438</v>
      </c>
      <c r="BT21" s="36">
        <f t="shared" ca="1" si="20"/>
        <v>2241.9585167769333</v>
      </c>
      <c r="BU21" s="36">
        <f t="shared" ref="BU21:EF21" ca="1" si="21">BU19+BU20</f>
        <v>2331.6368574480111</v>
      </c>
      <c r="BV21" s="36">
        <f t="shared" ca="1" si="21"/>
        <v>2424.9023317459314</v>
      </c>
      <c r="BW21" s="36">
        <f t="shared" ca="1" si="21"/>
        <v>2521.8984250157691</v>
      </c>
      <c r="BX21" s="36">
        <f t="shared" ca="1" si="21"/>
        <v>2622.7743620164001</v>
      </c>
      <c r="BY21" s="36">
        <f t="shared" ca="1" si="21"/>
        <v>2727.6853364970561</v>
      </c>
      <c r="BZ21" s="36">
        <f t="shared" ca="1" si="21"/>
        <v>2836.7927499569387</v>
      </c>
      <c r="CA21" s="36">
        <f t="shared" ca="1" si="21"/>
        <v>2950.2644599552164</v>
      </c>
      <c r="CB21" s="36">
        <f t="shared" ca="1" si="21"/>
        <v>3068.2750383534253</v>
      </c>
      <c r="CC21" s="36">
        <f t="shared" ca="1" si="21"/>
        <v>3191.0060398875621</v>
      </c>
      <c r="CD21" s="36">
        <f t="shared" ca="1" si="21"/>
        <v>3318.6462814830652</v>
      </c>
      <c r="CE21" s="36">
        <f t="shared" ca="1" si="21"/>
        <v>3451.3921327423877</v>
      </c>
      <c r="CF21" s="36">
        <f t="shared" ca="1" si="21"/>
        <v>3589.4478180520832</v>
      </c>
      <c r="CG21" s="36">
        <f t="shared" ca="1" si="21"/>
        <v>3733.0257307741667</v>
      </c>
      <c r="CH21" s="36">
        <f t="shared" ca="1" si="21"/>
        <v>3882.3467600051335</v>
      </c>
      <c r="CI21" s="36">
        <f t="shared" ca="1" si="21"/>
        <v>4037.6406304053389</v>
      </c>
      <c r="CJ21" s="36">
        <f t="shared" ca="1" si="21"/>
        <v>4199.1462556215529</v>
      </c>
      <c r="CK21" s="36">
        <f t="shared" ca="1" si="21"/>
        <v>4367.112105846415</v>
      </c>
      <c r="CL21" s="36">
        <f t="shared" ca="1" si="21"/>
        <v>4541.7965900802719</v>
      </c>
      <c r="CM21" s="36">
        <f t="shared" ca="1" si="21"/>
        <v>4723.4684536834829</v>
      </c>
      <c r="CN21" s="36">
        <f t="shared" ca="1" si="21"/>
        <v>4912.4071918308227</v>
      </c>
      <c r="CO21" s="36">
        <f t="shared" ca="1" si="21"/>
        <v>5108.9034795040561</v>
      </c>
      <c r="CP21" s="36">
        <f t="shared" ca="1" si="21"/>
        <v>5313.2596186842184</v>
      </c>
      <c r="CQ21" s="36">
        <f t="shared" ca="1" si="21"/>
        <v>5525.7900034315871</v>
      </c>
      <c r="CR21" s="36">
        <f t="shared" ca="1" si="21"/>
        <v>5746.8216035688511</v>
      </c>
      <c r="CS21" s="36">
        <f t="shared" ca="1" si="21"/>
        <v>5976.6944677116062</v>
      </c>
      <c r="CT21" s="36">
        <f t="shared" ca="1" si="21"/>
        <v>6215.7622464200713</v>
      </c>
      <c r="CU21" s="36">
        <f t="shared" ca="1" si="21"/>
        <v>6464.3927362768745</v>
      </c>
      <c r="CV21" s="36">
        <f t="shared" ca="1" si="21"/>
        <v>6722.96844572795</v>
      </c>
      <c r="CW21" s="36">
        <f t="shared" ca="1" si="21"/>
        <v>6991.887183557069</v>
      </c>
      <c r="CX21" s="36">
        <f t="shared" ca="1" si="21"/>
        <v>7271.5626708993523</v>
      </c>
      <c r="CY21" s="36">
        <f t="shared" ca="1" si="21"/>
        <v>7562.4251777353275</v>
      </c>
      <c r="CZ21" s="36">
        <f t="shared" ca="1" si="21"/>
        <v>7864.9221848447414</v>
      </c>
      <c r="DA21" s="36">
        <f t="shared" ca="1" si="21"/>
        <v>8179.5190722385314</v>
      </c>
      <c r="DB21" s="36">
        <f t="shared" ca="1" si="21"/>
        <v>8506.6998351280727</v>
      </c>
      <c r="DC21" s="36">
        <f t="shared" ca="1" si="21"/>
        <v>8846.9678285331956</v>
      </c>
      <c r="DD21" s="36">
        <f t="shared" ca="1" si="21"/>
        <v>9200.8465416745239</v>
      </c>
      <c r="DE21" s="36">
        <f t="shared" ca="1" si="21"/>
        <v>9568.8804033415072</v>
      </c>
      <c r="DF21" s="36">
        <f t="shared" ca="1" si="21"/>
        <v>9951.6356194751661</v>
      </c>
      <c r="DG21" s="36">
        <f t="shared" ca="1" si="21"/>
        <v>10349.701044254176</v>
      </c>
      <c r="DH21" s="36">
        <f t="shared" ca="1" si="21"/>
        <v>10763.689086024342</v>
      </c>
      <c r="DI21" s="36">
        <f t="shared" ca="1" si="21"/>
        <v>11194.236649465318</v>
      </c>
      <c r="DJ21" s="36">
        <f t="shared" ca="1" si="21"/>
        <v>11642.006115443932</v>
      </c>
      <c r="DK21" s="36">
        <f t="shared" ca="1" si="21"/>
        <v>12107.686360061689</v>
      </c>
      <c r="DL21" s="36">
        <f t="shared" ca="1" si="21"/>
        <v>12591.993814464156</v>
      </c>
      <c r="DM21" s="36">
        <f t="shared" ca="1" si="21"/>
        <v>13095.673567042722</v>
      </c>
      <c r="DN21" s="36">
        <f t="shared" ca="1" si="21"/>
        <v>13619.500509724432</v>
      </c>
      <c r="DO21" s="36">
        <f t="shared" ca="1" si="21"/>
        <v>14164.28053011341</v>
      </c>
      <c r="DP21" s="36">
        <f t="shared" ca="1" si="21"/>
        <v>14730.851751317949</v>
      </c>
      <c r="DQ21" s="36">
        <f t="shared" ca="1" si="21"/>
        <v>15320.085821370667</v>
      </c>
      <c r="DR21" s="36">
        <f t="shared" ca="1" si="21"/>
        <v>15932.889254225494</v>
      </c>
      <c r="DS21" s="36">
        <f t="shared" ca="1" si="21"/>
        <v>16570.204824394517</v>
      </c>
      <c r="DT21" s="36">
        <f t="shared" ca="1" si="21"/>
        <v>17233.013017370296</v>
      </c>
      <c r="DU21" s="36">
        <f t="shared" ca="1" si="21"/>
        <v>17922.333538065111</v>
      </c>
      <c r="DV21" s="36">
        <f t="shared" ca="1" si="21"/>
        <v>18639.226879587717</v>
      </c>
      <c r="DW21" s="36">
        <f t="shared" ca="1" si="21"/>
        <v>19384.795954771231</v>
      </c>
      <c r="DX21" s="36">
        <f t="shared" ca="1" si="21"/>
        <v>20160.187792962082</v>
      </c>
      <c r="DY21" s="36">
        <f t="shared" ca="1" si="21"/>
        <v>20966.595304680566</v>
      </c>
      <c r="DZ21" s="36">
        <f t="shared" ca="1" si="21"/>
        <v>21805.259116867794</v>
      </c>
      <c r="EA21" s="36">
        <f t="shared" ca="1" si="21"/>
        <v>22677.469481542503</v>
      </c>
      <c r="EB21" s="36">
        <f t="shared" ca="1" si="21"/>
        <v>23584.568260804204</v>
      </c>
      <c r="EC21" s="36">
        <f t="shared" ca="1" si="21"/>
        <v>24527.950991236372</v>
      </c>
      <c r="ED21" s="36">
        <f t="shared" ca="1" si="21"/>
        <v>25509.069030885832</v>
      </c>
      <c r="EE21" s="36">
        <f t="shared" ca="1" si="21"/>
        <v>26529.431792121264</v>
      </c>
      <c r="EF21" s="36">
        <f t="shared" ca="1" si="21"/>
        <v>27590.609063806118</v>
      </c>
      <c r="EG21" s="36">
        <f t="shared" ref="EG21:GR21" ca="1" si="22">EG19+EG20</f>
        <v>28694.233426358362</v>
      </c>
      <c r="EH21" s="36">
        <f t="shared" ca="1" si="22"/>
        <v>29842.0027634127</v>
      </c>
      <c r="EI21" s="36">
        <f t="shared" ca="1" si="22"/>
        <v>31035.682873949208</v>
      </c>
      <c r="EJ21" s="36">
        <f t="shared" ca="1" si="22"/>
        <v>32277.11018890718</v>
      </c>
      <c r="EK21" s="36">
        <f t="shared" ca="1" si="22"/>
        <v>33568.194596463472</v>
      </c>
      <c r="EL21" s="36">
        <f t="shared" ca="1" si="22"/>
        <v>34910.922380322008</v>
      </c>
      <c r="EM21" s="36">
        <f t="shared" ca="1" si="22"/>
        <v>36307.359275534887</v>
      </c>
      <c r="EN21" s="36">
        <f t="shared" ca="1" si="22"/>
        <v>37759.653646556282</v>
      </c>
      <c r="EO21" s="36">
        <f t="shared" ca="1" si="22"/>
        <v>39270.039792418538</v>
      </c>
      <c r="EP21" s="36">
        <f t="shared" ca="1" si="22"/>
        <v>40840.84138411528</v>
      </c>
      <c r="EQ21" s="36">
        <f t="shared" ca="1" si="22"/>
        <v>42474.475039479898</v>
      </c>
      <c r="ER21" s="36">
        <f t="shared" ca="1" si="22"/>
        <v>44173.454041059093</v>
      </c>
      <c r="ES21" s="36">
        <f t="shared" ca="1" si="22"/>
        <v>45940.392202701463</v>
      </c>
      <c r="ET21" s="36">
        <f t="shared" ca="1" si="22"/>
        <v>47778.007890809524</v>
      </c>
      <c r="EU21" s="36">
        <f t="shared" ca="1" si="22"/>
        <v>49689.128206441914</v>
      </c>
      <c r="EV21" s="36">
        <f t="shared" ca="1" si="22"/>
        <v>51676.693334699594</v>
      </c>
      <c r="EW21" s="36">
        <f t="shared" ca="1" si="22"/>
        <v>53743.76106808758</v>
      </c>
      <c r="EX21" s="36">
        <f t="shared" ca="1" si="22"/>
        <v>55893.511510811084</v>
      </c>
      <c r="EY21" s="36">
        <f t="shared" ca="1" si="22"/>
        <v>58129.251971243531</v>
      </c>
      <c r="EZ21" s="36">
        <f t="shared" ca="1" si="22"/>
        <v>60454.422050093272</v>
      </c>
      <c r="FA21" s="36">
        <f t="shared" ca="1" si="22"/>
        <v>62872.598932097011</v>
      </c>
      <c r="FB21" s="36">
        <f t="shared" ca="1" si="22"/>
        <v>65387.502889380899</v>
      </c>
      <c r="FC21" s="36">
        <f t="shared" ca="1" si="22"/>
        <v>68003.003004956146</v>
      </c>
      <c r="FD21" s="36">
        <f t="shared" ca="1" si="22"/>
        <v>70723.12312515438</v>
      </c>
      <c r="FE21" s="36">
        <f t="shared" ca="1" si="22"/>
        <v>73552.048050160563</v>
      </c>
      <c r="FF21" s="36">
        <f t="shared" ca="1" si="22"/>
        <v>76494.129972166993</v>
      </c>
      <c r="FG21" s="36">
        <f t="shared" ca="1" si="22"/>
        <v>79553.895171053678</v>
      </c>
      <c r="FH21" s="36">
        <f t="shared" ca="1" si="22"/>
        <v>82736.050977895837</v>
      </c>
      <c r="FI21" s="36">
        <f t="shared" ca="1" si="22"/>
        <v>86045.493017011671</v>
      </c>
      <c r="FJ21" s="36">
        <f t="shared" ca="1" si="22"/>
        <v>89487.312737692147</v>
      </c>
      <c r="FK21" s="36">
        <f t="shared" ca="1" si="22"/>
        <v>93066.805247199838</v>
      </c>
      <c r="FL21" s="36">
        <f t="shared" ca="1" si="22"/>
        <v>96789.477457087836</v>
      </c>
      <c r="FM21" s="36">
        <f t="shared" ca="1" si="22"/>
        <v>100661.05655537135</v>
      </c>
      <c r="FN21" s="36">
        <f t="shared" ca="1" si="22"/>
        <v>104687.49881758621</v>
      </c>
      <c r="FO21" s="36">
        <f t="shared" ca="1" si="22"/>
        <v>108874.99877028968</v>
      </c>
      <c r="FP21" s="36">
        <f t="shared" ca="1" si="22"/>
        <v>113229.99872110128</v>
      </c>
      <c r="FQ21" s="36">
        <f t="shared" ca="1" si="22"/>
        <v>117759.19866994534</v>
      </c>
      <c r="FR21" s="36">
        <f t="shared" ca="1" si="22"/>
        <v>122469.56661674316</v>
      </c>
      <c r="FS21" s="36">
        <f t="shared" ca="1" si="22"/>
        <v>127368.34928141288</v>
      </c>
      <c r="FT21" s="36">
        <f t="shared" ca="1" si="22"/>
        <v>132463.08325266943</v>
      </c>
      <c r="FU21" s="36">
        <f t="shared" ca="1" si="22"/>
        <v>137761.60658277618</v>
      </c>
      <c r="FV21" s="36">
        <f t="shared" ca="1" si="22"/>
        <v>143272.07084608724</v>
      </c>
      <c r="FW21" s="36">
        <f t="shared" ca="1" si="22"/>
        <v>149002.95367993074</v>
      </c>
      <c r="FX21" s="36">
        <f t="shared" ca="1" si="22"/>
        <v>154963.07182712798</v>
      </c>
      <c r="FY21" s="36">
        <f t="shared" ca="1" si="22"/>
        <v>161161.59470021311</v>
      </c>
      <c r="FZ21" s="36">
        <f t="shared" ca="1" si="22"/>
        <v>167608.05848822166</v>
      </c>
      <c r="GA21" s="36">
        <f t="shared" ca="1" si="22"/>
        <v>174312.38082775054</v>
      </c>
      <c r="GB21" s="36">
        <f t="shared" ca="1" si="22"/>
        <v>181284.87606086055</v>
      </c>
      <c r="GC21" s="36">
        <f t="shared" ca="1" si="22"/>
        <v>188536.27110329497</v>
      </c>
      <c r="GD21" s="36">
        <f t="shared" ca="1" si="22"/>
        <v>196077.72194742682</v>
      </c>
      <c r="GE21" s="36">
        <f t="shared" ca="1" si="22"/>
        <v>203920.83082532388</v>
      </c>
      <c r="GF21" s="36">
        <f t="shared" ca="1" si="22"/>
        <v>212077.66405833687</v>
      </c>
      <c r="GG21" s="36">
        <f t="shared" ca="1" si="22"/>
        <v>220560.77062067034</v>
      </c>
      <c r="GH21" s="36">
        <f t="shared" ca="1" si="22"/>
        <v>229383.20144549716</v>
      </c>
      <c r="GI21" s="36">
        <f t="shared" ca="1" si="22"/>
        <v>238558.52950331708</v>
      </c>
      <c r="GJ21" s="36">
        <f t="shared" ca="1" si="22"/>
        <v>248100.87068344979</v>
      </c>
      <c r="GK21" s="36">
        <f t="shared" ca="1" si="22"/>
        <v>258024.90551078779</v>
      </c>
      <c r="GL21" s="36">
        <f t="shared" ca="1" si="22"/>
        <v>268345.90173121932</v>
      </c>
      <c r="GM21" s="36">
        <f t="shared" ca="1" si="22"/>
        <v>279079.73780046811</v>
      </c>
      <c r="GN21" s="36">
        <f t="shared" ca="1" si="22"/>
        <v>290242.92731248686</v>
      </c>
      <c r="GO21" s="36">
        <f t="shared" ca="1" si="22"/>
        <v>301852.64440498641</v>
      </c>
      <c r="GP21" s="36">
        <f t="shared" ca="1" si="22"/>
        <v>313926.7501811859</v>
      </c>
      <c r="GQ21" s="36">
        <f t="shared" ca="1" si="22"/>
        <v>326483.82018843334</v>
      </c>
      <c r="GR21" s="36">
        <f t="shared" ca="1" si="22"/>
        <v>339543.1729959707</v>
      </c>
      <c r="GS21" s="36">
        <f t="shared" ref="GS21:GY21" ca="1" si="23">GS19+GS20</f>
        <v>353124.89991580951</v>
      </c>
      <c r="GT21" s="36">
        <f t="shared" ca="1" si="23"/>
        <v>367249.89591244189</v>
      </c>
      <c r="GU21" s="36">
        <f t="shared" ca="1" si="23"/>
        <v>381939.89174893958</v>
      </c>
      <c r="GV21" s="36">
        <f t="shared" ca="1" si="23"/>
        <v>397217.48741889716</v>
      </c>
      <c r="GW21" s="36">
        <f t="shared" ca="1" si="23"/>
        <v>413106.18691565306</v>
      </c>
      <c r="GX21" s="36">
        <f t="shared" ca="1" si="23"/>
        <v>429630.43439227919</v>
      </c>
      <c r="GY21" s="36">
        <f t="shared" ca="1" si="23"/>
        <v>446815.65176797035</v>
      </c>
    </row>
    <row r="23" spans="1:207">
      <c r="B23" s="18" t="s">
        <v>75</v>
      </c>
      <c r="E23" s="22">
        <f>E3</f>
        <v>0.18</v>
      </c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</row>
    <row r="24" spans="1:207">
      <c r="B24" s="18" t="s">
        <v>91</v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</row>
    <row r="25" spans="1:207">
      <c r="B25" s="18" t="s">
        <v>92</v>
      </c>
      <c r="E25" s="22">
        <f>E11</f>
        <v>0.3</v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</row>
    <row r="26" spans="1:207">
      <c r="B26" s="18" t="s">
        <v>93</v>
      </c>
      <c r="G26" s="34">
        <f>E13</f>
        <v>50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</row>
    <row r="28" spans="1:207" s="31" customFormat="1">
      <c r="A28" s="31" t="s">
        <v>94</v>
      </c>
    </row>
    <row r="29" spans="1:207">
      <c r="B29" s="18" t="s">
        <v>8</v>
      </c>
      <c r="H29" s="34">
        <f ca="1">H26</f>
        <v>57.244539578665666</v>
      </c>
      <c r="I29" s="34">
        <f t="shared" ref="I29:BT29" ca="1" si="24">I26</f>
        <v>59.534321161812287</v>
      </c>
      <c r="J29" s="34">
        <f t="shared" ca="1" si="24"/>
        <v>61.915694008284788</v>
      </c>
      <c r="K29" s="34">
        <f t="shared" ca="1" si="24"/>
        <v>64.392321768616185</v>
      </c>
      <c r="L29" s="34">
        <f t="shared" ca="1" si="24"/>
        <v>66.968014639360831</v>
      </c>
      <c r="M29" s="34">
        <f t="shared" ca="1" si="24"/>
        <v>69.64673522493527</v>
      </c>
      <c r="N29" s="34">
        <f t="shared" ca="1" si="24"/>
        <v>72.432604633932698</v>
      </c>
      <c r="O29" s="34">
        <f t="shared" ca="1" si="24"/>
        <v>75.329908819289997</v>
      </c>
      <c r="P29" s="34">
        <f t="shared" ca="1" si="24"/>
        <v>78.343105172061613</v>
      </c>
      <c r="Q29" s="34">
        <f t="shared" ca="1" si="24"/>
        <v>81.476829378944075</v>
      </c>
      <c r="R29" s="34">
        <f t="shared" ca="1" si="24"/>
        <v>84.735902554101855</v>
      </c>
      <c r="S29" s="34">
        <f t="shared" ca="1" si="24"/>
        <v>88.125338656265924</v>
      </c>
      <c r="T29" s="34">
        <f t="shared" ca="1" si="24"/>
        <v>91.650352202516586</v>
      </c>
      <c r="U29" s="34">
        <f t="shared" ca="1" si="24"/>
        <v>95.316366290617253</v>
      </c>
      <c r="V29" s="34">
        <f t="shared" ca="1" si="24"/>
        <v>99.129020942241937</v>
      </c>
      <c r="W29" s="34">
        <f t="shared" ca="1" si="24"/>
        <v>103.09418177993163</v>
      </c>
      <c r="X29" s="34">
        <f t="shared" ca="1" si="24"/>
        <v>107.2179490511289</v>
      </c>
      <c r="Y29" s="34">
        <f t="shared" ca="1" si="24"/>
        <v>111.50666701317405</v>
      </c>
      <c r="Z29" s="34">
        <f t="shared" ca="1" si="24"/>
        <v>115.96693369370104</v>
      </c>
      <c r="AA29" s="34">
        <f t="shared" ca="1" si="24"/>
        <v>120.60561104144909</v>
      </c>
      <c r="AB29" s="34">
        <f t="shared" ca="1" si="24"/>
        <v>125.42983548310704</v>
      </c>
      <c r="AC29" s="34">
        <f t="shared" ca="1" si="24"/>
        <v>130.44702890243133</v>
      </c>
      <c r="AD29" s="34">
        <f t="shared" ca="1" si="24"/>
        <v>135.66491005852859</v>
      </c>
      <c r="AE29" s="34">
        <f t="shared" ca="1" si="24"/>
        <v>141.09150646086974</v>
      </c>
      <c r="AF29" s="34">
        <f t="shared" ca="1" si="24"/>
        <v>146.73516671930452</v>
      </c>
      <c r="AG29" s="34">
        <f t="shared" ca="1" si="24"/>
        <v>152.60457338807674</v>
      </c>
      <c r="AH29" s="34">
        <f t="shared" ca="1" si="24"/>
        <v>158.70875632359983</v>
      </c>
      <c r="AI29" s="34">
        <f t="shared" ca="1" si="24"/>
        <v>165.05710657654384</v>
      </c>
      <c r="AJ29" s="34">
        <f t="shared" ca="1" si="24"/>
        <v>171.65939083960563</v>
      </c>
      <c r="AK29" s="34">
        <f t="shared" ca="1" si="24"/>
        <v>178.52576647318989</v>
      </c>
      <c r="AL29" s="34">
        <f t="shared" ca="1" si="24"/>
        <v>185.66679713211749</v>
      </c>
      <c r="AM29" s="34">
        <f t="shared" ca="1" si="24"/>
        <v>193.09346901740219</v>
      </c>
      <c r="AN29" s="34">
        <f t="shared" ca="1" si="24"/>
        <v>200.81720777809826</v>
      </c>
      <c r="AO29" s="34">
        <f t="shared" ca="1" si="24"/>
        <v>208.84989608922217</v>
      </c>
      <c r="AP29" s="34">
        <f t="shared" ca="1" si="24"/>
        <v>217.20389193279112</v>
      </c>
      <c r="AQ29" s="34">
        <f t="shared" ca="1" si="24"/>
        <v>225.89204761010279</v>
      </c>
      <c r="AR29" s="34">
        <f t="shared" ca="1" si="24"/>
        <v>234.92772951450695</v>
      </c>
      <c r="AS29" s="34">
        <f t="shared" ca="1" si="24"/>
        <v>244.32483869508724</v>
      </c>
      <c r="AT29" s="34">
        <f t="shared" ca="1" si="24"/>
        <v>254.09783224289075</v>
      </c>
      <c r="AU29" s="34">
        <f t="shared" ca="1" si="24"/>
        <v>264.26174553260637</v>
      </c>
      <c r="AV29" s="34">
        <f t="shared" ca="1" si="24"/>
        <v>274.83221535391067</v>
      </c>
      <c r="AW29" s="34">
        <f t="shared" ca="1" si="24"/>
        <v>285.8255039680671</v>
      </c>
      <c r="AX29" s="34">
        <f t="shared" ca="1" si="24"/>
        <v>297.25852412678978</v>
      </c>
      <c r="AY29" s="34">
        <f t="shared" ca="1" si="24"/>
        <v>309.14886509186141</v>
      </c>
      <c r="AZ29" s="34">
        <f t="shared" ca="1" si="24"/>
        <v>321.51481969553589</v>
      </c>
      <c r="BA29" s="34">
        <f t="shared" ca="1" si="24"/>
        <v>334.37541248335737</v>
      </c>
      <c r="BB29" s="34">
        <f t="shared" ca="1" si="24"/>
        <v>347.75042898269169</v>
      </c>
      <c r="BC29" s="34">
        <f t="shared" ca="1" si="24"/>
        <v>361.66044614199939</v>
      </c>
      <c r="BD29" s="34">
        <f t="shared" ca="1" si="24"/>
        <v>376.12686398767931</v>
      </c>
      <c r="BE29" s="34">
        <f t="shared" ca="1" si="24"/>
        <v>391.17193854718647</v>
      </c>
      <c r="BF29" s="34">
        <f t="shared" ca="1" si="24"/>
        <v>406.81881608907401</v>
      </c>
      <c r="BG29" s="34">
        <f t="shared" ca="1" si="24"/>
        <v>423.09156873263703</v>
      </c>
      <c r="BH29" s="34">
        <f t="shared" ca="1" si="24"/>
        <v>440.01523148194258</v>
      </c>
      <c r="BI29" s="34">
        <f t="shared" ca="1" si="24"/>
        <v>457.61584074122027</v>
      </c>
      <c r="BJ29" s="34">
        <f t="shared" ca="1" si="24"/>
        <v>475.9204743708691</v>
      </c>
      <c r="BK29" s="34">
        <f t="shared" ca="1" si="24"/>
        <v>494.95729334570387</v>
      </c>
      <c r="BL29" s="34">
        <f t="shared" ca="1" si="24"/>
        <v>514.75558507953224</v>
      </c>
      <c r="BM29" s="34">
        <f t="shared" ca="1" si="24"/>
        <v>535.34580848271344</v>
      </c>
      <c r="BN29" s="34">
        <f t="shared" ca="1" si="24"/>
        <v>556.75964082202211</v>
      </c>
      <c r="BO29" s="34">
        <f t="shared" ca="1" si="24"/>
        <v>579.03002645490301</v>
      </c>
      <c r="BP29" s="34">
        <f t="shared" ca="1" si="24"/>
        <v>602.19122751309919</v>
      </c>
      <c r="BQ29" s="34">
        <f t="shared" ca="1" si="24"/>
        <v>626.27887661362308</v>
      </c>
      <c r="BR29" s="34">
        <f t="shared" ca="1" si="24"/>
        <v>651.33003167816798</v>
      </c>
      <c r="BS29" s="34">
        <f t="shared" ca="1" si="24"/>
        <v>677.38323294529482</v>
      </c>
      <c r="BT29" s="34">
        <f t="shared" ca="1" si="24"/>
        <v>704.4785622631066</v>
      </c>
      <c r="BU29" s="34">
        <f t="shared" ref="BU29:EF29" ca="1" si="25">BU26</f>
        <v>732.65770475363081</v>
      </c>
      <c r="BV29" s="34">
        <f t="shared" ca="1" si="25"/>
        <v>761.9640129437762</v>
      </c>
      <c r="BW29" s="34">
        <f t="shared" ca="1" si="25"/>
        <v>792.44257346152722</v>
      </c>
      <c r="BX29" s="34">
        <f t="shared" ca="1" si="25"/>
        <v>824.14027639998835</v>
      </c>
      <c r="BY29" s="34">
        <f t="shared" ca="1" si="25"/>
        <v>857.10588745598818</v>
      </c>
      <c r="BZ29" s="34">
        <f t="shared" ca="1" si="25"/>
        <v>891.39012295422765</v>
      </c>
      <c r="CA29" s="34">
        <f t="shared" ca="1" si="25"/>
        <v>927.04572787239681</v>
      </c>
      <c r="CB29" s="34">
        <f t="shared" ca="1" si="25"/>
        <v>964.12755698729279</v>
      </c>
      <c r="CC29" s="34">
        <f t="shared" ca="1" si="25"/>
        <v>1002.6926592667845</v>
      </c>
      <c r="CD29" s="34">
        <f t="shared" ca="1" si="25"/>
        <v>1042.8003656374558</v>
      </c>
      <c r="CE29" s="34">
        <f t="shared" ca="1" si="25"/>
        <v>1084.5123802629544</v>
      </c>
      <c r="CF29" s="34">
        <f t="shared" ca="1" si="25"/>
        <v>1127.8928754734725</v>
      </c>
      <c r="CG29" s="34">
        <f t="shared" ca="1" si="25"/>
        <v>1173.0085904924113</v>
      </c>
      <c r="CH29" s="34">
        <f t="shared" ca="1" si="25"/>
        <v>1219.9289341121078</v>
      </c>
      <c r="CI29" s="34">
        <f t="shared" ca="1" si="25"/>
        <v>1268.726091476592</v>
      </c>
      <c r="CJ29" s="34">
        <f t="shared" ca="1" si="25"/>
        <v>1319.4751351356558</v>
      </c>
      <c r="CK29" s="34">
        <f t="shared" ca="1" si="25"/>
        <v>1372.2541405410825</v>
      </c>
      <c r="CL29" s="34">
        <f t="shared" ca="1" si="25"/>
        <v>1427.1443061627256</v>
      </c>
      <c r="CM29" s="34">
        <f t="shared" ca="1" si="25"/>
        <v>1484.2300784092349</v>
      </c>
      <c r="CN29" s="34">
        <f t="shared" ca="1" si="25"/>
        <v>1543.5992815456043</v>
      </c>
      <c r="CO29" s="34">
        <f t="shared" ca="1" si="25"/>
        <v>1605.3432528074284</v>
      </c>
      <c r="CP29" s="34">
        <f t="shared" ca="1" si="25"/>
        <v>1669.5569829197257</v>
      </c>
      <c r="CQ29" s="34">
        <f t="shared" ca="1" si="25"/>
        <v>1736.3392622365145</v>
      </c>
      <c r="CR29" s="34">
        <f t="shared" ca="1" si="25"/>
        <v>1805.7928327259754</v>
      </c>
      <c r="CS29" s="34">
        <f t="shared" ca="1" si="25"/>
        <v>1878.0245460350145</v>
      </c>
      <c r="CT29" s="34">
        <f t="shared" ca="1" si="25"/>
        <v>1953.1455278764154</v>
      </c>
      <c r="CU29" s="34">
        <f t="shared" ca="1" si="25"/>
        <v>2031.2713489914722</v>
      </c>
      <c r="CV29" s="34">
        <f t="shared" ca="1" si="25"/>
        <v>2112.5222029511315</v>
      </c>
      <c r="CW29" s="34">
        <f t="shared" ca="1" si="25"/>
        <v>2197.0230910691766</v>
      </c>
      <c r="CX29" s="34">
        <f t="shared" ca="1" si="25"/>
        <v>2284.904014711944</v>
      </c>
      <c r="CY29" s="34">
        <f t="shared" ca="1" si="25"/>
        <v>2376.3001753004219</v>
      </c>
      <c r="CZ29" s="34">
        <f t="shared" ca="1" si="25"/>
        <v>2471.3521823124393</v>
      </c>
      <c r="DA29" s="34">
        <f t="shared" ca="1" si="25"/>
        <v>2570.206269604937</v>
      </c>
      <c r="DB29" s="34">
        <f t="shared" ca="1" si="25"/>
        <v>2673.0145203891348</v>
      </c>
      <c r="DC29" s="34">
        <f t="shared" ca="1" si="25"/>
        <v>2779.9351012047005</v>
      </c>
      <c r="DD29" s="34">
        <f t="shared" ca="1" si="25"/>
        <v>2891.1325052528882</v>
      </c>
      <c r="DE29" s="34">
        <f t="shared" ca="1" si="25"/>
        <v>3006.7778054630039</v>
      </c>
      <c r="DF29" s="34">
        <f t="shared" ca="1" si="25"/>
        <v>3127.0489176815249</v>
      </c>
      <c r="DG29" s="34">
        <f t="shared" ca="1" si="25"/>
        <v>3252.1308743887853</v>
      </c>
      <c r="DH29" s="34">
        <f t="shared" ca="1" si="25"/>
        <v>3382.2161093643376</v>
      </c>
      <c r="DI29" s="34">
        <f t="shared" ca="1" si="25"/>
        <v>3517.5047537389109</v>
      </c>
      <c r="DJ29" s="34">
        <f t="shared" ca="1" si="25"/>
        <v>3658.2049438884678</v>
      </c>
      <c r="DK29" s="34">
        <f t="shared" ca="1" si="25"/>
        <v>3804.5331416440076</v>
      </c>
      <c r="DL29" s="34">
        <f t="shared" ca="1" si="25"/>
        <v>3956.7144673097673</v>
      </c>
      <c r="DM29" s="34">
        <f t="shared" ca="1" si="25"/>
        <v>4114.9830460021585</v>
      </c>
      <c r="DN29" s="34">
        <f t="shared" ca="1" si="25"/>
        <v>4279.5823678422448</v>
      </c>
      <c r="DO29" s="34">
        <f t="shared" ca="1" si="25"/>
        <v>4450.7656625559348</v>
      </c>
      <c r="DP29" s="34">
        <f t="shared" ca="1" si="25"/>
        <v>4628.796289058173</v>
      </c>
      <c r="DQ29" s="34">
        <f t="shared" ca="1" si="25"/>
        <v>4813.9481406204995</v>
      </c>
      <c r="DR29" s="34">
        <f t="shared" ca="1" si="25"/>
        <v>5006.5060662453197</v>
      </c>
      <c r="DS29" s="34">
        <f t="shared" ca="1" si="25"/>
        <v>5206.7663088951322</v>
      </c>
      <c r="DT29" s="34">
        <f t="shared" ca="1" si="25"/>
        <v>5415.0369612509385</v>
      </c>
      <c r="DU29" s="34">
        <f t="shared" ca="1" si="25"/>
        <v>5631.638439700977</v>
      </c>
      <c r="DV29" s="34">
        <f t="shared" ca="1" si="25"/>
        <v>5856.9039772890164</v>
      </c>
      <c r="DW29" s="34">
        <f t="shared" ca="1" si="25"/>
        <v>6091.1801363805771</v>
      </c>
      <c r="DX29" s="34">
        <f t="shared" ca="1" si="25"/>
        <v>6334.8273418358012</v>
      </c>
      <c r="DY29" s="34">
        <f t="shared" ca="1" si="25"/>
        <v>6588.2204355092344</v>
      </c>
      <c r="DZ29" s="34">
        <f t="shared" ca="1" si="25"/>
        <v>6851.7492529296042</v>
      </c>
      <c r="EA29" s="34">
        <f t="shared" ca="1" si="25"/>
        <v>7125.8192230467894</v>
      </c>
      <c r="EB29" s="34">
        <f t="shared" ca="1" si="25"/>
        <v>7410.8519919686605</v>
      </c>
      <c r="EC29" s="34">
        <f t="shared" ca="1" si="25"/>
        <v>7707.2860716474079</v>
      </c>
      <c r="ED29" s="34">
        <f t="shared" ca="1" si="25"/>
        <v>8015.5775145133048</v>
      </c>
      <c r="EE29" s="34">
        <f t="shared" ca="1" si="25"/>
        <v>8336.2006150938359</v>
      </c>
      <c r="EF29" s="34">
        <f t="shared" ca="1" si="25"/>
        <v>8669.6486396975906</v>
      </c>
      <c r="EG29" s="34">
        <f t="shared" ref="EG29:GR29" ca="1" si="26">EG26</f>
        <v>9016.4345852854967</v>
      </c>
      <c r="EH29" s="34">
        <f t="shared" ca="1" si="26"/>
        <v>9377.0919686969155</v>
      </c>
      <c r="EI29" s="34">
        <f t="shared" ca="1" si="26"/>
        <v>9752.1756474447939</v>
      </c>
      <c r="EJ29" s="34">
        <f t="shared" ca="1" si="26"/>
        <v>10142.262673342586</v>
      </c>
      <c r="EK29" s="34">
        <f t="shared" ca="1" si="26"/>
        <v>10547.95318027629</v>
      </c>
      <c r="EL29" s="34">
        <f t="shared" ca="1" si="26"/>
        <v>10969.871307487341</v>
      </c>
      <c r="EM29" s="34">
        <f t="shared" ca="1" si="26"/>
        <v>11408.666159786835</v>
      </c>
      <c r="EN29" s="34">
        <f t="shared" ca="1" si="26"/>
        <v>11865.012806178309</v>
      </c>
      <c r="EO29" s="34">
        <f t="shared" ca="1" si="26"/>
        <v>12339.613318425441</v>
      </c>
      <c r="EP29" s="34">
        <f t="shared" ca="1" si="26"/>
        <v>12833.197851162458</v>
      </c>
      <c r="EQ29" s="34">
        <f t="shared" ca="1" si="26"/>
        <v>13346.525765208959</v>
      </c>
      <c r="ER29" s="34">
        <f t="shared" ca="1" si="26"/>
        <v>13880.386795817318</v>
      </c>
      <c r="ES29" s="34">
        <f t="shared" ca="1" si="26"/>
        <v>14435.602267650011</v>
      </c>
      <c r="ET29" s="34">
        <f t="shared" ca="1" si="26"/>
        <v>15013.026358356012</v>
      </c>
      <c r="EU29" s="34">
        <f t="shared" ca="1" si="26"/>
        <v>15613.547412690255</v>
      </c>
      <c r="EV29" s="34">
        <f t="shared" ca="1" si="26"/>
        <v>16238.089309197869</v>
      </c>
      <c r="EW29" s="34">
        <f t="shared" ca="1" si="26"/>
        <v>16887.612881565783</v>
      </c>
      <c r="EX29" s="34">
        <f t="shared" ca="1" si="26"/>
        <v>17563.117396828413</v>
      </c>
      <c r="EY29" s="34">
        <f t="shared" ca="1" si="26"/>
        <v>18265.642092701553</v>
      </c>
      <c r="EZ29" s="34">
        <f t="shared" ca="1" si="26"/>
        <v>18996.267776409615</v>
      </c>
      <c r="FA29" s="34">
        <f t="shared" ca="1" si="26"/>
        <v>19756.118487466003</v>
      </c>
      <c r="FB29" s="34">
        <f t="shared" ca="1" si="26"/>
        <v>20546.36322696464</v>
      </c>
      <c r="FC29" s="34">
        <f t="shared" ca="1" si="26"/>
        <v>21368.217756043232</v>
      </c>
      <c r="FD29" s="34">
        <f t="shared" ca="1" si="26"/>
        <v>22222.946466284964</v>
      </c>
      <c r="FE29" s="34">
        <f t="shared" ca="1" si="26"/>
        <v>23111.864324936363</v>
      </c>
      <c r="FF29" s="34">
        <f t="shared" ca="1" si="26"/>
        <v>24036.338897933816</v>
      </c>
      <c r="FG29" s="34">
        <f t="shared" ca="1" si="26"/>
        <v>24997.792453851172</v>
      </c>
      <c r="FH29" s="34">
        <f t="shared" ca="1" si="26"/>
        <v>25997.704152005219</v>
      </c>
      <c r="FI29" s="34">
        <f t="shared" ca="1" si="26"/>
        <v>27037.61231808543</v>
      </c>
      <c r="FJ29" s="34">
        <f t="shared" ca="1" si="26"/>
        <v>28119.116810808853</v>
      </c>
      <c r="FK29" s="34">
        <f t="shared" ca="1" si="26"/>
        <v>29243.881483241206</v>
      </c>
      <c r="FL29" s="34">
        <f t="shared" ca="1" si="26"/>
        <v>30413.636742570859</v>
      </c>
      <c r="FM29" s="34">
        <f t="shared" ca="1" si="26"/>
        <v>31630.182212273692</v>
      </c>
      <c r="FN29" s="34">
        <f t="shared" ca="1" si="26"/>
        <v>32895.389500764642</v>
      </c>
      <c r="FO29" s="34">
        <f t="shared" ca="1" si="26"/>
        <v>34211.205080795226</v>
      </c>
      <c r="FP29" s="34">
        <f t="shared" ca="1" si="26"/>
        <v>35579.653284027045</v>
      </c>
      <c r="FQ29" s="34">
        <f t="shared" ca="1" si="26"/>
        <v>37002.839415388131</v>
      </c>
      <c r="FR29" s="34">
        <f t="shared" ca="1" si="26"/>
        <v>38482.952992003658</v>
      </c>
      <c r="FS29" s="34">
        <f t="shared" ca="1" si="26"/>
        <v>40022.271111683804</v>
      </c>
      <c r="FT29" s="34">
        <f t="shared" ca="1" si="26"/>
        <v>41623.161956151154</v>
      </c>
      <c r="FU29" s="34">
        <f t="shared" ca="1" si="26"/>
        <v>43288.088434397214</v>
      </c>
      <c r="FV29" s="34">
        <f t="shared" ca="1" si="26"/>
        <v>45019.611971773098</v>
      </c>
      <c r="FW29" s="34">
        <f t="shared" ca="1" si="26"/>
        <v>46820.396450644024</v>
      </c>
      <c r="FX29" s="34">
        <f t="shared" ca="1" si="26"/>
        <v>48693.212308669797</v>
      </c>
      <c r="FY29" s="34">
        <f t="shared" ca="1" si="26"/>
        <v>50640.940801016579</v>
      </c>
      <c r="FZ29" s="34">
        <f t="shared" ca="1" si="26"/>
        <v>52666.57843305725</v>
      </c>
      <c r="GA29" s="34">
        <f t="shared" ca="1" si="26"/>
        <v>54773.241570379541</v>
      </c>
      <c r="GB29" s="34">
        <f t="shared" ca="1" si="26"/>
        <v>56964.171233194735</v>
      </c>
      <c r="GC29" s="34">
        <f t="shared" ca="1" si="26"/>
        <v>59242.738082522526</v>
      </c>
      <c r="GD29" s="34">
        <f t="shared" ca="1" si="26"/>
        <v>61612.447605823421</v>
      </c>
      <c r="GE29" s="34">
        <f t="shared" ca="1" si="26"/>
        <v>64076.945510056365</v>
      </c>
      <c r="GF29" s="34">
        <f t="shared" ca="1" si="26"/>
        <v>66640.023330458615</v>
      </c>
      <c r="GG29" s="34">
        <f t="shared" ca="1" si="26"/>
        <v>69305.624263676975</v>
      </c>
      <c r="GH29" s="34">
        <f t="shared" ca="1" si="26"/>
        <v>72077.849234224064</v>
      </c>
      <c r="GI29" s="34">
        <f t="shared" ca="1" si="26"/>
        <v>74960.963203593026</v>
      </c>
      <c r="GJ29" s="34">
        <f t="shared" ca="1" si="26"/>
        <v>77959.401731736754</v>
      </c>
      <c r="GK29" s="34">
        <f t="shared" ca="1" si="26"/>
        <v>81077.777801006232</v>
      </c>
      <c r="GL29" s="34">
        <f t="shared" ca="1" si="26"/>
        <v>84320.888913046481</v>
      </c>
      <c r="GM29" s="34">
        <f t="shared" ca="1" si="26"/>
        <v>87693.724469568348</v>
      </c>
      <c r="GN29" s="34">
        <f t="shared" ca="1" si="26"/>
        <v>91201.473448351098</v>
      </c>
      <c r="GO29" s="34">
        <f t="shared" ca="1" si="26"/>
        <v>94849.532386285136</v>
      </c>
      <c r="GP29" s="34">
        <f t="shared" ca="1" si="26"/>
        <v>98643.513681736556</v>
      </c>
      <c r="GQ29" s="34">
        <f t="shared" ca="1" si="26"/>
        <v>102589.25422900604</v>
      </c>
      <c r="GR29" s="34">
        <f t="shared" ca="1" si="26"/>
        <v>106692.8243981663</v>
      </c>
      <c r="GS29" s="34">
        <f t="shared" ref="GS29:GY29" ca="1" si="27">GS26</f>
        <v>110960.53737409295</v>
      </c>
      <c r="GT29" s="34">
        <f t="shared" ca="1" si="27"/>
        <v>115398.95886905666</v>
      </c>
      <c r="GU29" s="34">
        <f t="shared" ca="1" si="27"/>
        <v>120014.91722381892</v>
      </c>
      <c r="GV29" s="34">
        <f t="shared" ca="1" si="27"/>
        <v>124815.5139127717</v>
      </c>
      <c r="GW29" s="34">
        <f t="shared" ca="1" si="27"/>
        <v>129808.13446928255</v>
      </c>
      <c r="GX29" s="34">
        <f t="shared" ca="1" si="27"/>
        <v>135000.45984805387</v>
      </c>
      <c r="GY29" s="34">
        <f t="shared" ca="1" si="27"/>
        <v>140400.47824197603</v>
      </c>
    </row>
    <row r="30" spans="1:207">
      <c r="B30" s="18" t="s">
        <v>95</v>
      </c>
      <c r="H30" s="34">
        <f ca="1">H17</f>
        <v>23.804539578665672</v>
      </c>
      <c r="I30" s="34">
        <f t="shared" ref="I30:BT30" ca="1" si="28">I17</f>
        <v>24.756721161812298</v>
      </c>
      <c r="J30" s="34">
        <f t="shared" ca="1" si="28"/>
        <v>25.746990008284794</v>
      </c>
      <c r="K30" s="34">
        <f t="shared" ca="1" si="28"/>
        <v>26.776869608616188</v>
      </c>
      <c r="L30" s="34">
        <f t="shared" ca="1" si="28"/>
        <v>27.847944392960834</v>
      </c>
      <c r="M30" s="34">
        <f t="shared" ca="1" si="28"/>
        <v>28.961862168679271</v>
      </c>
      <c r="N30" s="34">
        <f t="shared" ca="1" si="28"/>
        <v>30.120336655426446</v>
      </c>
      <c r="O30" s="34">
        <f t="shared" ca="1" si="28"/>
        <v>31.325150121643503</v>
      </c>
      <c r="P30" s="34">
        <f t="shared" ca="1" si="28"/>
        <v>32.578156126509242</v>
      </c>
      <c r="Q30" s="34">
        <f t="shared" ca="1" si="28"/>
        <v>33.881282371569618</v>
      </c>
      <c r="R30" s="34">
        <f t="shared" ca="1" si="28"/>
        <v>35.236533666432408</v>
      </c>
      <c r="S30" s="34">
        <f t="shared" ca="1" si="28"/>
        <v>36.645995013089703</v>
      </c>
      <c r="T30" s="34">
        <f t="shared" ca="1" si="28"/>
        <v>38.111834813613299</v>
      </c>
      <c r="U30" s="34">
        <f t="shared" ca="1" si="28"/>
        <v>39.636308206157835</v>
      </c>
      <c r="V30" s="34">
        <f t="shared" ca="1" si="28"/>
        <v>41.221760534404147</v>
      </c>
      <c r="W30" s="34">
        <f t="shared" ca="1" si="28"/>
        <v>42.870630955780321</v>
      </c>
      <c r="X30" s="34">
        <f t="shared" ca="1" si="28"/>
        <v>44.585456194011535</v>
      </c>
      <c r="Y30" s="34">
        <f t="shared" ca="1" si="28"/>
        <v>46.368874441771993</v>
      </c>
      <c r="Z30" s="34">
        <f t="shared" ca="1" si="28"/>
        <v>48.223629419442879</v>
      </c>
      <c r="AA30" s="34">
        <f t="shared" ca="1" si="28"/>
        <v>50.152574596220596</v>
      </c>
      <c r="AB30" s="34">
        <f t="shared" ca="1" si="28"/>
        <v>52.158677580069423</v>
      </c>
      <c r="AC30" s="34">
        <f t="shared" ca="1" si="28"/>
        <v>54.245024683272199</v>
      </c>
      <c r="AD30" s="34">
        <f t="shared" ca="1" si="28"/>
        <v>56.414825670603093</v>
      </c>
      <c r="AE30" s="34">
        <f t="shared" ca="1" si="28"/>
        <v>58.671418697427214</v>
      </c>
      <c r="AF30" s="34">
        <f t="shared" ca="1" si="28"/>
        <v>61.018275445324306</v>
      </c>
      <c r="AG30" s="34">
        <f t="shared" ca="1" si="28"/>
        <v>63.459006463137293</v>
      </c>
      <c r="AH30" s="34">
        <f t="shared" ca="1" si="28"/>
        <v>65.997366721662786</v>
      </c>
      <c r="AI30" s="34">
        <f t="shared" ca="1" si="28"/>
        <v>68.637261390529318</v>
      </c>
      <c r="AJ30" s="34">
        <f t="shared" ca="1" si="28"/>
        <v>71.382751846150498</v>
      </c>
      <c r="AK30" s="34">
        <f t="shared" ca="1" si="28"/>
        <v>74.238061919996539</v>
      </c>
      <c r="AL30" s="34">
        <f t="shared" ca="1" si="28"/>
        <v>77.207584396796392</v>
      </c>
      <c r="AM30" s="34">
        <f t="shared" ca="1" si="28"/>
        <v>80.295887772668252</v>
      </c>
      <c r="AN30" s="34">
        <f t="shared" ca="1" si="28"/>
        <v>83.50772328357499</v>
      </c>
      <c r="AO30" s="34">
        <f t="shared" ca="1" si="28"/>
        <v>86.848032214917978</v>
      </c>
      <c r="AP30" s="34">
        <f t="shared" ca="1" si="28"/>
        <v>90.32195350351472</v>
      </c>
      <c r="AQ30" s="34">
        <f t="shared" ca="1" si="28"/>
        <v>93.934831643655301</v>
      </c>
      <c r="AR30" s="34">
        <f t="shared" ca="1" si="28"/>
        <v>97.692224909401546</v>
      </c>
      <c r="AS30" s="34">
        <f t="shared" ca="1" si="28"/>
        <v>101.59991390577761</v>
      </c>
      <c r="AT30" s="34">
        <f t="shared" ca="1" si="28"/>
        <v>105.66391046200872</v>
      </c>
      <c r="AU30" s="34">
        <f t="shared" ca="1" si="28"/>
        <v>109.89046688048907</v>
      </c>
      <c r="AV30" s="34">
        <f t="shared" ca="1" si="28"/>
        <v>114.28608555570864</v>
      </c>
      <c r="AW30" s="34">
        <f t="shared" ca="1" si="28"/>
        <v>118.85752897793699</v>
      </c>
      <c r="AX30" s="34">
        <f t="shared" ca="1" si="28"/>
        <v>123.61183013705447</v>
      </c>
      <c r="AY30" s="34">
        <f t="shared" ca="1" si="28"/>
        <v>128.55630334253667</v>
      </c>
      <c r="AZ30" s="34">
        <f t="shared" ca="1" si="28"/>
        <v>133.69855547623814</v>
      </c>
      <c r="BA30" s="34">
        <f t="shared" ca="1" si="28"/>
        <v>139.04649769528768</v>
      </c>
      <c r="BB30" s="34">
        <f t="shared" ca="1" si="28"/>
        <v>144.60835760309919</v>
      </c>
      <c r="BC30" s="34">
        <f t="shared" ca="1" si="28"/>
        <v>150.39269190722317</v>
      </c>
      <c r="BD30" s="34">
        <f t="shared" ca="1" si="28"/>
        <v>156.40839958351211</v>
      </c>
      <c r="BE30" s="34">
        <f t="shared" ca="1" si="28"/>
        <v>162.66473556685256</v>
      </c>
      <c r="BF30" s="34">
        <f t="shared" ca="1" si="28"/>
        <v>169.17132498952671</v>
      </c>
      <c r="BG30" s="34">
        <f t="shared" ca="1" si="28"/>
        <v>175.9381779891078</v>
      </c>
      <c r="BH30" s="34">
        <f t="shared" ca="1" si="28"/>
        <v>182.97570510867214</v>
      </c>
      <c r="BI30" s="34">
        <f t="shared" ca="1" si="28"/>
        <v>190.29473331301901</v>
      </c>
      <c r="BJ30" s="34">
        <f t="shared" ca="1" si="28"/>
        <v>197.90652264553978</v>
      </c>
      <c r="BK30" s="34">
        <f t="shared" ca="1" si="28"/>
        <v>205.8227835513614</v>
      </c>
      <c r="BL30" s="34">
        <f t="shared" ca="1" si="28"/>
        <v>214.0556948934159</v>
      </c>
      <c r="BM30" s="34">
        <f t="shared" ca="1" si="28"/>
        <v>222.61792268915255</v>
      </c>
      <c r="BN30" s="34">
        <f t="shared" ca="1" si="28"/>
        <v>231.52263959671868</v>
      </c>
      <c r="BO30" s="34">
        <f t="shared" ca="1" si="28"/>
        <v>240.7835451805874</v>
      </c>
      <c r="BP30" s="34">
        <f t="shared" ca="1" si="28"/>
        <v>250.41488698781092</v>
      </c>
      <c r="BQ30" s="34">
        <f t="shared" ca="1" si="28"/>
        <v>260.43148246732335</v>
      </c>
      <c r="BR30" s="34">
        <f t="shared" ca="1" si="28"/>
        <v>270.8487417660163</v>
      </c>
      <c r="BS30" s="34">
        <f t="shared" ca="1" si="28"/>
        <v>281.68269143665697</v>
      </c>
      <c r="BT30" s="34">
        <f t="shared" ca="1" si="28"/>
        <v>292.94999909412326</v>
      </c>
      <c r="BU30" s="34">
        <f t="shared" ref="BU30:EF30" ca="1" si="29">BU17</f>
        <v>304.66799905788821</v>
      </c>
      <c r="BV30" s="34">
        <f t="shared" ca="1" si="29"/>
        <v>316.85471902020379</v>
      </c>
      <c r="BW30" s="34">
        <f t="shared" ca="1" si="29"/>
        <v>329.52890778101192</v>
      </c>
      <c r="BX30" s="34">
        <f t="shared" ca="1" si="29"/>
        <v>342.71006409225242</v>
      </c>
      <c r="BY30" s="34">
        <f t="shared" ca="1" si="29"/>
        <v>356.41846665594261</v>
      </c>
      <c r="BZ30" s="34">
        <f t="shared" ca="1" si="29"/>
        <v>370.67520532218026</v>
      </c>
      <c r="CA30" s="34">
        <f t="shared" ca="1" si="29"/>
        <v>385.50221353506754</v>
      </c>
      <c r="CB30" s="34">
        <f t="shared" ca="1" si="29"/>
        <v>400.92230207647032</v>
      </c>
      <c r="CC30" s="34">
        <f t="shared" ca="1" si="29"/>
        <v>416.95919415952909</v>
      </c>
      <c r="CD30" s="34">
        <f t="shared" ca="1" si="29"/>
        <v>433.63756192591023</v>
      </c>
      <c r="CE30" s="34">
        <f t="shared" ca="1" si="29"/>
        <v>450.98306440294675</v>
      </c>
      <c r="CF30" s="34">
        <f t="shared" ca="1" si="29"/>
        <v>469.02238697906455</v>
      </c>
      <c r="CG30" s="34">
        <f t="shared" ca="1" si="29"/>
        <v>487.78328245822712</v>
      </c>
      <c r="CH30" s="34">
        <f t="shared" ca="1" si="29"/>
        <v>507.29461375655626</v>
      </c>
      <c r="CI30" s="34">
        <f t="shared" ca="1" si="29"/>
        <v>527.58639830681852</v>
      </c>
      <c r="CJ30" s="34">
        <f t="shared" ca="1" si="29"/>
        <v>548.68985423909135</v>
      </c>
      <c r="CK30" s="34">
        <f t="shared" ca="1" si="29"/>
        <v>570.63744840865502</v>
      </c>
      <c r="CL30" s="34">
        <f t="shared" ca="1" si="29"/>
        <v>593.46294634500123</v>
      </c>
      <c r="CM30" s="34">
        <f t="shared" ca="1" si="29"/>
        <v>617.20146419880132</v>
      </c>
      <c r="CN30" s="34">
        <f t="shared" ca="1" si="29"/>
        <v>641.88952276675343</v>
      </c>
      <c r="CO30" s="34">
        <f t="shared" ca="1" si="29"/>
        <v>667.56510367742362</v>
      </c>
      <c r="CP30" s="34">
        <f t="shared" ca="1" si="29"/>
        <v>694.26770782452047</v>
      </c>
      <c r="CQ30" s="34">
        <f t="shared" ca="1" si="29"/>
        <v>722.03841613750126</v>
      </c>
      <c r="CR30" s="34">
        <f t="shared" ca="1" si="29"/>
        <v>750.91995278300135</v>
      </c>
      <c r="CS30" s="34">
        <f t="shared" ca="1" si="29"/>
        <v>780.95675089432154</v>
      </c>
      <c r="CT30" s="34">
        <f t="shared" ca="1" si="29"/>
        <v>812.19502093009453</v>
      </c>
      <c r="CU30" s="34">
        <f t="shared" ca="1" si="29"/>
        <v>844.68282176729849</v>
      </c>
      <c r="CV30" s="34">
        <f t="shared" ca="1" si="29"/>
        <v>878.47013463799044</v>
      </c>
      <c r="CW30" s="34">
        <f t="shared" ca="1" si="29"/>
        <v>913.60894002351017</v>
      </c>
      <c r="CX30" s="34">
        <f t="shared" ca="1" si="29"/>
        <v>950.15329762445072</v>
      </c>
      <c r="CY30" s="34">
        <f t="shared" ca="1" si="29"/>
        <v>988.15942952942873</v>
      </c>
      <c r="CZ30" s="34">
        <f t="shared" ca="1" si="29"/>
        <v>1027.6858067106061</v>
      </c>
      <c r="DA30" s="34">
        <f t="shared" ca="1" si="29"/>
        <v>1068.7932389790305</v>
      </c>
      <c r="DB30" s="34">
        <f t="shared" ca="1" si="29"/>
        <v>1111.5449685381916</v>
      </c>
      <c r="DC30" s="34">
        <f t="shared" ca="1" si="29"/>
        <v>1156.0067672797193</v>
      </c>
      <c r="DD30" s="34">
        <f t="shared" ca="1" si="29"/>
        <v>1202.2470379709082</v>
      </c>
      <c r="DE30" s="34">
        <f t="shared" ca="1" si="29"/>
        <v>1250.3369194897446</v>
      </c>
      <c r="DF30" s="34">
        <f t="shared" ca="1" si="29"/>
        <v>1300.3503962693346</v>
      </c>
      <c r="DG30" s="34">
        <f t="shared" ca="1" si="29"/>
        <v>1352.364412120108</v>
      </c>
      <c r="DH30" s="34">
        <f t="shared" ca="1" si="29"/>
        <v>1406.4589886049127</v>
      </c>
      <c r="DI30" s="34">
        <f t="shared" ca="1" si="29"/>
        <v>1462.7173481491091</v>
      </c>
      <c r="DJ30" s="34">
        <f t="shared" ca="1" si="29"/>
        <v>1521.2260420750733</v>
      </c>
      <c r="DK30" s="34">
        <f t="shared" ca="1" si="29"/>
        <v>1582.0750837580767</v>
      </c>
      <c r="DL30" s="34">
        <f t="shared" ca="1" si="29"/>
        <v>1645.3580871083998</v>
      </c>
      <c r="DM30" s="34">
        <f t="shared" ca="1" si="29"/>
        <v>1711.1724105927358</v>
      </c>
      <c r="DN30" s="34">
        <f t="shared" ca="1" si="29"/>
        <v>1779.6193070164452</v>
      </c>
      <c r="DO30" s="34">
        <f t="shared" ca="1" si="29"/>
        <v>1850.8040792971033</v>
      </c>
      <c r="DP30" s="34">
        <f t="shared" ca="1" si="29"/>
        <v>1924.8362424689874</v>
      </c>
      <c r="DQ30" s="34">
        <f t="shared" ca="1" si="29"/>
        <v>2001.829692167747</v>
      </c>
      <c r="DR30" s="34">
        <f t="shared" ca="1" si="29"/>
        <v>2081.9028798544568</v>
      </c>
      <c r="DS30" s="34">
        <f t="shared" ca="1" si="29"/>
        <v>2165.1789950486354</v>
      </c>
      <c r="DT30" s="34">
        <f t="shared" ca="1" si="29"/>
        <v>2251.7861548505812</v>
      </c>
      <c r="DU30" s="34">
        <f t="shared" ca="1" si="29"/>
        <v>2341.8576010446045</v>
      </c>
      <c r="DV30" s="34">
        <f t="shared" ca="1" si="29"/>
        <v>2435.5319050863891</v>
      </c>
      <c r="DW30" s="34">
        <f t="shared" ca="1" si="29"/>
        <v>2532.9531812898449</v>
      </c>
      <c r="DX30" s="34">
        <f t="shared" ca="1" si="29"/>
        <v>2634.2713085414389</v>
      </c>
      <c r="DY30" s="34">
        <f t="shared" ca="1" si="29"/>
        <v>2739.6421608830969</v>
      </c>
      <c r="DZ30" s="34">
        <f t="shared" ca="1" si="29"/>
        <v>2849.227847318421</v>
      </c>
      <c r="EA30" s="34">
        <f t="shared" ca="1" si="29"/>
        <v>2963.1969612111584</v>
      </c>
      <c r="EB30" s="34">
        <f t="shared" ca="1" si="29"/>
        <v>3081.7248396596046</v>
      </c>
      <c r="EC30" s="34">
        <f t="shared" ca="1" si="29"/>
        <v>3204.9938332459883</v>
      </c>
      <c r="ED30" s="34">
        <f t="shared" ca="1" si="29"/>
        <v>3333.1935865758287</v>
      </c>
      <c r="EE30" s="34">
        <f t="shared" ca="1" si="29"/>
        <v>3466.5213300388618</v>
      </c>
      <c r="EF30" s="34">
        <f t="shared" ca="1" si="29"/>
        <v>3605.1821832404162</v>
      </c>
      <c r="EG30" s="34">
        <f t="shared" ref="EG30:GR30" ca="1" si="30">EG17</f>
        <v>3749.3894705700336</v>
      </c>
      <c r="EH30" s="34">
        <f t="shared" ca="1" si="30"/>
        <v>3899.3650493928349</v>
      </c>
      <c r="EI30" s="34">
        <f t="shared" ca="1" si="30"/>
        <v>4055.3396513685484</v>
      </c>
      <c r="EJ30" s="34">
        <f t="shared" ca="1" si="30"/>
        <v>4217.5532374232907</v>
      </c>
      <c r="EK30" s="34">
        <f t="shared" ca="1" si="30"/>
        <v>4386.2553669202225</v>
      </c>
      <c r="EL30" s="34">
        <f t="shared" ca="1" si="30"/>
        <v>4561.7055815970325</v>
      </c>
      <c r="EM30" s="34">
        <f t="shared" ca="1" si="30"/>
        <v>4744.1738048609132</v>
      </c>
      <c r="EN30" s="34">
        <f t="shared" ca="1" si="30"/>
        <v>4933.9407570553494</v>
      </c>
      <c r="EO30" s="34">
        <f t="shared" ca="1" si="30"/>
        <v>5131.2983873375633</v>
      </c>
      <c r="EP30" s="34">
        <f t="shared" ca="1" si="30"/>
        <v>5336.5503228310663</v>
      </c>
      <c r="EQ30" s="34">
        <f t="shared" ca="1" si="30"/>
        <v>5550.012335744309</v>
      </c>
      <c r="ER30" s="34">
        <f t="shared" ca="1" si="30"/>
        <v>5772.012829174083</v>
      </c>
      <c r="ES30" s="34">
        <f t="shared" ca="1" si="30"/>
        <v>6002.8933423410463</v>
      </c>
      <c r="ET30" s="34">
        <f t="shared" ca="1" si="30"/>
        <v>6243.0090760346884</v>
      </c>
      <c r="EU30" s="34">
        <f t="shared" ca="1" si="30"/>
        <v>6492.7294390760771</v>
      </c>
      <c r="EV30" s="34">
        <f t="shared" ca="1" si="30"/>
        <v>6752.4386166391205</v>
      </c>
      <c r="EW30" s="34">
        <f t="shared" ca="1" si="30"/>
        <v>7022.5361613046862</v>
      </c>
      <c r="EX30" s="34">
        <f t="shared" ca="1" si="30"/>
        <v>7303.4376077568741</v>
      </c>
      <c r="EY30" s="34">
        <f t="shared" ca="1" si="30"/>
        <v>7595.5751120671493</v>
      </c>
      <c r="EZ30" s="34">
        <f t="shared" ca="1" si="30"/>
        <v>7899.3981165498344</v>
      </c>
      <c r="FA30" s="34">
        <f t="shared" ca="1" si="30"/>
        <v>8215.3740412118295</v>
      </c>
      <c r="FB30" s="34">
        <f t="shared" ca="1" si="30"/>
        <v>8543.9890028603022</v>
      </c>
      <c r="FC30" s="34">
        <f t="shared" ca="1" si="30"/>
        <v>8885.7485629747152</v>
      </c>
      <c r="FD30" s="34">
        <f t="shared" ca="1" si="30"/>
        <v>9241.1785054937045</v>
      </c>
      <c r="FE30" s="34">
        <f t="shared" ca="1" si="30"/>
        <v>9610.8256457134539</v>
      </c>
      <c r="FF30" s="34">
        <f t="shared" ca="1" si="30"/>
        <v>9995.2586715419911</v>
      </c>
      <c r="FG30" s="34">
        <f t="shared" ca="1" si="30"/>
        <v>10395.069018403674</v>
      </c>
      <c r="FH30" s="34">
        <f t="shared" ca="1" si="30"/>
        <v>10810.871779139821</v>
      </c>
      <c r="FI30" s="34">
        <f t="shared" ca="1" si="30"/>
        <v>11243.306650305414</v>
      </c>
      <c r="FJ30" s="34">
        <f t="shared" ca="1" si="30"/>
        <v>11693.038916317633</v>
      </c>
      <c r="FK30" s="34">
        <f t="shared" ca="1" si="30"/>
        <v>12160.760472970338</v>
      </c>
      <c r="FL30" s="34">
        <f t="shared" ca="1" si="30"/>
        <v>12647.190891889153</v>
      </c>
      <c r="FM30" s="34">
        <f t="shared" ca="1" si="30"/>
        <v>13153.078527564718</v>
      </c>
      <c r="FN30" s="34">
        <f t="shared" ca="1" si="30"/>
        <v>13679.201668667309</v>
      </c>
      <c r="FO30" s="34">
        <f t="shared" ca="1" si="30"/>
        <v>14226.369735414</v>
      </c>
      <c r="FP30" s="34">
        <f t="shared" ca="1" si="30"/>
        <v>14795.424524830561</v>
      </c>
      <c r="FQ30" s="34">
        <f t="shared" ca="1" si="30"/>
        <v>15387.241505823788</v>
      </c>
      <c r="FR30" s="34">
        <f t="shared" ca="1" si="30"/>
        <v>16002.731166056741</v>
      </c>
      <c r="FS30" s="34">
        <f t="shared" ca="1" si="30"/>
        <v>16642.84041269901</v>
      </c>
      <c r="FT30" s="34">
        <f t="shared" ca="1" si="30"/>
        <v>17308.554029206971</v>
      </c>
      <c r="FU30" s="34">
        <f t="shared" ca="1" si="30"/>
        <v>18000.896190375253</v>
      </c>
      <c r="FV30" s="34">
        <f t="shared" ca="1" si="30"/>
        <v>18720.932037990264</v>
      </c>
      <c r="FW30" s="34">
        <f t="shared" ca="1" si="30"/>
        <v>19469.769319509876</v>
      </c>
      <c r="FX30" s="34">
        <f t="shared" ca="1" si="30"/>
        <v>20248.56009229027</v>
      </c>
      <c r="FY30" s="34">
        <f t="shared" ca="1" si="30"/>
        <v>21058.50249598188</v>
      </c>
      <c r="FZ30" s="34">
        <f t="shared" ca="1" si="30"/>
        <v>21900.842595821156</v>
      </c>
      <c r="GA30" s="34">
        <f t="shared" ca="1" si="30"/>
        <v>22776.87629965401</v>
      </c>
      <c r="GB30" s="34">
        <f t="shared" ca="1" si="30"/>
        <v>23687.951351640168</v>
      </c>
      <c r="GC30" s="34">
        <f t="shared" ca="1" si="30"/>
        <v>24635.469405705779</v>
      </c>
      <c r="GD30" s="34">
        <f t="shared" ca="1" si="30"/>
        <v>25620.888181934006</v>
      </c>
      <c r="GE30" s="34">
        <f t="shared" ca="1" si="30"/>
        <v>26645.723709211368</v>
      </c>
      <c r="GF30" s="34">
        <f t="shared" ca="1" si="30"/>
        <v>27711.552657579825</v>
      </c>
      <c r="GG30" s="34">
        <f t="shared" ca="1" si="30"/>
        <v>28820.01476388302</v>
      </c>
      <c r="GH30" s="34">
        <f t="shared" ca="1" si="30"/>
        <v>29972.815354438346</v>
      </c>
      <c r="GI30" s="34">
        <f t="shared" ca="1" si="30"/>
        <v>31171.727968615884</v>
      </c>
      <c r="GJ30" s="34">
        <f t="shared" ca="1" si="30"/>
        <v>32418.597087360522</v>
      </c>
      <c r="GK30" s="34">
        <f t="shared" ca="1" si="30"/>
        <v>33715.340970854937</v>
      </c>
      <c r="GL30" s="34">
        <f t="shared" ca="1" si="30"/>
        <v>35063.954609689143</v>
      </c>
      <c r="GM30" s="34">
        <f t="shared" ca="1" si="30"/>
        <v>36466.512794076712</v>
      </c>
      <c r="GN30" s="34">
        <f t="shared" ca="1" si="30"/>
        <v>37925.173305839788</v>
      </c>
      <c r="GO30" s="34">
        <f t="shared" ca="1" si="30"/>
        <v>39442.180238073379</v>
      </c>
      <c r="GP30" s="34">
        <f t="shared" ca="1" si="30"/>
        <v>41019.867447596313</v>
      </c>
      <c r="GQ30" s="34">
        <f t="shared" ca="1" si="30"/>
        <v>42660.66214550018</v>
      </c>
      <c r="GR30" s="34">
        <f t="shared" ca="1" si="30"/>
        <v>44367.088631320185</v>
      </c>
      <c r="GS30" s="34">
        <f t="shared" ref="GS30:GY30" ca="1" si="31">GS17</f>
        <v>46141.772176573002</v>
      </c>
      <c r="GT30" s="34">
        <f t="shared" ca="1" si="31"/>
        <v>47987.44306363591</v>
      </c>
      <c r="GU30" s="34">
        <f t="shared" ca="1" si="31"/>
        <v>49906.940786181345</v>
      </c>
      <c r="GV30" s="34">
        <f t="shared" ca="1" si="31"/>
        <v>51903.21841762861</v>
      </c>
      <c r="GW30" s="34">
        <f t="shared" ca="1" si="31"/>
        <v>53979.347154333751</v>
      </c>
      <c r="GX30" s="34">
        <f t="shared" ca="1" si="31"/>
        <v>56138.521040507097</v>
      </c>
      <c r="GY30" s="34">
        <f t="shared" ca="1" si="31"/>
        <v>58384.061882127389</v>
      </c>
    </row>
    <row r="31" spans="1:207">
      <c r="B31" s="18" t="s">
        <v>96</v>
      </c>
      <c r="E31" s="22">
        <f>E11</f>
        <v>0.3</v>
      </c>
      <c r="H31" s="34">
        <f ca="1">H25*$E$31</f>
        <v>11.88</v>
      </c>
      <c r="I31" s="34">
        <f t="shared" ref="I31:BT31" ca="1" si="32">I25*$E$31</f>
        <v>12.355199999999998</v>
      </c>
      <c r="J31" s="34">
        <f t="shared" ca="1" si="32"/>
        <v>12.849408000000002</v>
      </c>
      <c r="K31" s="34">
        <f t="shared" ca="1" si="32"/>
        <v>13.363384320000003</v>
      </c>
      <c r="L31" s="34">
        <f t="shared" ca="1" si="32"/>
        <v>13.897919692800002</v>
      </c>
      <c r="M31" s="34">
        <f t="shared" ca="1" si="32"/>
        <v>14.453836480512006</v>
      </c>
      <c r="N31" s="34">
        <f t="shared" ca="1" si="32"/>
        <v>15.031989939732487</v>
      </c>
      <c r="O31" s="34">
        <f t="shared" ca="1" si="32"/>
        <v>15.633269537321786</v>
      </c>
      <c r="P31" s="34">
        <f t="shared" ca="1" si="32"/>
        <v>16.258600318814661</v>
      </c>
      <c r="Q31" s="34">
        <f t="shared" ca="1" si="32"/>
        <v>16.908944331567245</v>
      </c>
      <c r="R31" s="34">
        <f t="shared" ca="1" si="32"/>
        <v>17.585302104829939</v>
      </c>
      <c r="S31" s="34">
        <f t="shared" ca="1" si="32"/>
        <v>18.288714189023136</v>
      </c>
      <c r="T31" s="34">
        <f t="shared" ca="1" si="32"/>
        <v>19.020262756584064</v>
      </c>
      <c r="U31" s="34">
        <f t="shared" ca="1" si="32"/>
        <v>19.781073266847432</v>
      </c>
      <c r="V31" s="34">
        <f t="shared" ca="1" si="32"/>
        <v>20.572316197521324</v>
      </c>
      <c r="W31" s="34">
        <f t="shared" ca="1" si="32"/>
        <v>21.395208845422182</v>
      </c>
      <c r="X31" s="34">
        <f t="shared" ca="1" si="32"/>
        <v>22.251017199239072</v>
      </c>
      <c r="Y31" s="34">
        <f t="shared" ca="1" si="32"/>
        <v>23.141057887208632</v>
      </c>
      <c r="Z31" s="34">
        <f t="shared" ca="1" si="32"/>
        <v>24.066700202696982</v>
      </c>
      <c r="AA31" s="34">
        <f t="shared" ca="1" si="32"/>
        <v>25.029368210804865</v>
      </c>
      <c r="AB31" s="34">
        <f t="shared" ca="1" si="32"/>
        <v>26.030542939237055</v>
      </c>
      <c r="AC31" s="34">
        <f t="shared" ca="1" si="32"/>
        <v>27.071764656806536</v>
      </c>
      <c r="AD31" s="34">
        <f t="shared" ca="1" si="32"/>
        <v>28.154635243078804</v>
      </c>
      <c r="AE31" s="34">
        <f t="shared" ca="1" si="32"/>
        <v>29.280820652801957</v>
      </c>
      <c r="AF31" s="34">
        <f t="shared" ca="1" si="32"/>
        <v>30.452053478914035</v>
      </c>
      <c r="AG31" s="34">
        <f t="shared" ca="1" si="32"/>
        <v>31.670135618070603</v>
      </c>
      <c r="AH31" s="34">
        <f t="shared" ca="1" si="32"/>
        <v>32.936941042793428</v>
      </c>
      <c r="AI31" s="34">
        <f t="shared" ca="1" si="32"/>
        <v>34.254418684505175</v>
      </c>
      <c r="AJ31" s="34">
        <f t="shared" ca="1" si="32"/>
        <v>35.624595431885389</v>
      </c>
      <c r="AK31" s="34">
        <f t="shared" ca="1" si="32"/>
        <v>37.049579249160807</v>
      </c>
      <c r="AL31" s="34">
        <f t="shared" ca="1" si="32"/>
        <v>38.531562419127241</v>
      </c>
      <c r="AM31" s="34">
        <f t="shared" ca="1" si="32"/>
        <v>40.072824915892333</v>
      </c>
      <c r="AN31" s="34">
        <f t="shared" ca="1" si="32"/>
        <v>41.675737912528021</v>
      </c>
      <c r="AO31" s="34">
        <f t="shared" ca="1" si="32"/>
        <v>43.342767429029138</v>
      </c>
      <c r="AP31" s="34">
        <f t="shared" ca="1" si="32"/>
        <v>45.076478126190317</v>
      </c>
      <c r="AQ31" s="34">
        <f t="shared" ca="1" si="32"/>
        <v>46.879537251237934</v>
      </c>
      <c r="AR31" s="34">
        <f t="shared" ca="1" si="32"/>
        <v>48.754718741287462</v>
      </c>
      <c r="AS31" s="34">
        <f t="shared" ca="1" si="32"/>
        <v>50.704907490938965</v>
      </c>
      <c r="AT31" s="34">
        <f t="shared" ca="1" si="32"/>
        <v>52.733103790576529</v>
      </c>
      <c r="AU31" s="34">
        <f t="shared" ca="1" si="32"/>
        <v>54.842427942199592</v>
      </c>
      <c r="AV31" s="34">
        <f t="shared" ca="1" si="32"/>
        <v>57.036125059887574</v>
      </c>
      <c r="AW31" s="34">
        <f t="shared" ca="1" si="32"/>
        <v>59.317570062283082</v>
      </c>
      <c r="AX31" s="34">
        <f t="shared" ca="1" si="32"/>
        <v>61.690272864774407</v>
      </c>
      <c r="AY31" s="34">
        <f t="shared" ca="1" si="32"/>
        <v>64.157883779365378</v>
      </c>
      <c r="AZ31" s="34">
        <f t="shared" ca="1" si="32"/>
        <v>66.724199130540015</v>
      </c>
      <c r="BA31" s="34">
        <f t="shared" ca="1" si="32"/>
        <v>69.393167095761612</v>
      </c>
      <c r="BB31" s="34">
        <f t="shared" ca="1" si="32"/>
        <v>72.168893779592096</v>
      </c>
      <c r="BC31" s="34">
        <f t="shared" ca="1" si="32"/>
        <v>75.055649530775767</v>
      </c>
      <c r="BD31" s="34">
        <f t="shared" ca="1" si="32"/>
        <v>78.057875512006802</v>
      </c>
      <c r="BE31" s="34">
        <f t="shared" ca="1" si="32"/>
        <v>81.180190532487075</v>
      </c>
      <c r="BF31" s="34">
        <f t="shared" ca="1" si="32"/>
        <v>84.427398153786555</v>
      </c>
      <c r="BG31" s="34">
        <f t="shared" ca="1" si="32"/>
        <v>87.804494079938053</v>
      </c>
      <c r="BH31" s="34">
        <f t="shared" ca="1" si="32"/>
        <v>91.316673843135575</v>
      </c>
      <c r="BI31" s="34">
        <f t="shared" ca="1" si="32"/>
        <v>94.969340796861005</v>
      </c>
      <c r="BJ31" s="34">
        <f t="shared" ca="1" si="32"/>
        <v>98.768114428735444</v>
      </c>
      <c r="BK31" s="34">
        <f t="shared" ca="1" si="32"/>
        <v>102.71883900588487</v>
      </c>
      <c r="BL31" s="34">
        <f t="shared" ca="1" si="32"/>
        <v>106.82759256612029</v>
      </c>
      <c r="BM31" s="34">
        <f t="shared" ca="1" si="32"/>
        <v>111.10069626876509</v>
      </c>
      <c r="BN31" s="34">
        <f t="shared" ca="1" si="32"/>
        <v>115.54472411951572</v>
      </c>
      <c r="BO31" s="34">
        <f t="shared" ca="1" si="32"/>
        <v>120.16651308429634</v>
      </c>
      <c r="BP31" s="34">
        <f t="shared" ca="1" si="32"/>
        <v>124.97317360766822</v>
      </c>
      <c r="BQ31" s="34">
        <f t="shared" ca="1" si="32"/>
        <v>129.97210055197493</v>
      </c>
      <c r="BR31" s="34">
        <f t="shared" ca="1" si="32"/>
        <v>135.17098457405393</v>
      </c>
      <c r="BS31" s="34">
        <f t="shared" ca="1" si="32"/>
        <v>140.57782395701611</v>
      </c>
      <c r="BT31" s="34">
        <f t="shared" ca="1" si="32"/>
        <v>146.20093691529675</v>
      </c>
      <c r="BU31" s="34">
        <f t="shared" ref="BU31:EF31" ca="1" si="33">BU25*$E$31</f>
        <v>152.04897439190862</v>
      </c>
      <c r="BV31" s="34">
        <f t="shared" ca="1" si="33"/>
        <v>158.13093336758499</v>
      </c>
      <c r="BW31" s="34">
        <f t="shared" ca="1" si="33"/>
        <v>164.45617070228838</v>
      </c>
      <c r="BX31" s="34">
        <f t="shared" ca="1" si="33"/>
        <v>171.03441753037993</v>
      </c>
      <c r="BY31" s="34">
        <f t="shared" ca="1" si="33"/>
        <v>177.87579423159519</v>
      </c>
      <c r="BZ31" s="34">
        <f t="shared" ca="1" si="33"/>
        <v>184.99082600085899</v>
      </c>
      <c r="CA31" s="34">
        <f t="shared" ca="1" si="33"/>
        <v>192.39045904089335</v>
      </c>
      <c r="CB31" s="34">
        <f t="shared" ca="1" si="33"/>
        <v>200.08607740252913</v>
      </c>
      <c r="CC31" s="34">
        <f t="shared" ca="1" si="33"/>
        <v>208.08952049863026</v>
      </c>
      <c r="CD31" s="34">
        <f t="shared" ca="1" si="33"/>
        <v>216.41310131857549</v>
      </c>
      <c r="CE31" s="34">
        <f t="shared" ca="1" si="33"/>
        <v>225.06962537131855</v>
      </c>
      <c r="CF31" s="34">
        <f t="shared" ca="1" si="33"/>
        <v>234.07241038617127</v>
      </c>
      <c r="CG31" s="34">
        <f t="shared" ca="1" si="33"/>
        <v>243.43530680161811</v>
      </c>
      <c r="CH31" s="34">
        <f t="shared" ca="1" si="33"/>
        <v>253.17271907368283</v>
      </c>
      <c r="CI31" s="34">
        <f t="shared" ca="1" si="33"/>
        <v>263.29962783663018</v>
      </c>
      <c r="CJ31" s="34">
        <f t="shared" ca="1" si="33"/>
        <v>273.8316129500954</v>
      </c>
      <c r="CK31" s="34">
        <f t="shared" ca="1" si="33"/>
        <v>284.78487746809924</v>
      </c>
      <c r="CL31" s="34">
        <f t="shared" ca="1" si="33"/>
        <v>296.17627256682323</v>
      </c>
      <c r="CM31" s="34">
        <f t="shared" ca="1" si="33"/>
        <v>308.02332346949618</v>
      </c>
      <c r="CN31" s="34">
        <f t="shared" ca="1" si="33"/>
        <v>320.34425640827607</v>
      </c>
      <c r="CO31" s="34">
        <f t="shared" ca="1" si="33"/>
        <v>333.15802666460706</v>
      </c>
      <c r="CP31" s="34">
        <f t="shared" ca="1" si="33"/>
        <v>346.48434773119141</v>
      </c>
      <c r="CQ31" s="34">
        <f t="shared" ca="1" si="33"/>
        <v>360.34372164043901</v>
      </c>
      <c r="CR31" s="34">
        <f t="shared" ca="1" si="33"/>
        <v>374.75747050605662</v>
      </c>
      <c r="CS31" s="34">
        <f t="shared" ca="1" si="33"/>
        <v>389.74776932629891</v>
      </c>
      <c r="CT31" s="34">
        <f t="shared" ca="1" si="33"/>
        <v>405.33768009935096</v>
      </c>
      <c r="CU31" s="34">
        <f t="shared" ca="1" si="33"/>
        <v>421.55118730332504</v>
      </c>
      <c r="CV31" s="34">
        <f t="shared" ca="1" si="33"/>
        <v>438.4132347954581</v>
      </c>
      <c r="CW31" s="34">
        <f t="shared" ca="1" si="33"/>
        <v>455.9497641872764</v>
      </c>
      <c r="CX31" s="34">
        <f t="shared" ca="1" si="33"/>
        <v>474.18775475476752</v>
      </c>
      <c r="CY31" s="34">
        <f t="shared" ca="1" si="33"/>
        <v>493.15526494495828</v>
      </c>
      <c r="CZ31" s="34">
        <f t="shared" ca="1" si="33"/>
        <v>512.88147554275668</v>
      </c>
      <c r="DA31" s="34">
        <f t="shared" ca="1" si="33"/>
        <v>533.39673456446701</v>
      </c>
      <c r="DB31" s="34">
        <f t="shared" ca="1" si="33"/>
        <v>554.73260394704573</v>
      </c>
      <c r="DC31" s="34">
        <f t="shared" ca="1" si="33"/>
        <v>576.92190810492764</v>
      </c>
      <c r="DD31" s="34">
        <f t="shared" ca="1" si="33"/>
        <v>599.99878442912461</v>
      </c>
      <c r="DE31" s="34">
        <f t="shared" ca="1" si="33"/>
        <v>623.99873580628969</v>
      </c>
      <c r="DF31" s="34">
        <f t="shared" ca="1" si="33"/>
        <v>648.95868523854142</v>
      </c>
      <c r="DG31" s="34">
        <f t="shared" ca="1" si="33"/>
        <v>674.91703264808291</v>
      </c>
      <c r="DH31" s="34">
        <f t="shared" ca="1" si="33"/>
        <v>701.91371395400643</v>
      </c>
      <c r="DI31" s="34">
        <f t="shared" ca="1" si="33"/>
        <v>729.99026251216662</v>
      </c>
      <c r="DJ31" s="34">
        <f t="shared" ca="1" si="33"/>
        <v>759.18987301265338</v>
      </c>
      <c r="DK31" s="34">
        <f t="shared" ca="1" si="33"/>
        <v>789.55746793315973</v>
      </c>
      <c r="DL31" s="34">
        <f t="shared" ca="1" si="33"/>
        <v>821.13976665048619</v>
      </c>
      <c r="DM31" s="34">
        <f t="shared" ca="1" si="33"/>
        <v>853.98535731650554</v>
      </c>
      <c r="DN31" s="34">
        <f t="shared" ca="1" si="33"/>
        <v>888.1447716091659</v>
      </c>
      <c r="DO31" s="34">
        <f t="shared" ca="1" si="33"/>
        <v>923.67056247353241</v>
      </c>
      <c r="DP31" s="34">
        <f t="shared" ca="1" si="33"/>
        <v>960.61738497247393</v>
      </c>
      <c r="DQ31" s="34">
        <f t="shared" ca="1" si="33"/>
        <v>999.04208037137278</v>
      </c>
      <c r="DR31" s="34">
        <f t="shared" ca="1" si="33"/>
        <v>1039.0037635862279</v>
      </c>
      <c r="DS31" s="34">
        <f t="shared" ca="1" si="33"/>
        <v>1080.563914129677</v>
      </c>
      <c r="DT31" s="34">
        <f t="shared" ca="1" si="33"/>
        <v>1123.7864706948642</v>
      </c>
      <c r="DU31" s="34">
        <f t="shared" ca="1" si="33"/>
        <v>1168.7379295226588</v>
      </c>
      <c r="DV31" s="34">
        <f t="shared" ca="1" si="33"/>
        <v>1215.4874467035654</v>
      </c>
      <c r="DW31" s="34">
        <f t="shared" ca="1" si="33"/>
        <v>1264.106944571708</v>
      </c>
      <c r="DX31" s="34">
        <f t="shared" ca="1" si="33"/>
        <v>1314.6712223545765</v>
      </c>
      <c r="DY31" s="34">
        <f t="shared" ca="1" si="33"/>
        <v>1367.2580712487597</v>
      </c>
      <c r="DZ31" s="34">
        <f t="shared" ca="1" si="33"/>
        <v>1421.9483940987102</v>
      </c>
      <c r="EA31" s="34">
        <f t="shared" ca="1" si="33"/>
        <v>1478.8263298626589</v>
      </c>
      <c r="EB31" s="34">
        <f t="shared" ca="1" si="33"/>
        <v>1537.9793830571653</v>
      </c>
      <c r="EC31" s="34">
        <f t="shared" ca="1" si="33"/>
        <v>1599.4985583794519</v>
      </c>
      <c r="ED31" s="34">
        <f t="shared" ca="1" si="33"/>
        <v>1663.4785007146299</v>
      </c>
      <c r="EE31" s="34">
        <f t="shared" ca="1" si="33"/>
        <v>1730.0176407432152</v>
      </c>
      <c r="EF31" s="34">
        <f t="shared" ca="1" si="33"/>
        <v>1799.2183463729441</v>
      </c>
      <c r="EG31" s="34">
        <f t="shared" ref="EG31:GR31" ca="1" si="34">EG25*$E$31</f>
        <v>1871.1870802278622</v>
      </c>
      <c r="EH31" s="34">
        <f t="shared" ca="1" si="34"/>
        <v>1946.0345634369764</v>
      </c>
      <c r="EI31" s="34">
        <f t="shared" ca="1" si="34"/>
        <v>2023.8759459744558</v>
      </c>
      <c r="EJ31" s="34">
        <f t="shared" ca="1" si="34"/>
        <v>2104.8309838134342</v>
      </c>
      <c r="EK31" s="34">
        <f t="shared" ca="1" si="34"/>
        <v>2189.0242231659718</v>
      </c>
      <c r="EL31" s="34">
        <f t="shared" ca="1" si="34"/>
        <v>2276.5851920926107</v>
      </c>
      <c r="EM31" s="34">
        <f t="shared" ca="1" si="34"/>
        <v>2367.6485997763152</v>
      </c>
      <c r="EN31" s="34">
        <f t="shared" ca="1" si="34"/>
        <v>2462.3545437673679</v>
      </c>
      <c r="EO31" s="34">
        <f t="shared" ca="1" si="34"/>
        <v>2560.8487255180626</v>
      </c>
      <c r="EP31" s="34">
        <f t="shared" ca="1" si="34"/>
        <v>2663.2826745387852</v>
      </c>
      <c r="EQ31" s="34">
        <f t="shared" ca="1" si="34"/>
        <v>2769.8139815203367</v>
      </c>
      <c r="ER31" s="34">
        <f t="shared" ca="1" si="34"/>
        <v>2880.6065407811502</v>
      </c>
      <c r="ES31" s="34">
        <f t="shared" ca="1" si="34"/>
        <v>2995.8308024123967</v>
      </c>
      <c r="ET31" s="34">
        <f t="shared" ca="1" si="34"/>
        <v>3115.6640345088922</v>
      </c>
      <c r="EU31" s="34">
        <f t="shared" ca="1" si="34"/>
        <v>3240.2905958892484</v>
      </c>
      <c r="EV31" s="34">
        <f t="shared" ca="1" si="34"/>
        <v>3369.9022197248191</v>
      </c>
      <c r="EW31" s="34">
        <f t="shared" ca="1" si="34"/>
        <v>3504.6983085138122</v>
      </c>
      <c r="EX31" s="34">
        <f t="shared" ca="1" si="34"/>
        <v>3644.8862408543641</v>
      </c>
      <c r="EY31" s="34">
        <f t="shared" ca="1" si="34"/>
        <v>3790.6816904885395</v>
      </c>
      <c r="EZ31" s="34">
        <f t="shared" ca="1" si="34"/>
        <v>3942.3089581080812</v>
      </c>
      <c r="FA31" s="34">
        <f t="shared" ca="1" si="34"/>
        <v>4100.0013164324055</v>
      </c>
      <c r="FB31" s="34">
        <f t="shared" ca="1" si="34"/>
        <v>4264.0013690897003</v>
      </c>
      <c r="FC31" s="34">
        <f t="shared" ca="1" si="34"/>
        <v>4434.5614238532899</v>
      </c>
      <c r="FD31" s="34">
        <f t="shared" ca="1" si="34"/>
        <v>4611.9438808074219</v>
      </c>
      <c r="FE31" s="34">
        <f t="shared" ca="1" si="34"/>
        <v>4796.4216360397195</v>
      </c>
      <c r="FF31" s="34">
        <f t="shared" ca="1" si="34"/>
        <v>4988.2785014813071</v>
      </c>
      <c r="FG31" s="34">
        <f t="shared" ca="1" si="34"/>
        <v>5187.8096415405607</v>
      </c>
      <c r="FH31" s="34">
        <f t="shared" ca="1" si="34"/>
        <v>5395.3220272021827</v>
      </c>
      <c r="FI31" s="34">
        <f t="shared" ca="1" si="34"/>
        <v>5611.1349082902707</v>
      </c>
      <c r="FJ31" s="34">
        <f t="shared" ca="1" si="34"/>
        <v>5835.5803046218816</v>
      </c>
      <c r="FK31" s="34">
        <f t="shared" ca="1" si="34"/>
        <v>6069.0035168067579</v>
      </c>
      <c r="FL31" s="34">
        <f t="shared" ca="1" si="34"/>
        <v>6311.7636574790286</v>
      </c>
      <c r="FM31" s="34">
        <f t="shared" ca="1" si="34"/>
        <v>6564.23420377819</v>
      </c>
      <c r="FN31" s="34">
        <f t="shared" ca="1" si="34"/>
        <v>6826.8035719293175</v>
      </c>
      <c r="FO31" s="34">
        <f t="shared" ca="1" si="34"/>
        <v>7099.8757148064897</v>
      </c>
      <c r="FP31" s="34">
        <f t="shared" ca="1" si="34"/>
        <v>7383.870743398752</v>
      </c>
      <c r="FQ31" s="34">
        <f t="shared" ca="1" si="34"/>
        <v>7679.2255731347032</v>
      </c>
      <c r="FR31" s="34">
        <f t="shared" ca="1" si="34"/>
        <v>7986.3945960600922</v>
      </c>
      <c r="FS31" s="34">
        <f t="shared" ca="1" si="34"/>
        <v>8305.8503799024966</v>
      </c>
      <c r="FT31" s="34">
        <f t="shared" ca="1" si="34"/>
        <v>8638.0843950985945</v>
      </c>
      <c r="FU31" s="34">
        <f t="shared" ca="1" si="34"/>
        <v>8983.6077709025412</v>
      </c>
      <c r="FV31" s="34">
        <f t="shared" ca="1" si="34"/>
        <v>9342.9520817386419</v>
      </c>
      <c r="FW31" s="34">
        <f t="shared" ca="1" si="34"/>
        <v>9716.6701650081886</v>
      </c>
      <c r="FX31" s="34">
        <f t="shared" ca="1" si="34"/>
        <v>10105.336971608518</v>
      </c>
      <c r="FY31" s="34">
        <f t="shared" ca="1" si="34"/>
        <v>10509.550450472858</v>
      </c>
      <c r="FZ31" s="34">
        <f t="shared" ca="1" si="34"/>
        <v>10929.932468491772</v>
      </c>
      <c r="GA31" s="34">
        <f t="shared" ca="1" si="34"/>
        <v>11367.129767231443</v>
      </c>
      <c r="GB31" s="34">
        <f t="shared" ca="1" si="34"/>
        <v>11821.814957920704</v>
      </c>
      <c r="GC31" s="34">
        <f t="shared" ca="1" si="34"/>
        <v>12294.687556237532</v>
      </c>
      <c r="GD31" s="34">
        <f t="shared" ca="1" si="34"/>
        <v>12786.475058487033</v>
      </c>
      <c r="GE31" s="34">
        <f t="shared" ca="1" si="34"/>
        <v>13297.934060826516</v>
      </c>
      <c r="GF31" s="34">
        <f t="shared" ca="1" si="34"/>
        <v>13829.851423259575</v>
      </c>
      <c r="GG31" s="34">
        <f t="shared" ca="1" si="34"/>
        <v>14383.045480189961</v>
      </c>
      <c r="GH31" s="34">
        <f t="shared" ca="1" si="34"/>
        <v>14958.36729939756</v>
      </c>
      <c r="GI31" s="34">
        <f t="shared" ca="1" si="34"/>
        <v>15556.701991373464</v>
      </c>
      <c r="GJ31" s="34">
        <f t="shared" ca="1" si="34"/>
        <v>16178.970071028405</v>
      </c>
      <c r="GK31" s="34">
        <f t="shared" ca="1" si="34"/>
        <v>16826.12887386954</v>
      </c>
      <c r="GL31" s="34">
        <f t="shared" ca="1" si="34"/>
        <v>17499.17402882432</v>
      </c>
      <c r="GM31" s="34">
        <f t="shared" ca="1" si="34"/>
        <v>18199.140989977295</v>
      </c>
      <c r="GN31" s="34">
        <f t="shared" ca="1" si="34"/>
        <v>18927.106629576392</v>
      </c>
      <c r="GO31" s="34">
        <f t="shared" ca="1" si="34"/>
        <v>19684.190894759446</v>
      </c>
      <c r="GP31" s="34">
        <f t="shared" ca="1" si="34"/>
        <v>20471.558530549828</v>
      </c>
      <c r="GQ31" s="34">
        <f t="shared" ca="1" si="34"/>
        <v>21290.420871771825</v>
      </c>
      <c r="GR31" s="34">
        <f t="shared" ca="1" si="34"/>
        <v>22142.037706642699</v>
      </c>
      <c r="GS31" s="34">
        <f t="shared" ref="GS31:GY31" ca="1" si="35">GS25*$E$31</f>
        <v>23027.719214908411</v>
      </c>
      <c r="GT31" s="34">
        <f t="shared" ca="1" si="35"/>
        <v>23948.827983504747</v>
      </c>
      <c r="GU31" s="34">
        <f t="shared" ca="1" si="35"/>
        <v>24906.781102844932</v>
      </c>
      <c r="GV31" s="34">
        <f t="shared" ca="1" si="35"/>
        <v>25903.052346958735</v>
      </c>
      <c r="GW31" s="34">
        <f t="shared" ca="1" si="35"/>
        <v>26939.174440837083</v>
      </c>
      <c r="GX31" s="34">
        <f t="shared" ca="1" si="35"/>
        <v>28016.741418470567</v>
      </c>
      <c r="GY31" s="34">
        <f t="shared" ca="1" si="35"/>
        <v>29137.411075209391</v>
      </c>
    </row>
    <row r="32" spans="1:207">
      <c r="B32" s="18" t="s">
        <v>97</v>
      </c>
      <c r="H32" s="34">
        <f>H20-G20</f>
        <v>0</v>
      </c>
      <c r="I32" s="34">
        <f t="shared" ref="I32:BT32" ca="1" si="36">I20-H20</f>
        <v>2.8978158314662679</v>
      </c>
      <c r="J32" s="34">
        <f t="shared" ca="1" si="36"/>
        <v>0.91591263325864958</v>
      </c>
      <c r="K32" s="34">
        <f t="shared" ca="1" si="36"/>
        <v>0.95254913858899926</v>
      </c>
      <c r="L32" s="34">
        <f t="shared" ca="1" si="36"/>
        <v>0.99065110413256008</v>
      </c>
      <c r="M32" s="34">
        <f t="shared" ca="1" si="36"/>
        <v>1.0302771482978557</v>
      </c>
      <c r="N32" s="34">
        <f t="shared" ca="1" si="36"/>
        <v>1.0714882342297756</v>
      </c>
      <c r="O32" s="34">
        <f t="shared" ca="1" si="36"/>
        <v>1.1143477635989711</v>
      </c>
      <c r="P32" s="34">
        <f t="shared" ca="1" si="36"/>
        <v>1.1589216741429205</v>
      </c>
      <c r="Q32" s="34">
        <f t="shared" ca="1" si="36"/>
        <v>1.2052785411086475</v>
      </c>
      <c r="R32" s="34">
        <f t="shared" ca="1" si="36"/>
        <v>1.2534896827529813</v>
      </c>
      <c r="S32" s="34">
        <f t="shared" ca="1" si="36"/>
        <v>1.3036292700631122</v>
      </c>
      <c r="T32" s="34">
        <f t="shared" ca="1" si="36"/>
        <v>1.3557744408656305</v>
      </c>
      <c r="U32" s="34">
        <f t="shared" ca="1" si="36"/>
        <v>1.410005418500262</v>
      </c>
      <c r="V32" s="34">
        <f t="shared" ca="1" si="36"/>
        <v>1.466405635240271</v>
      </c>
      <c r="W32" s="34">
        <f t="shared" ca="1" si="36"/>
        <v>1.5250618606498705</v>
      </c>
      <c r="X32" s="34">
        <f t="shared" ca="1" si="36"/>
        <v>1.5860643350758821</v>
      </c>
      <c r="Y32" s="34">
        <f t="shared" ca="1" si="36"/>
        <v>1.6495069084789051</v>
      </c>
      <c r="Z32" s="34">
        <f t="shared" ca="1" si="36"/>
        <v>1.7154871848180591</v>
      </c>
      <c r="AA32" s="34">
        <f t="shared" ca="1" si="36"/>
        <v>1.7841066722107968</v>
      </c>
      <c r="AB32" s="34">
        <f t="shared" ca="1" si="36"/>
        <v>1.8554709390992201</v>
      </c>
      <c r="AC32" s="34">
        <f t="shared" ca="1" si="36"/>
        <v>1.9296897766631815</v>
      </c>
      <c r="AD32" s="34">
        <f t="shared" ca="1" si="36"/>
        <v>2.0068773677297145</v>
      </c>
      <c r="AE32" s="34">
        <f t="shared" ca="1" si="36"/>
        <v>2.0871524624389082</v>
      </c>
      <c r="AF32" s="34">
        <f t="shared" ca="1" si="36"/>
        <v>2.1706385609364531</v>
      </c>
      <c r="AG32" s="34">
        <f t="shared" ca="1" si="36"/>
        <v>2.2574641033739127</v>
      </c>
      <c r="AH32" s="34">
        <f t="shared" ca="1" si="36"/>
        <v>2.3477626675088956</v>
      </c>
      <c r="AI32" s="34">
        <f t="shared" ca="1" si="36"/>
        <v>2.4416731742092281</v>
      </c>
      <c r="AJ32" s="34">
        <f t="shared" ca="1" si="36"/>
        <v>2.5393401011776149</v>
      </c>
      <c r="AK32" s="34">
        <f t="shared" ca="1" si="36"/>
        <v>2.6409137052247047</v>
      </c>
      <c r="AL32" s="34">
        <f t="shared" ca="1" si="36"/>
        <v>2.7465502534337105</v>
      </c>
      <c r="AM32" s="34">
        <f t="shared" ca="1" si="36"/>
        <v>2.8564122635710447</v>
      </c>
      <c r="AN32" s="34">
        <f t="shared" ca="1" si="36"/>
        <v>2.9706687541138734</v>
      </c>
      <c r="AO32" s="34">
        <f t="shared" ca="1" si="36"/>
        <v>3.0894955042784318</v>
      </c>
      <c r="AP32" s="34">
        <f t="shared" ca="1" si="36"/>
        <v>3.2130753244495622</v>
      </c>
      <c r="AQ32" s="34">
        <f t="shared" ca="1" si="36"/>
        <v>3.3415983374275839</v>
      </c>
      <c r="AR32" s="34">
        <f t="shared" ca="1" si="36"/>
        <v>3.4752622709246594</v>
      </c>
      <c r="AS32" s="34">
        <f t="shared" ca="1" si="36"/>
        <v>3.6142727617616686</v>
      </c>
      <c r="AT32" s="34">
        <f t="shared" ca="1" si="36"/>
        <v>3.7588436722321177</v>
      </c>
      <c r="AU32" s="34">
        <f t="shared" ca="1" si="36"/>
        <v>3.9091974191213978</v>
      </c>
      <c r="AV32" s="34">
        <f t="shared" ca="1" si="36"/>
        <v>4.0655653158862464</v>
      </c>
      <c r="AW32" s="34">
        <f t="shared" ca="1" si="36"/>
        <v>4.2281879285217201</v>
      </c>
      <c r="AX32" s="34">
        <f t="shared" ca="1" si="36"/>
        <v>4.3973154456625707</v>
      </c>
      <c r="AY32" s="34">
        <f t="shared" ca="1" si="36"/>
        <v>4.5732080634890764</v>
      </c>
      <c r="AZ32" s="34">
        <f t="shared" ca="1" si="36"/>
        <v>4.7561363860286576</v>
      </c>
      <c r="BA32" s="34">
        <f t="shared" ca="1" si="36"/>
        <v>4.9463818414698011</v>
      </c>
      <c r="BB32" s="34">
        <f t="shared" ca="1" si="36"/>
        <v>5.1442371151285897</v>
      </c>
      <c r="BC32" s="34">
        <f t="shared" ca="1" si="36"/>
        <v>5.3500065997337174</v>
      </c>
      <c r="BD32" s="34">
        <f t="shared" ca="1" si="36"/>
        <v>5.5640068637230797</v>
      </c>
      <c r="BE32" s="34">
        <f t="shared" ca="1" si="36"/>
        <v>5.7865671382719768</v>
      </c>
      <c r="BF32" s="34">
        <f t="shared" ca="1" si="36"/>
        <v>6.0180298238028627</v>
      </c>
      <c r="BG32" s="34">
        <f t="shared" ca="1" si="36"/>
        <v>6.2587510167550136</v>
      </c>
      <c r="BH32" s="34">
        <f t="shared" ca="1" si="36"/>
        <v>6.5091010574251982</v>
      </c>
      <c r="BI32" s="34">
        <f t="shared" ca="1" si="36"/>
        <v>6.7694650997222254</v>
      </c>
      <c r="BJ32" s="34">
        <f t="shared" ca="1" si="36"/>
        <v>7.0402437037110701</v>
      </c>
      <c r="BK32" s="34">
        <f t="shared" ca="1" si="36"/>
        <v>7.3218534518595391</v>
      </c>
      <c r="BL32" s="34">
        <f t="shared" ca="1" si="36"/>
        <v>7.6147275899339206</v>
      </c>
      <c r="BM32" s="34">
        <f t="shared" ca="1" si="36"/>
        <v>7.9193166935313286</v>
      </c>
      <c r="BN32" s="34">
        <f t="shared" ca="1" si="36"/>
        <v>8.2360893612724908</v>
      </c>
      <c r="BO32" s="34">
        <f t="shared" ca="1" si="36"/>
        <v>8.5655329357234677</v>
      </c>
      <c r="BP32" s="34">
        <f t="shared" ca="1" si="36"/>
        <v>8.908154253152361</v>
      </c>
      <c r="BQ32" s="34">
        <f t="shared" ca="1" si="36"/>
        <v>9.264480423278485</v>
      </c>
      <c r="BR32" s="34">
        <f t="shared" ca="1" si="36"/>
        <v>9.6350596402095334</v>
      </c>
      <c r="BS32" s="34">
        <f t="shared" ca="1" si="36"/>
        <v>10.020462025817949</v>
      </c>
      <c r="BT32" s="34">
        <f t="shared" ca="1" si="36"/>
        <v>10.421280506850735</v>
      </c>
      <c r="BU32" s="34">
        <f t="shared" ref="BU32:EF32" ca="1" si="37">BU20-BT20</f>
        <v>10.838131727124733</v>
      </c>
      <c r="BV32" s="34">
        <f t="shared" ca="1" si="37"/>
        <v>11.271656996209686</v>
      </c>
      <c r="BW32" s="34">
        <f t="shared" ca="1" si="37"/>
        <v>11.722523276058155</v>
      </c>
      <c r="BX32" s="34">
        <f t="shared" ca="1" si="37"/>
        <v>12.191424207100397</v>
      </c>
      <c r="BY32" s="34">
        <f t="shared" ca="1" si="37"/>
        <v>12.679081175384454</v>
      </c>
      <c r="BZ32" s="34">
        <f t="shared" ca="1" si="37"/>
        <v>13.186244422399966</v>
      </c>
      <c r="CA32" s="34">
        <f t="shared" ca="1" si="37"/>
        <v>13.713694199295787</v>
      </c>
      <c r="CB32" s="34">
        <f t="shared" ca="1" si="37"/>
        <v>14.262241967267641</v>
      </c>
      <c r="CC32" s="34">
        <f t="shared" ca="1" si="37"/>
        <v>14.832731645958404</v>
      </c>
      <c r="CD32" s="34">
        <f t="shared" ca="1" si="37"/>
        <v>15.42604091179669</v>
      </c>
      <c r="CE32" s="34">
        <f t="shared" ca="1" si="37"/>
        <v>16.043082548268501</v>
      </c>
      <c r="CF32" s="34">
        <f t="shared" ca="1" si="37"/>
        <v>16.684805850199439</v>
      </c>
      <c r="CG32" s="34">
        <f t="shared" ca="1" si="37"/>
        <v>17.352198084207259</v>
      </c>
      <c r="CH32" s="34">
        <f t="shared" ca="1" si="37"/>
        <v>18.046286007575475</v>
      </c>
      <c r="CI32" s="34">
        <f t="shared" ca="1" si="37"/>
        <v>18.768137447878644</v>
      </c>
      <c r="CJ32" s="34">
        <f t="shared" ca="1" si="37"/>
        <v>19.518862945793671</v>
      </c>
      <c r="CK32" s="34">
        <f t="shared" ca="1" si="37"/>
        <v>20.299617463625509</v>
      </c>
      <c r="CL32" s="34">
        <f t="shared" ca="1" si="37"/>
        <v>21.111602162170698</v>
      </c>
      <c r="CM32" s="34">
        <f t="shared" ca="1" si="37"/>
        <v>21.95606624865718</v>
      </c>
      <c r="CN32" s="34">
        <f t="shared" ca="1" si="37"/>
        <v>22.834308898603808</v>
      </c>
      <c r="CO32" s="34">
        <f t="shared" ca="1" si="37"/>
        <v>23.747681254547729</v>
      </c>
      <c r="CP32" s="34">
        <f t="shared" ca="1" si="37"/>
        <v>24.697588504729652</v>
      </c>
      <c r="CQ32" s="34">
        <f t="shared" ca="1" si="37"/>
        <v>25.685492044918874</v>
      </c>
      <c r="CR32" s="34">
        <f t="shared" ca="1" si="37"/>
        <v>26.712911726715561</v>
      </c>
      <c r="CS32" s="34">
        <f t="shared" ca="1" si="37"/>
        <v>27.781428195784315</v>
      </c>
      <c r="CT32" s="34">
        <f t="shared" ca="1" si="37"/>
        <v>28.892685323615751</v>
      </c>
      <c r="CU32" s="34">
        <f t="shared" ca="1" si="37"/>
        <v>30.048392736560345</v>
      </c>
      <c r="CV32" s="34">
        <f t="shared" ca="1" si="37"/>
        <v>31.25032844602265</v>
      </c>
      <c r="CW32" s="34">
        <f t="shared" ca="1" si="37"/>
        <v>32.500341583863701</v>
      </c>
      <c r="CX32" s="34">
        <f t="shared" ca="1" si="37"/>
        <v>33.800355247218135</v>
      </c>
      <c r="CY32" s="34">
        <f t="shared" ca="1" si="37"/>
        <v>35.152369457106943</v>
      </c>
      <c r="CZ32" s="34">
        <f t="shared" ca="1" si="37"/>
        <v>36.55846423539117</v>
      </c>
      <c r="DA32" s="34">
        <f t="shared" ca="1" si="37"/>
        <v>38.020802804806863</v>
      </c>
      <c r="DB32" s="34">
        <f t="shared" ca="1" si="37"/>
        <v>39.541634916999101</v>
      </c>
      <c r="DC32" s="34">
        <f t="shared" ca="1" si="37"/>
        <v>41.123300313679238</v>
      </c>
      <c r="DD32" s="34">
        <f t="shared" ca="1" si="37"/>
        <v>42.768232326226098</v>
      </c>
      <c r="DE32" s="34">
        <f t="shared" ca="1" si="37"/>
        <v>44.478961619275196</v>
      </c>
      <c r="DF32" s="34">
        <f t="shared" ca="1" si="37"/>
        <v>46.258120084046368</v>
      </c>
      <c r="DG32" s="34">
        <f t="shared" ca="1" si="37"/>
        <v>48.108444887408268</v>
      </c>
      <c r="DH32" s="34">
        <f t="shared" ca="1" si="37"/>
        <v>50.032782682904326</v>
      </c>
      <c r="DI32" s="34">
        <f t="shared" ca="1" si="37"/>
        <v>52.034093990220754</v>
      </c>
      <c r="DJ32" s="34">
        <f t="shared" ca="1" si="37"/>
        <v>54.115457749829375</v>
      </c>
      <c r="DK32" s="34">
        <f t="shared" ca="1" si="37"/>
        <v>56.280076059822704</v>
      </c>
      <c r="DL32" s="34">
        <f t="shared" ca="1" si="37"/>
        <v>58.531279102216104</v>
      </c>
      <c r="DM32" s="34">
        <f t="shared" ca="1" si="37"/>
        <v>60.872530266303784</v>
      </c>
      <c r="DN32" s="34">
        <f t="shared" ca="1" si="37"/>
        <v>63.307431476956481</v>
      </c>
      <c r="DO32" s="34">
        <f t="shared" ca="1" si="37"/>
        <v>65.839728736034431</v>
      </c>
      <c r="DP32" s="34">
        <f t="shared" ca="1" si="37"/>
        <v>68.473317885476035</v>
      </c>
      <c r="DQ32" s="34">
        <f t="shared" ca="1" si="37"/>
        <v>71.212250600895231</v>
      </c>
      <c r="DR32" s="34">
        <f t="shared" ca="1" si="37"/>
        <v>74.060740624930759</v>
      </c>
      <c r="DS32" s="34">
        <f t="shared" ca="1" si="37"/>
        <v>77.023170249927944</v>
      </c>
      <c r="DT32" s="34">
        <f t="shared" ca="1" si="37"/>
        <v>80.104097059925152</v>
      </c>
      <c r="DU32" s="34">
        <f t="shared" ca="1" si="37"/>
        <v>83.308260942322249</v>
      </c>
      <c r="DV32" s="34">
        <f t="shared" ca="1" si="37"/>
        <v>86.640591380015394</v>
      </c>
      <c r="DW32" s="34">
        <f t="shared" ca="1" si="37"/>
        <v>90.106215035215882</v>
      </c>
      <c r="DX32" s="34">
        <f t="shared" ca="1" si="37"/>
        <v>93.710463636624354</v>
      </c>
      <c r="DY32" s="34">
        <f t="shared" ca="1" si="37"/>
        <v>97.458882182089837</v>
      </c>
      <c r="DZ32" s="34">
        <f t="shared" ca="1" si="37"/>
        <v>101.3572374693731</v>
      </c>
      <c r="EA32" s="34">
        <f t="shared" ca="1" si="37"/>
        <v>105.41152696814788</v>
      </c>
      <c r="EB32" s="34">
        <f t="shared" ca="1" si="37"/>
        <v>109.62798804687418</v>
      </c>
      <c r="EC32" s="34">
        <f t="shared" ca="1" si="37"/>
        <v>114.01310756874864</v>
      </c>
      <c r="ED32" s="34">
        <f t="shared" ca="1" si="37"/>
        <v>118.57363187149895</v>
      </c>
      <c r="EE32" s="34">
        <f t="shared" ca="1" si="37"/>
        <v>123.31657714635867</v>
      </c>
      <c r="EF32" s="34">
        <f t="shared" ca="1" si="37"/>
        <v>128.24924023221229</v>
      </c>
      <c r="EG32" s="34">
        <f t="shared" ref="EG32:GR32" ca="1" si="38">EG20-EF20</f>
        <v>133.37920984150196</v>
      </c>
      <c r="EH32" s="34">
        <f t="shared" ca="1" si="38"/>
        <v>138.71437823516226</v>
      </c>
      <c r="EI32" s="34">
        <f t="shared" ca="1" si="38"/>
        <v>144.26295336456769</v>
      </c>
      <c r="EJ32" s="34">
        <f t="shared" ca="1" si="38"/>
        <v>150.03347149915135</v>
      </c>
      <c r="EK32" s="34">
        <f t="shared" ca="1" si="38"/>
        <v>156.03481035911682</v>
      </c>
      <c r="EL32" s="34">
        <f t="shared" ca="1" si="38"/>
        <v>162.2762027734816</v>
      </c>
      <c r="EM32" s="34">
        <f t="shared" ca="1" si="38"/>
        <v>168.76725088442072</v>
      </c>
      <c r="EN32" s="34">
        <f t="shared" ca="1" si="38"/>
        <v>175.51794091979718</v>
      </c>
      <c r="EO32" s="34">
        <f t="shared" ca="1" si="38"/>
        <v>182.53865855658933</v>
      </c>
      <c r="EP32" s="34">
        <f t="shared" ca="1" si="38"/>
        <v>189.8402048988537</v>
      </c>
      <c r="EQ32" s="34">
        <f t="shared" ca="1" si="38"/>
        <v>197.43381309480628</v>
      </c>
      <c r="ER32" s="34">
        <f t="shared" ca="1" si="38"/>
        <v>205.33116561860061</v>
      </c>
      <c r="ES32" s="34">
        <f t="shared" ca="1" si="38"/>
        <v>213.54441224334369</v>
      </c>
      <c r="ET32" s="34">
        <f t="shared" ca="1" si="38"/>
        <v>222.0861887330766</v>
      </c>
      <c r="EU32" s="34">
        <f t="shared" ca="1" si="38"/>
        <v>230.96963628240064</v>
      </c>
      <c r="EV32" s="34">
        <f t="shared" ca="1" si="38"/>
        <v>240.20842173369783</v>
      </c>
      <c r="EW32" s="34">
        <f t="shared" ca="1" si="38"/>
        <v>249.81675860304495</v>
      </c>
      <c r="EX32" s="34">
        <f t="shared" ca="1" si="38"/>
        <v>259.80942894716554</v>
      </c>
      <c r="EY32" s="34">
        <f t="shared" ca="1" si="38"/>
        <v>270.20180610505213</v>
      </c>
      <c r="EZ32" s="34">
        <f t="shared" ca="1" si="38"/>
        <v>281.00987834925672</v>
      </c>
      <c r="FA32" s="34">
        <f t="shared" ca="1" si="38"/>
        <v>292.25027348322419</v>
      </c>
      <c r="FB32" s="34">
        <f t="shared" ca="1" si="38"/>
        <v>303.94028442255512</v>
      </c>
      <c r="FC32" s="34">
        <f t="shared" ca="1" si="38"/>
        <v>316.09789579945482</v>
      </c>
      <c r="FD32" s="34">
        <f t="shared" ca="1" si="38"/>
        <v>328.74181163143658</v>
      </c>
      <c r="FE32" s="34">
        <f t="shared" ca="1" si="38"/>
        <v>341.8914840966936</v>
      </c>
      <c r="FF32" s="34">
        <f t="shared" ca="1" si="38"/>
        <v>355.56714346055924</v>
      </c>
      <c r="FG32" s="34">
        <f t="shared" ca="1" si="38"/>
        <v>369.78982919898044</v>
      </c>
      <c r="FH32" s="34">
        <f t="shared" ca="1" si="38"/>
        <v>384.58142236694403</v>
      </c>
      <c r="FI32" s="34">
        <f t="shared" ca="1" si="38"/>
        <v>399.96467926161858</v>
      </c>
      <c r="FJ32" s="34">
        <f t="shared" ca="1" si="38"/>
        <v>415.9632664320834</v>
      </c>
      <c r="FK32" s="34">
        <f t="shared" ca="1" si="38"/>
        <v>432.60179708936994</v>
      </c>
      <c r="FL32" s="34">
        <f t="shared" ca="1" si="38"/>
        <v>449.90586897294088</v>
      </c>
      <c r="FM32" s="34">
        <f t="shared" ca="1" si="38"/>
        <v>467.90210373186164</v>
      </c>
      <c r="FN32" s="34">
        <f t="shared" ca="1" si="38"/>
        <v>486.61818788113305</v>
      </c>
      <c r="FO32" s="34">
        <f t="shared" ca="1" si="38"/>
        <v>506.08291539638049</v>
      </c>
      <c r="FP32" s="34">
        <f t="shared" ca="1" si="38"/>
        <v>526.32623201223214</v>
      </c>
      <c r="FQ32" s="34">
        <f t="shared" ca="1" si="38"/>
        <v>547.37928129272768</v>
      </c>
      <c r="FR32" s="34">
        <f t="shared" ca="1" si="38"/>
        <v>569.27445254443592</v>
      </c>
      <c r="FS32" s="34">
        <f t="shared" ca="1" si="38"/>
        <v>592.04543064621066</v>
      </c>
      <c r="FT32" s="34">
        <f t="shared" ca="1" si="38"/>
        <v>615.72724787205698</v>
      </c>
      <c r="FU32" s="34">
        <f t="shared" ca="1" si="38"/>
        <v>640.35633778693955</v>
      </c>
      <c r="FV32" s="34">
        <f t="shared" ca="1" si="38"/>
        <v>665.97059129842455</v>
      </c>
      <c r="FW32" s="34">
        <f t="shared" ca="1" si="38"/>
        <v>692.60941495035513</v>
      </c>
      <c r="FX32" s="34">
        <f t="shared" ca="1" si="38"/>
        <v>720.31379154837123</v>
      </c>
      <c r="FY32" s="34">
        <f t="shared" ca="1" si="38"/>
        <v>749.12634321030782</v>
      </c>
      <c r="FZ32" s="34">
        <f t="shared" ca="1" si="38"/>
        <v>779.09139693871475</v>
      </c>
      <c r="GA32" s="34">
        <f t="shared" ca="1" si="38"/>
        <v>810.25505281626829</v>
      </c>
      <c r="GB32" s="34">
        <f t="shared" ca="1" si="38"/>
        <v>842.66525492891378</v>
      </c>
      <c r="GC32" s="34">
        <f t="shared" ca="1" si="38"/>
        <v>876.37186512607877</v>
      </c>
      <c r="GD32" s="34">
        <f t="shared" ca="1" si="38"/>
        <v>911.42673973111596</v>
      </c>
      <c r="GE32" s="34">
        <f t="shared" ca="1" si="38"/>
        <v>947.88380932035943</v>
      </c>
      <c r="GF32" s="34">
        <f t="shared" ca="1" si="38"/>
        <v>985.79916169317585</v>
      </c>
      <c r="GG32" s="34">
        <f t="shared" ca="1" si="38"/>
        <v>1025.2311281609</v>
      </c>
      <c r="GH32" s="34">
        <f t="shared" ca="1" si="38"/>
        <v>1066.2403732873463</v>
      </c>
      <c r="GI32" s="34">
        <f t="shared" ca="1" si="38"/>
        <v>1108.8899882188343</v>
      </c>
      <c r="GJ32" s="34">
        <f t="shared" ca="1" si="38"/>
        <v>1153.2455877475841</v>
      </c>
      <c r="GK32" s="34">
        <f t="shared" ca="1" si="38"/>
        <v>1199.3754112574934</v>
      </c>
      <c r="GL32" s="34">
        <f t="shared" ca="1" si="38"/>
        <v>1247.3504277077882</v>
      </c>
      <c r="GM32" s="34">
        <f t="shared" ca="1" si="38"/>
        <v>1297.2444448161041</v>
      </c>
      <c r="GN32" s="34">
        <f t="shared" ca="1" si="38"/>
        <v>1349.1342226087436</v>
      </c>
      <c r="GO32" s="34">
        <f t="shared" ca="1" si="38"/>
        <v>1403.0995915130989</v>
      </c>
      <c r="GP32" s="34">
        <f t="shared" ca="1" si="38"/>
        <v>1459.2235751736152</v>
      </c>
      <c r="GQ32" s="34">
        <f t="shared" ca="1" si="38"/>
        <v>1517.5925181805724</v>
      </c>
      <c r="GR32" s="34">
        <f t="shared" ca="1" si="38"/>
        <v>1578.296218907788</v>
      </c>
      <c r="GS32" s="34">
        <f t="shared" ref="GS32:GY32" ca="1" si="39">GS20-GR20</f>
        <v>1641.4280676641065</v>
      </c>
      <c r="GT32" s="34">
        <f t="shared" ca="1" si="39"/>
        <v>1707.0851903706643</v>
      </c>
      <c r="GU32" s="34">
        <f t="shared" ca="1" si="39"/>
        <v>1775.3685979854781</v>
      </c>
      <c r="GV32" s="34">
        <f t="shared" ca="1" si="39"/>
        <v>1846.3833419049042</v>
      </c>
      <c r="GW32" s="34">
        <f t="shared" ca="1" si="39"/>
        <v>1920.2386755811167</v>
      </c>
      <c r="GX32" s="34">
        <f t="shared" ca="1" si="39"/>
        <v>1997.0482226043387</v>
      </c>
      <c r="GY32" s="34">
        <f t="shared" ca="1" si="39"/>
        <v>2076.9301515085244</v>
      </c>
    </row>
    <row r="33" spans="1:207" ht="15" thickBot="1">
      <c r="C33" s="35" t="s">
        <v>94</v>
      </c>
      <c r="D33" s="35"/>
      <c r="E33" s="35"/>
      <c r="F33" s="35"/>
      <c r="G33" s="35"/>
      <c r="H33" s="36">
        <f ca="1">H29-H30-H31-H32</f>
        <v>21.559999999999995</v>
      </c>
      <c r="I33" s="36">
        <f t="shared" ref="I33:BT33" ca="1" si="40">I29-I30-I31-I32</f>
        <v>19.524584168533728</v>
      </c>
      <c r="J33" s="36">
        <f t="shared" ca="1" si="40"/>
        <v>22.403383366741338</v>
      </c>
      <c r="K33" s="36">
        <f t="shared" ca="1" si="40"/>
        <v>23.299518701410996</v>
      </c>
      <c r="L33" s="36">
        <f t="shared" ca="1" si="40"/>
        <v>24.231499449467435</v>
      </c>
      <c r="M33" s="36">
        <f t="shared" ca="1" si="40"/>
        <v>25.200759427446133</v>
      </c>
      <c r="N33" s="36">
        <f t="shared" ca="1" si="40"/>
        <v>26.208789804543994</v>
      </c>
      <c r="O33" s="36">
        <f t="shared" ca="1" si="40"/>
        <v>27.257141396725736</v>
      </c>
      <c r="P33" s="36">
        <f t="shared" ca="1" si="40"/>
        <v>28.347427052594789</v>
      </c>
      <c r="Q33" s="36">
        <f t="shared" ca="1" si="40"/>
        <v>29.481324134698564</v>
      </c>
      <c r="R33" s="36">
        <f t="shared" ca="1" si="40"/>
        <v>30.660577100086527</v>
      </c>
      <c r="S33" s="36">
        <f t="shared" ca="1" si="40"/>
        <v>31.88700018408997</v>
      </c>
      <c r="T33" s="36">
        <f t="shared" ca="1" si="40"/>
        <v>33.162480191453596</v>
      </c>
      <c r="U33" s="36">
        <f t="shared" ca="1" si="40"/>
        <v>34.488979399111727</v>
      </c>
      <c r="V33" s="36">
        <f t="shared" ca="1" si="40"/>
        <v>35.868538575076194</v>
      </c>
      <c r="W33" s="36">
        <f t="shared" ca="1" si="40"/>
        <v>37.303280118079257</v>
      </c>
      <c r="X33" s="36">
        <f t="shared" ca="1" si="40"/>
        <v>38.795411322802408</v>
      </c>
      <c r="Y33" s="36">
        <f t="shared" ca="1" si="40"/>
        <v>40.347227775714522</v>
      </c>
      <c r="Z33" s="36">
        <f t="shared" ca="1" si="40"/>
        <v>41.961116886743113</v>
      </c>
      <c r="AA33" s="36">
        <f t="shared" ca="1" si="40"/>
        <v>43.639561562212833</v>
      </c>
      <c r="AB33" s="36">
        <f t="shared" ca="1" si="40"/>
        <v>45.385144024701347</v>
      </c>
      <c r="AC33" s="36">
        <f t="shared" ca="1" si="40"/>
        <v>47.200549785689418</v>
      </c>
      <c r="AD33" s="36">
        <f t="shared" ca="1" si="40"/>
        <v>49.088571777116982</v>
      </c>
      <c r="AE33" s="36">
        <f t="shared" ca="1" si="40"/>
        <v>51.052114648201659</v>
      </c>
      <c r="AF33" s="36">
        <f t="shared" ca="1" si="40"/>
        <v>53.094199234129718</v>
      </c>
      <c r="AG33" s="36">
        <f t="shared" ca="1" si="40"/>
        <v>55.217967203494943</v>
      </c>
      <c r="AH33" s="36">
        <f t="shared" ca="1" si="40"/>
        <v>57.426685891634719</v>
      </c>
      <c r="AI33" s="36">
        <f t="shared" ca="1" si="40"/>
        <v>59.723753327300123</v>
      </c>
      <c r="AJ33" s="36">
        <f t="shared" ca="1" si="40"/>
        <v>62.112703460392126</v>
      </c>
      <c r="AK33" s="36">
        <f t="shared" ca="1" si="40"/>
        <v>64.597211598807831</v>
      </c>
      <c r="AL33" s="36">
        <f t="shared" ca="1" si="40"/>
        <v>67.181100062760152</v>
      </c>
      <c r="AM33" s="36">
        <f t="shared" ca="1" si="40"/>
        <v>69.868344065270563</v>
      </c>
      <c r="AN33" s="36">
        <f t="shared" ca="1" si="40"/>
        <v>72.663077827881381</v>
      </c>
      <c r="AO33" s="36">
        <f t="shared" ca="1" si="40"/>
        <v>75.569600940996622</v>
      </c>
      <c r="AP33" s="36">
        <f t="shared" ca="1" si="40"/>
        <v>78.592384978636517</v>
      </c>
      <c r="AQ33" s="36">
        <f t="shared" ca="1" si="40"/>
        <v>81.736080377781988</v>
      </c>
      <c r="AR33" s="36">
        <f t="shared" ca="1" si="40"/>
        <v>85.005523592893283</v>
      </c>
      <c r="AS33" s="36">
        <f t="shared" ca="1" si="40"/>
        <v>88.405744536608992</v>
      </c>
      <c r="AT33" s="36">
        <f t="shared" ca="1" si="40"/>
        <v>91.941974318073378</v>
      </c>
      <c r="AU33" s="36">
        <f t="shared" ca="1" si="40"/>
        <v>95.619653290796307</v>
      </c>
      <c r="AV33" s="36">
        <f t="shared" ca="1" si="40"/>
        <v>99.444439422428204</v>
      </c>
      <c r="AW33" s="36">
        <f t="shared" ca="1" si="40"/>
        <v>103.4222169993253</v>
      </c>
      <c r="AX33" s="36">
        <f t="shared" ca="1" si="40"/>
        <v>107.55910567929831</v>
      </c>
      <c r="AY33" s="36">
        <f t="shared" ca="1" si="40"/>
        <v>111.86146990647029</v>
      </c>
      <c r="AZ33" s="36">
        <f t="shared" ca="1" si="40"/>
        <v>116.33592870272908</v>
      </c>
      <c r="BA33" s="36">
        <f t="shared" ca="1" si="40"/>
        <v>120.98936585083827</v>
      </c>
      <c r="BB33" s="36">
        <f t="shared" ca="1" si="40"/>
        <v>125.82894048487179</v>
      </c>
      <c r="BC33" s="36">
        <f t="shared" ca="1" si="40"/>
        <v>130.86209810426675</v>
      </c>
      <c r="BD33" s="36">
        <f t="shared" ca="1" si="40"/>
        <v>136.09658202843733</v>
      </c>
      <c r="BE33" s="36">
        <f t="shared" ca="1" si="40"/>
        <v>141.54044530957486</v>
      </c>
      <c r="BF33" s="36">
        <f t="shared" ca="1" si="40"/>
        <v>147.20206312195788</v>
      </c>
      <c r="BG33" s="36">
        <f t="shared" ca="1" si="40"/>
        <v>153.09014564683616</v>
      </c>
      <c r="BH33" s="36">
        <f t="shared" ca="1" si="40"/>
        <v>159.21375147270965</v>
      </c>
      <c r="BI33" s="36">
        <f t="shared" ca="1" si="40"/>
        <v>165.58230153161801</v>
      </c>
      <c r="BJ33" s="36">
        <f t="shared" ca="1" si="40"/>
        <v>172.20559359288282</v>
      </c>
      <c r="BK33" s="36">
        <f t="shared" ca="1" si="40"/>
        <v>179.09381733659805</v>
      </c>
      <c r="BL33" s="36">
        <f t="shared" ca="1" si="40"/>
        <v>186.25757003006214</v>
      </c>
      <c r="BM33" s="36">
        <f t="shared" ca="1" si="40"/>
        <v>193.70787283126444</v>
      </c>
      <c r="BN33" s="36">
        <f t="shared" ca="1" si="40"/>
        <v>201.4561877445152</v>
      </c>
      <c r="BO33" s="36">
        <f t="shared" ca="1" si="40"/>
        <v>209.51443525429579</v>
      </c>
      <c r="BP33" s="36">
        <f t="shared" ca="1" si="40"/>
        <v>217.89501266446769</v>
      </c>
      <c r="BQ33" s="36">
        <f t="shared" ca="1" si="40"/>
        <v>226.61081317104632</v>
      </c>
      <c r="BR33" s="36">
        <f t="shared" ca="1" si="40"/>
        <v>235.67524569788822</v>
      </c>
      <c r="BS33" s="36">
        <f t="shared" ca="1" si="40"/>
        <v>245.1022555258038</v>
      </c>
      <c r="BT33" s="36">
        <f t="shared" ca="1" si="40"/>
        <v>254.90634574683588</v>
      </c>
      <c r="BU33" s="36">
        <f t="shared" ref="BU33:EF33" ca="1" si="41">BU29-BU30-BU31-BU32</f>
        <v>265.10259957670928</v>
      </c>
      <c r="BV33" s="36">
        <f t="shared" ca="1" si="41"/>
        <v>275.70670355977774</v>
      </c>
      <c r="BW33" s="36">
        <f t="shared" ca="1" si="41"/>
        <v>286.73497170216876</v>
      </c>
      <c r="BX33" s="36">
        <f t="shared" ca="1" si="41"/>
        <v>298.20437057025561</v>
      </c>
      <c r="BY33" s="36">
        <f t="shared" ca="1" si="41"/>
        <v>310.13254539306593</v>
      </c>
      <c r="BZ33" s="36">
        <f t="shared" ca="1" si="41"/>
        <v>322.53784720878849</v>
      </c>
      <c r="CA33" s="36">
        <f t="shared" ca="1" si="41"/>
        <v>335.43936109714014</v>
      </c>
      <c r="CB33" s="36">
        <f t="shared" ca="1" si="41"/>
        <v>348.85693554102579</v>
      </c>
      <c r="CC33" s="36">
        <f t="shared" ca="1" si="41"/>
        <v>362.81121296266673</v>
      </c>
      <c r="CD33" s="36">
        <f t="shared" ca="1" si="41"/>
        <v>377.32366148117342</v>
      </c>
      <c r="CE33" s="36">
        <f t="shared" ca="1" si="41"/>
        <v>392.41660794042053</v>
      </c>
      <c r="CF33" s="36">
        <f t="shared" ca="1" si="41"/>
        <v>408.11327225803723</v>
      </c>
      <c r="CG33" s="36">
        <f t="shared" ca="1" si="41"/>
        <v>424.43780314835868</v>
      </c>
      <c r="CH33" s="36">
        <f t="shared" ca="1" si="41"/>
        <v>441.41531527429316</v>
      </c>
      <c r="CI33" s="36">
        <f t="shared" ca="1" si="41"/>
        <v>459.0719278852647</v>
      </c>
      <c r="CJ33" s="36">
        <f t="shared" ca="1" si="41"/>
        <v>477.4348050006754</v>
      </c>
      <c r="CK33" s="36">
        <f t="shared" ca="1" si="41"/>
        <v>496.53219720070274</v>
      </c>
      <c r="CL33" s="36">
        <f t="shared" ca="1" si="41"/>
        <v>516.39348508873047</v>
      </c>
      <c r="CM33" s="36">
        <f t="shared" ca="1" si="41"/>
        <v>537.04922449228025</v>
      </c>
      <c r="CN33" s="36">
        <f t="shared" ca="1" si="41"/>
        <v>558.53119347197105</v>
      </c>
      <c r="CO33" s="36">
        <f t="shared" ca="1" si="41"/>
        <v>580.87244121084996</v>
      </c>
      <c r="CP33" s="36">
        <f t="shared" ca="1" si="41"/>
        <v>604.10733885928414</v>
      </c>
      <c r="CQ33" s="36">
        <f t="shared" ca="1" si="41"/>
        <v>628.27163241365542</v>
      </c>
      <c r="CR33" s="36">
        <f t="shared" ca="1" si="41"/>
        <v>653.40249771020194</v>
      </c>
      <c r="CS33" s="36">
        <f t="shared" ca="1" si="41"/>
        <v>679.53859761860963</v>
      </c>
      <c r="CT33" s="36">
        <f t="shared" ca="1" si="41"/>
        <v>706.72014152335396</v>
      </c>
      <c r="CU33" s="36">
        <f t="shared" ca="1" si="41"/>
        <v>734.98894718428835</v>
      </c>
      <c r="CV33" s="36">
        <f t="shared" ca="1" si="41"/>
        <v>764.38850507166035</v>
      </c>
      <c r="CW33" s="36">
        <f t="shared" ca="1" si="41"/>
        <v>794.96404527452648</v>
      </c>
      <c r="CX33" s="36">
        <f t="shared" ca="1" si="41"/>
        <v>826.76260708550763</v>
      </c>
      <c r="CY33" s="36">
        <f t="shared" ca="1" si="41"/>
        <v>859.83311136892792</v>
      </c>
      <c r="CZ33" s="36">
        <f t="shared" ca="1" si="41"/>
        <v>894.22643582368528</v>
      </c>
      <c r="DA33" s="36">
        <f t="shared" ca="1" si="41"/>
        <v>929.99549325663259</v>
      </c>
      <c r="DB33" s="36">
        <f t="shared" ca="1" si="41"/>
        <v>967.19531298689833</v>
      </c>
      <c r="DC33" s="36">
        <f t="shared" ca="1" si="41"/>
        <v>1005.8831255063744</v>
      </c>
      <c r="DD33" s="36">
        <f t="shared" ca="1" si="41"/>
        <v>1046.1184505266292</v>
      </c>
      <c r="DE33" s="36">
        <f t="shared" ca="1" si="41"/>
        <v>1087.9631885476945</v>
      </c>
      <c r="DF33" s="36">
        <f t="shared" ca="1" si="41"/>
        <v>1131.4817160896025</v>
      </c>
      <c r="DG33" s="36">
        <f t="shared" ca="1" si="41"/>
        <v>1176.7409847331862</v>
      </c>
      <c r="DH33" s="36">
        <f t="shared" ca="1" si="41"/>
        <v>1223.8106241225141</v>
      </c>
      <c r="DI33" s="36">
        <f t="shared" ca="1" si="41"/>
        <v>1272.7630490874144</v>
      </c>
      <c r="DJ33" s="36">
        <f t="shared" ca="1" si="41"/>
        <v>1323.6735710509115</v>
      </c>
      <c r="DK33" s="36">
        <f t="shared" ca="1" si="41"/>
        <v>1376.6205138929483</v>
      </c>
      <c r="DL33" s="36">
        <f t="shared" ca="1" si="41"/>
        <v>1431.6853344486653</v>
      </c>
      <c r="DM33" s="36">
        <f t="shared" ca="1" si="41"/>
        <v>1488.9527478266132</v>
      </c>
      <c r="DN33" s="36">
        <f t="shared" ca="1" si="41"/>
        <v>1548.510857739677</v>
      </c>
      <c r="DO33" s="36">
        <f t="shared" ca="1" si="41"/>
        <v>1610.4512920492648</v>
      </c>
      <c r="DP33" s="36">
        <f t="shared" ca="1" si="41"/>
        <v>1674.8693437312354</v>
      </c>
      <c r="DQ33" s="36">
        <f t="shared" ca="1" si="41"/>
        <v>1741.8641174804845</v>
      </c>
      <c r="DR33" s="36">
        <f t="shared" ca="1" si="41"/>
        <v>1811.5386821797042</v>
      </c>
      <c r="DS33" s="36">
        <f t="shared" ca="1" si="41"/>
        <v>1884.0002294668918</v>
      </c>
      <c r="DT33" s="36">
        <f t="shared" ca="1" si="41"/>
        <v>1959.360238645568</v>
      </c>
      <c r="DU33" s="36">
        <f t="shared" ca="1" si="41"/>
        <v>2037.7346481913914</v>
      </c>
      <c r="DV33" s="36">
        <f t="shared" ca="1" si="41"/>
        <v>2119.2440341190468</v>
      </c>
      <c r="DW33" s="36">
        <f t="shared" ca="1" si="41"/>
        <v>2204.0137954838083</v>
      </c>
      <c r="DX33" s="36">
        <f t="shared" ca="1" si="41"/>
        <v>2292.1743473031615</v>
      </c>
      <c r="DY33" s="36">
        <f t="shared" ca="1" si="41"/>
        <v>2383.8613211952879</v>
      </c>
      <c r="DZ33" s="36">
        <f t="shared" ca="1" si="41"/>
        <v>2479.2157740430998</v>
      </c>
      <c r="EA33" s="36">
        <f t="shared" ca="1" si="41"/>
        <v>2578.3844050048247</v>
      </c>
      <c r="EB33" s="36">
        <f t="shared" ca="1" si="41"/>
        <v>2681.5197812050169</v>
      </c>
      <c r="EC33" s="36">
        <f t="shared" ca="1" si="41"/>
        <v>2788.7805724532195</v>
      </c>
      <c r="ED33" s="36">
        <f t="shared" ca="1" si="41"/>
        <v>2900.331795351347</v>
      </c>
      <c r="EE33" s="36">
        <f t="shared" ca="1" si="41"/>
        <v>3016.3450671653995</v>
      </c>
      <c r="EF33" s="36">
        <f t="shared" ca="1" si="41"/>
        <v>3136.9988698520174</v>
      </c>
      <c r="EG33" s="36">
        <f t="shared" ref="EG33:GR33" ca="1" si="42">EG29-EG30-EG31-EG32</f>
        <v>3262.4788246460994</v>
      </c>
      <c r="EH33" s="36">
        <f t="shared" ca="1" si="42"/>
        <v>3392.9779776319424</v>
      </c>
      <c r="EI33" s="36">
        <f t="shared" ca="1" si="42"/>
        <v>3528.6970967372217</v>
      </c>
      <c r="EJ33" s="36">
        <f t="shared" ca="1" si="42"/>
        <v>3669.8449806067097</v>
      </c>
      <c r="EK33" s="36">
        <f t="shared" ca="1" si="42"/>
        <v>3816.6387798309793</v>
      </c>
      <c r="EL33" s="36">
        <f t="shared" ca="1" si="42"/>
        <v>3969.3043310242165</v>
      </c>
      <c r="EM33" s="36">
        <f t="shared" ca="1" si="42"/>
        <v>4128.0765042651856</v>
      </c>
      <c r="EN33" s="36">
        <f t="shared" ca="1" si="42"/>
        <v>4293.1995644357939</v>
      </c>
      <c r="EO33" s="36">
        <f t="shared" ca="1" si="42"/>
        <v>4464.9275470132261</v>
      </c>
      <c r="EP33" s="36">
        <f t="shared" ca="1" si="42"/>
        <v>4643.5246488937537</v>
      </c>
      <c r="EQ33" s="36">
        <f t="shared" ca="1" si="42"/>
        <v>4829.2656348495066</v>
      </c>
      <c r="ER33" s="36">
        <f t="shared" ca="1" si="42"/>
        <v>5022.436260243484</v>
      </c>
      <c r="ES33" s="36">
        <f t="shared" ca="1" si="42"/>
        <v>5223.3337106532254</v>
      </c>
      <c r="ET33" s="36">
        <f t="shared" ca="1" si="42"/>
        <v>5432.2670590793541</v>
      </c>
      <c r="EU33" s="36">
        <f t="shared" ca="1" si="42"/>
        <v>5649.5577414425306</v>
      </c>
      <c r="EV33" s="36">
        <f t="shared" ca="1" si="42"/>
        <v>5875.5400511002317</v>
      </c>
      <c r="EW33" s="36">
        <f t="shared" ca="1" si="42"/>
        <v>6110.5616531442392</v>
      </c>
      <c r="EX33" s="36">
        <f t="shared" ca="1" si="42"/>
        <v>6354.9841192700087</v>
      </c>
      <c r="EY33" s="36">
        <f t="shared" ca="1" si="42"/>
        <v>6609.1834840408128</v>
      </c>
      <c r="EZ33" s="36">
        <f t="shared" ca="1" si="42"/>
        <v>6873.5508234024437</v>
      </c>
      <c r="FA33" s="36">
        <f t="shared" ca="1" si="42"/>
        <v>7148.4928563385438</v>
      </c>
      <c r="FB33" s="36">
        <f t="shared" ca="1" si="42"/>
        <v>7434.4325705920828</v>
      </c>
      <c r="FC33" s="36">
        <f t="shared" ca="1" si="42"/>
        <v>7731.809873415772</v>
      </c>
      <c r="FD33" s="36">
        <f t="shared" ca="1" si="42"/>
        <v>8041.082268352402</v>
      </c>
      <c r="FE33" s="36">
        <f t="shared" ca="1" si="42"/>
        <v>8362.7255590864952</v>
      </c>
      <c r="FF33" s="36">
        <f t="shared" ca="1" si="42"/>
        <v>8697.2345814499586</v>
      </c>
      <c r="FG33" s="36">
        <f t="shared" ca="1" si="42"/>
        <v>9045.1239647079565</v>
      </c>
      <c r="FH33" s="36">
        <f t="shared" ca="1" si="42"/>
        <v>9406.928923296271</v>
      </c>
      <c r="FI33" s="36">
        <f t="shared" ca="1" si="42"/>
        <v>9783.2060802281267</v>
      </c>
      <c r="FJ33" s="36">
        <f t="shared" ca="1" si="42"/>
        <v>10174.534323437254</v>
      </c>
      <c r="FK33" s="36">
        <f t="shared" ca="1" si="42"/>
        <v>10581.515696374739</v>
      </c>
      <c r="FL33" s="36">
        <f t="shared" ca="1" si="42"/>
        <v>11004.776324229737</v>
      </c>
      <c r="FM33" s="36">
        <f t="shared" ca="1" si="42"/>
        <v>11444.967377198924</v>
      </c>
      <c r="FN33" s="36">
        <f t="shared" ca="1" si="42"/>
        <v>11902.766072286882</v>
      </c>
      <c r="FO33" s="36">
        <f t="shared" ca="1" si="42"/>
        <v>12378.876715178352</v>
      </c>
      <c r="FP33" s="36">
        <f t="shared" ca="1" si="42"/>
        <v>12874.031783785502</v>
      </c>
      <c r="FQ33" s="36">
        <f t="shared" ca="1" si="42"/>
        <v>13388.993055136911</v>
      </c>
      <c r="FR33" s="36">
        <f t="shared" ca="1" si="42"/>
        <v>13924.552777342387</v>
      </c>
      <c r="FS33" s="36">
        <f t="shared" ca="1" si="42"/>
        <v>14481.534888436086</v>
      </c>
      <c r="FT33" s="36">
        <f t="shared" ca="1" si="42"/>
        <v>15060.796283973532</v>
      </c>
      <c r="FU33" s="36">
        <f t="shared" ca="1" si="42"/>
        <v>15663.22813533248</v>
      </c>
      <c r="FV33" s="36">
        <f t="shared" ca="1" si="42"/>
        <v>16289.757260745766</v>
      </c>
      <c r="FW33" s="36">
        <f t="shared" ca="1" si="42"/>
        <v>16941.347551175604</v>
      </c>
      <c r="FX33" s="36">
        <f t="shared" ca="1" si="42"/>
        <v>17619.001453222638</v>
      </c>
      <c r="FY33" s="36">
        <f t="shared" ca="1" si="42"/>
        <v>18323.761511351535</v>
      </c>
      <c r="FZ33" s="36">
        <f t="shared" ca="1" si="42"/>
        <v>19056.711971805609</v>
      </c>
      <c r="GA33" s="36">
        <f t="shared" ca="1" si="42"/>
        <v>19818.98045067782</v>
      </c>
      <c r="GB33" s="36">
        <f t="shared" ca="1" si="42"/>
        <v>20611.739668704955</v>
      </c>
      <c r="GC33" s="36">
        <f t="shared" ca="1" si="42"/>
        <v>21436.209255453137</v>
      </c>
      <c r="GD33" s="36">
        <f t="shared" ca="1" si="42"/>
        <v>22293.657625671261</v>
      </c>
      <c r="GE33" s="36">
        <f t="shared" ca="1" si="42"/>
        <v>23185.403930698125</v>
      </c>
      <c r="GF33" s="36">
        <f t="shared" ca="1" si="42"/>
        <v>24112.820087926033</v>
      </c>
      <c r="GG33" s="36">
        <f t="shared" ca="1" si="42"/>
        <v>25077.332891443089</v>
      </c>
      <c r="GH33" s="36">
        <f t="shared" ca="1" si="42"/>
        <v>26080.426207100812</v>
      </c>
      <c r="GI33" s="36">
        <f t="shared" ca="1" si="42"/>
        <v>27123.643255384843</v>
      </c>
      <c r="GJ33" s="36">
        <f t="shared" ca="1" si="42"/>
        <v>28208.58898560024</v>
      </c>
      <c r="GK33" s="36">
        <f t="shared" ca="1" si="42"/>
        <v>29336.932545024261</v>
      </c>
      <c r="GL33" s="36">
        <f t="shared" ca="1" si="42"/>
        <v>30510.40984682523</v>
      </c>
      <c r="GM33" s="36">
        <f t="shared" ca="1" si="42"/>
        <v>31730.826240698232</v>
      </c>
      <c r="GN33" s="36">
        <f t="shared" ca="1" si="42"/>
        <v>33000.059290326171</v>
      </c>
      <c r="GO33" s="36">
        <f t="shared" ca="1" si="42"/>
        <v>34320.061661939217</v>
      </c>
      <c r="GP33" s="36">
        <f t="shared" ca="1" si="42"/>
        <v>35692.864128416797</v>
      </c>
      <c r="GQ33" s="36">
        <f t="shared" ca="1" si="42"/>
        <v>37120.578693553463</v>
      </c>
      <c r="GR33" s="36">
        <f t="shared" ca="1" si="42"/>
        <v>38605.401841295628</v>
      </c>
      <c r="GS33" s="36">
        <f t="shared" ref="GS33:GY33" ca="1" si="43">GS29-GS30-GS31-GS32</f>
        <v>40149.617914947434</v>
      </c>
      <c r="GT33" s="36">
        <f t="shared" ca="1" si="43"/>
        <v>41755.602631545349</v>
      </c>
      <c r="GU33" s="36">
        <f t="shared" ca="1" si="43"/>
        <v>43425.826736807168</v>
      </c>
      <c r="GV33" s="36">
        <f t="shared" ca="1" si="43"/>
        <v>45162.859806279448</v>
      </c>
      <c r="GW33" s="36">
        <f t="shared" ca="1" si="43"/>
        <v>46969.374198530597</v>
      </c>
      <c r="GX33" s="36">
        <f t="shared" ca="1" si="43"/>
        <v>48848.149166471863</v>
      </c>
      <c r="GY33" s="36">
        <f t="shared" ca="1" si="43"/>
        <v>50802.075133130718</v>
      </c>
    </row>
    <row r="35" spans="1:207">
      <c r="B35" s="18" t="s">
        <v>98</v>
      </c>
      <c r="E35" s="22">
        <f>E5</f>
        <v>7.0000000000000007E-2</v>
      </c>
      <c r="G35" s="34">
        <f ca="1">NPV(E35,33:33)</f>
        <v>687.13010801362782</v>
      </c>
    </row>
    <row r="36" spans="1:207">
      <c r="B36" s="18" t="s">
        <v>8</v>
      </c>
      <c r="G36" s="34">
        <f ca="1">H29</f>
        <v>57.244539578665666</v>
      </c>
    </row>
    <row r="37" spans="1:207">
      <c r="B37" s="18" t="s">
        <v>10</v>
      </c>
      <c r="G37" s="34">
        <f ca="1">G35/G36</f>
        <v>12.003417497478008</v>
      </c>
    </row>
    <row r="38" spans="1:207">
      <c r="B38" s="18" t="s">
        <v>76</v>
      </c>
      <c r="G38" s="34">
        <f ca="1">G35/H25</f>
        <v>17.351770404384542</v>
      </c>
    </row>
    <row r="39" spans="1:207">
      <c r="B39" s="18" t="s">
        <v>78</v>
      </c>
      <c r="G39" s="34">
        <f ca="1">G35/H24</f>
        <v>24.78824343483506</v>
      </c>
    </row>
    <row r="41" spans="1:207" s="31" customFormat="1">
      <c r="A41" s="31" t="s">
        <v>99</v>
      </c>
      <c r="F41" s="31">
        <v>1</v>
      </c>
      <c r="G41" s="31">
        <v>2</v>
      </c>
      <c r="H41" s="31">
        <v>3</v>
      </c>
      <c r="I41" s="31">
        <v>4</v>
      </c>
      <c r="J41" s="31">
        <v>5</v>
      </c>
      <c r="K41" s="31">
        <v>6</v>
      </c>
      <c r="L41" s="31">
        <v>7</v>
      </c>
      <c r="M41" s="31">
        <v>8</v>
      </c>
      <c r="N41" s="31">
        <v>9</v>
      </c>
      <c r="O41" s="31">
        <v>10</v>
      </c>
      <c r="P41" s="31">
        <v>11</v>
      </c>
      <c r="Q41" s="31">
        <v>12</v>
      </c>
      <c r="R41" s="31">
        <v>13</v>
      </c>
      <c r="S41" s="31">
        <v>14</v>
      </c>
      <c r="T41" s="31">
        <v>15</v>
      </c>
      <c r="U41" s="31">
        <v>16</v>
      </c>
      <c r="V41" s="31">
        <v>17</v>
      </c>
      <c r="W41" s="31">
        <v>18</v>
      </c>
      <c r="X41" s="31">
        <v>19</v>
      </c>
      <c r="Y41" s="31">
        <v>20</v>
      </c>
      <c r="Z41" s="31">
        <v>21</v>
      </c>
      <c r="AA41" s="31">
        <v>22</v>
      </c>
      <c r="AB41" s="31">
        <v>23</v>
      </c>
      <c r="AC41" s="31">
        <v>24</v>
      </c>
      <c r="AD41" s="31">
        <v>25</v>
      </c>
      <c r="AE41" s="31">
        <v>26</v>
      </c>
      <c r="AF41" s="31">
        <v>27</v>
      </c>
      <c r="AG41" s="31">
        <v>28</v>
      </c>
      <c r="AH41" s="31">
        <v>29</v>
      </c>
      <c r="AI41" s="31">
        <v>30</v>
      </c>
      <c r="AJ41" s="31">
        <v>31</v>
      </c>
      <c r="AK41" s="31">
        <v>32</v>
      </c>
      <c r="AL41" s="31">
        <v>33</v>
      </c>
      <c r="AM41" s="31">
        <v>34</v>
      </c>
      <c r="AN41" s="31">
        <v>35</v>
      </c>
      <c r="AO41" s="31">
        <v>36</v>
      </c>
      <c r="AP41" s="31">
        <v>37</v>
      </c>
      <c r="AQ41" s="31">
        <v>38</v>
      </c>
      <c r="AR41" s="31">
        <v>39</v>
      </c>
      <c r="AS41" s="31">
        <v>40</v>
      </c>
      <c r="AT41" s="31">
        <v>41</v>
      </c>
      <c r="AU41" s="31">
        <v>42</v>
      </c>
      <c r="AV41" s="31">
        <v>43</v>
      </c>
      <c r="AW41" s="31">
        <v>44</v>
      </c>
      <c r="AX41" s="31">
        <v>45</v>
      </c>
      <c r="AY41" s="31">
        <v>46</v>
      </c>
      <c r="AZ41" s="31">
        <v>47</v>
      </c>
      <c r="BA41" s="31">
        <v>48</v>
      </c>
      <c r="BB41" s="31">
        <v>49</v>
      </c>
      <c r="BC41" s="31">
        <v>50</v>
      </c>
    </row>
    <row r="42" spans="1:207">
      <c r="B42" s="18" t="s">
        <v>100</v>
      </c>
      <c r="F42" s="37">
        <v>100</v>
      </c>
      <c r="G42" s="34">
        <f>F42*(1+$E$4)</f>
        <v>104</v>
      </c>
      <c r="H42" s="34">
        <f t="shared" ref="H42:BC42" si="44">G42*(1+$E$4)</f>
        <v>108.16</v>
      </c>
      <c r="I42" s="34">
        <f t="shared" si="44"/>
        <v>112.4864</v>
      </c>
      <c r="J42" s="34">
        <f t="shared" si="44"/>
        <v>116.98585600000001</v>
      </c>
      <c r="K42" s="34">
        <f t="shared" si="44"/>
        <v>121.66529024000002</v>
      </c>
      <c r="L42" s="34">
        <f t="shared" si="44"/>
        <v>126.53190184960002</v>
      </c>
      <c r="M42" s="34">
        <f t="shared" si="44"/>
        <v>131.59317792358402</v>
      </c>
      <c r="N42" s="34">
        <f t="shared" si="44"/>
        <v>136.85690504052738</v>
      </c>
      <c r="O42" s="34">
        <f t="shared" si="44"/>
        <v>142.33118124214849</v>
      </c>
      <c r="P42" s="34">
        <f t="shared" si="44"/>
        <v>148.02442849183444</v>
      </c>
      <c r="Q42" s="34">
        <f t="shared" si="44"/>
        <v>153.94540563150784</v>
      </c>
      <c r="R42" s="34">
        <f t="shared" si="44"/>
        <v>160.10322185676816</v>
      </c>
      <c r="S42" s="34">
        <f t="shared" si="44"/>
        <v>166.50735073103888</v>
      </c>
      <c r="T42" s="34">
        <f t="shared" si="44"/>
        <v>173.16764476028044</v>
      </c>
      <c r="U42" s="34">
        <f t="shared" si="44"/>
        <v>180.09435055069167</v>
      </c>
      <c r="V42" s="34">
        <f t="shared" si="44"/>
        <v>187.29812457271936</v>
      </c>
      <c r="W42" s="34">
        <f t="shared" si="44"/>
        <v>194.79004955562814</v>
      </c>
      <c r="X42" s="34">
        <f t="shared" si="44"/>
        <v>202.58165153785328</v>
      </c>
      <c r="Y42" s="34">
        <f t="shared" si="44"/>
        <v>210.68491759936742</v>
      </c>
      <c r="Z42" s="34">
        <f t="shared" si="44"/>
        <v>219.11231430334212</v>
      </c>
      <c r="AA42" s="34">
        <f t="shared" si="44"/>
        <v>227.87680687547581</v>
      </c>
      <c r="AB42" s="34">
        <f t="shared" si="44"/>
        <v>236.99187915049484</v>
      </c>
      <c r="AC42" s="34">
        <f t="shared" si="44"/>
        <v>246.47155431651464</v>
      </c>
      <c r="AD42" s="34">
        <f t="shared" si="44"/>
        <v>256.33041648917526</v>
      </c>
      <c r="AE42" s="34">
        <f t="shared" si="44"/>
        <v>266.58363314874231</v>
      </c>
      <c r="AF42" s="34">
        <f t="shared" si="44"/>
        <v>277.24697847469201</v>
      </c>
      <c r="AG42" s="34">
        <f t="shared" si="44"/>
        <v>288.33685761367968</v>
      </c>
      <c r="AH42" s="34">
        <f t="shared" si="44"/>
        <v>299.8703319182269</v>
      </c>
      <c r="AI42" s="34">
        <f t="shared" si="44"/>
        <v>311.86514519495597</v>
      </c>
      <c r="AJ42" s="34">
        <f t="shared" si="44"/>
        <v>324.33975100275421</v>
      </c>
      <c r="AK42" s="34">
        <f t="shared" si="44"/>
        <v>337.31334104286441</v>
      </c>
      <c r="AL42" s="34">
        <f t="shared" si="44"/>
        <v>350.80587468457901</v>
      </c>
      <c r="AM42" s="34">
        <f t="shared" si="44"/>
        <v>364.83810967196217</v>
      </c>
      <c r="AN42" s="34">
        <f t="shared" si="44"/>
        <v>379.4316340588407</v>
      </c>
      <c r="AO42" s="34">
        <f t="shared" si="44"/>
        <v>394.60889942119434</v>
      </c>
      <c r="AP42" s="34">
        <f t="shared" si="44"/>
        <v>410.39325539804213</v>
      </c>
      <c r="AQ42" s="34">
        <f t="shared" si="44"/>
        <v>426.80898561396384</v>
      </c>
      <c r="AR42" s="34">
        <f t="shared" si="44"/>
        <v>443.8813450385224</v>
      </c>
      <c r="AS42" s="34">
        <f t="shared" si="44"/>
        <v>461.6365988400633</v>
      </c>
      <c r="AT42" s="34">
        <f t="shared" si="44"/>
        <v>480.10206279366582</v>
      </c>
      <c r="AU42" s="34">
        <f t="shared" si="44"/>
        <v>499.30614530541249</v>
      </c>
      <c r="AV42" s="34">
        <f t="shared" si="44"/>
        <v>519.27839111762898</v>
      </c>
      <c r="AW42" s="34">
        <f t="shared" si="44"/>
        <v>540.04952676233415</v>
      </c>
      <c r="AX42" s="34">
        <f t="shared" si="44"/>
        <v>561.65150783282752</v>
      </c>
      <c r="AY42" s="34">
        <f t="shared" si="44"/>
        <v>584.11756814614068</v>
      </c>
      <c r="AZ42" s="34">
        <f t="shared" si="44"/>
        <v>607.48227087198632</v>
      </c>
      <c r="BA42" s="34">
        <f t="shared" si="44"/>
        <v>631.78156170686577</v>
      </c>
      <c r="BB42" s="34">
        <f t="shared" si="44"/>
        <v>657.05282417514047</v>
      </c>
      <c r="BC42" s="34">
        <f t="shared" si="44"/>
        <v>683.33493714214615</v>
      </c>
    </row>
    <row r="44" spans="1:207">
      <c r="B44" s="18" t="s">
        <v>101</v>
      </c>
    </row>
    <row r="45" spans="1:207">
      <c r="C45" s="18" t="s">
        <v>51</v>
      </c>
      <c r="F45" s="34">
        <f>E48</f>
        <v>0</v>
      </c>
      <c r="G45" s="34">
        <f t="shared" ref="G45:BC45" ca="1" si="45">F48</f>
        <v>100</v>
      </c>
      <c r="H45" s="34">
        <f t="shared" ca="1" si="45"/>
        <v>204</v>
      </c>
      <c r="I45" s="34">
        <f t="shared" ca="1" si="45"/>
        <v>312.15999999999997</v>
      </c>
      <c r="J45" s="34">
        <f t="shared" ca="1" si="45"/>
        <v>424.64639999999997</v>
      </c>
      <c r="K45" s="34">
        <f t="shared" ca="1" si="45"/>
        <v>541.63225599999998</v>
      </c>
      <c r="L45" s="34">
        <f t="shared" ca="1" si="45"/>
        <v>663.29754623999997</v>
      </c>
      <c r="M45" s="34">
        <f t="shared" ca="1" si="45"/>
        <v>789.82944808959996</v>
      </c>
      <c r="N45" s="34">
        <f t="shared" ca="1" si="45"/>
        <v>921.42262601318396</v>
      </c>
      <c r="O45" s="34">
        <f t="shared" ca="1" si="45"/>
        <v>1058.2795310537113</v>
      </c>
      <c r="P45" s="34">
        <f t="shared" ca="1" si="45"/>
        <v>1200.6107122958597</v>
      </c>
      <c r="Q45" s="34">
        <f t="shared" ca="1" si="45"/>
        <v>1348.6351407876941</v>
      </c>
      <c r="R45" s="34">
        <f t="shared" ca="1" si="45"/>
        <v>1502.5805464192019</v>
      </c>
      <c r="S45" s="34">
        <f t="shared" ca="1" si="45"/>
        <v>1662.6837682759701</v>
      </c>
      <c r="T45" s="34">
        <f t="shared" ca="1" si="45"/>
        <v>1829.1911190070091</v>
      </c>
      <c r="U45" s="34">
        <f t="shared" ca="1" si="45"/>
        <v>2002.3587637672895</v>
      </c>
      <c r="V45" s="34">
        <f t="shared" ca="1" si="45"/>
        <v>2082.4531143179811</v>
      </c>
      <c r="W45" s="34">
        <f t="shared" ca="1" si="45"/>
        <v>2165.7512388907003</v>
      </c>
      <c r="X45" s="34">
        <f t="shared" ca="1" si="45"/>
        <v>2252.3812884463287</v>
      </c>
      <c r="Y45" s="34">
        <f t="shared" ca="1" si="45"/>
        <v>2342.4765399841817</v>
      </c>
      <c r="Z45" s="34">
        <f t="shared" ca="1" si="45"/>
        <v>2436.175601583549</v>
      </c>
      <c r="AA45" s="34">
        <f t="shared" ca="1" si="45"/>
        <v>2533.6226256468908</v>
      </c>
      <c r="AB45" s="34">
        <f t="shared" ca="1" si="45"/>
        <v>2634.9675306727663</v>
      </c>
      <c r="AC45" s="34">
        <f t="shared" ca="1" si="45"/>
        <v>2740.3662318996771</v>
      </c>
      <c r="AD45" s="34">
        <f t="shared" ca="1" si="45"/>
        <v>2849.9808811756648</v>
      </c>
      <c r="AE45" s="34">
        <f t="shared" ca="1" si="45"/>
        <v>2963.9801164226915</v>
      </c>
      <c r="AF45" s="34">
        <f t="shared" ca="1" si="45"/>
        <v>3082.5393210795992</v>
      </c>
      <c r="AG45" s="34">
        <f t="shared" ca="1" si="45"/>
        <v>3205.8408939227829</v>
      </c>
      <c r="AH45" s="34">
        <f t="shared" ca="1" si="45"/>
        <v>3334.0745296796945</v>
      </c>
      <c r="AI45" s="34">
        <f t="shared" ca="1" si="45"/>
        <v>3467.4375108668823</v>
      </c>
      <c r="AJ45" s="34">
        <f t="shared" ca="1" si="45"/>
        <v>3606.1350113015578</v>
      </c>
      <c r="AK45" s="34">
        <f t="shared" ca="1" si="45"/>
        <v>3750.3804117536206</v>
      </c>
      <c r="AL45" s="34">
        <f t="shared" ca="1" si="45"/>
        <v>3900.3956282237659</v>
      </c>
      <c r="AM45" s="34">
        <f t="shared" ca="1" si="45"/>
        <v>4056.4114533527168</v>
      </c>
      <c r="AN45" s="34">
        <f t="shared" ca="1" si="45"/>
        <v>4218.6679114868257</v>
      </c>
      <c r="AO45" s="34">
        <f t="shared" ca="1" si="45"/>
        <v>4387.4146279462993</v>
      </c>
      <c r="AP45" s="34">
        <f t="shared" ca="1" si="45"/>
        <v>4562.9112130641515</v>
      </c>
      <c r="AQ45" s="34">
        <f t="shared" ca="1" si="45"/>
        <v>4745.4276615867175</v>
      </c>
      <c r="AR45" s="34">
        <f t="shared" ca="1" si="45"/>
        <v>4935.2447680501864</v>
      </c>
      <c r="AS45" s="34">
        <f t="shared" ca="1" si="45"/>
        <v>5132.6545587721939</v>
      </c>
      <c r="AT45" s="34">
        <f t="shared" ca="1" si="45"/>
        <v>5337.9607411230818</v>
      </c>
      <c r="AU45" s="34">
        <f t="shared" ca="1" si="45"/>
        <v>5551.4791707680051</v>
      </c>
      <c r="AV45" s="34">
        <f t="shared" ca="1" si="45"/>
        <v>5773.5383375987258</v>
      </c>
      <c r="AW45" s="34">
        <f t="shared" ca="1" si="45"/>
        <v>6004.4798711026751</v>
      </c>
      <c r="AX45" s="34">
        <f t="shared" ca="1" si="45"/>
        <v>6244.6590659467829</v>
      </c>
      <c r="AY45" s="34">
        <f t="shared" ca="1" si="45"/>
        <v>6494.4454285846541</v>
      </c>
      <c r="AZ45" s="34">
        <f t="shared" ca="1" si="45"/>
        <v>6754.2232457280406</v>
      </c>
      <c r="BA45" s="34">
        <f t="shared" ca="1" si="45"/>
        <v>7024.3921755571628</v>
      </c>
      <c r="BB45" s="34">
        <f t="shared" ca="1" si="45"/>
        <v>7305.3678625794491</v>
      </c>
      <c r="BC45" s="34">
        <f t="shared" ca="1" si="45"/>
        <v>7597.5825770826277</v>
      </c>
    </row>
    <row r="46" spans="1:207">
      <c r="C46" s="18" t="s">
        <v>102</v>
      </c>
      <c r="F46" s="34">
        <f>F42</f>
        <v>100</v>
      </c>
      <c r="G46" s="34">
        <f t="shared" ref="G46:BC46" si="46">G42</f>
        <v>104</v>
      </c>
      <c r="H46" s="34">
        <f t="shared" si="46"/>
        <v>108.16</v>
      </c>
      <c r="I46" s="34">
        <f t="shared" si="46"/>
        <v>112.4864</v>
      </c>
      <c r="J46" s="34">
        <f t="shared" si="46"/>
        <v>116.98585600000001</v>
      </c>
      <c r="K46" s="34">
        <f t="shared" si="46"/>
        <v>121.66529024000002</v>
      </c>
      <c r="L46" s="34">
        <f t="shared" si="46"/>
        <v>126.53190184960002</v>
      </c>
      <c r="M46" s="34">
        <f t="shared" si="46"/>
        <v>131.59317792358402</v>
      </c>
      <c r="N46" s="34">
        <f t="shared" si="46"/>
        <v>136.85690504052738</v>
      </c>
      <c r="O46" s="34">
        <f t="shared" si="46"/>
        <v>142.33118124214849</v>
      </c>
      <c r="P46" s="34">
        <f t="shared" si="46"/>
        <v>148.02442849183444</v>
      </c>
      <c r="Q46" s="34">
        <f t="shared" si="46"/>
        <v>153.94540563150784</v>
      </c>
      <c r="R46" s="34">
        <f t="shared" si="46"/>
        <v>160.10322185676816</v>
      </c>
      <c r="S46" s="34">
        <f t="shared" si="46"/>
        <v>166.50735073103888</v>
      </c>
      <c r="T46" s="34">
        <f t="shared" si="46"/>
        <v>173.16764476028044</v>
      </c>
      <c r="U46" s="34">
        <f t="shared" si="46"/>
        <v>180.09435055069167</v>
      </c>
      <c r="V46" s="34">
        <f t="shared" si="46"/>
        <v>187.29812457271936</v>
      </c>
      <c r="W46" s="34">
        <f t="shared" si="46"/>
        <v>194.79004955562814</v>
      </c>
      <c r="X46" s="34">
        <f t="shared" si="46"/>
        <v>202.58165153785328</v>
      </c>
      <c r="Y46" s="34">
        <f t="shared" si="46"/>
        <v>210.68491759936742</v>
      </c>
      <c r="Z46" s="34">
        <f t="shared" si="46"/>
        <v>219.11231430334212</v>
      </c>
      <c r="AA46" s="34">
        <f t="shared" si="46"/>
        <v>227.87680687547581</v>
      </c>
      <c r="AB46" s="34">
        <f t="shared" si="46"/>
        <v>236.99187915049484</v>
      </c>
      <c r="AC46" s="34">
        <f t="shared" si="46"/>
        <v>246.47155431651464</v>
      </c>
      <c r="AD46" s="34">
        <f t="shared" si="46"/>
        <v>256.33041648917526</v>
      </c>
      <c r="AE46" s="34">
        <f t="shared" si="46"/>
        <v>266.58363314874231</v>
      </c>
      <c r="AF46" s="34">
        <f t="shared" si="46"/>
        <v>277.24697847469201</v>
      </c>
      <c r="AG46" s="34">
        <f t="shared" si="46"/>
        <v>288.33685761367968</v>
      </c>
      <c r="AH46" s="34">
        <f t="shared" si="46"/>
        <v>299.8703319182269</v>
      </c>
      <c r="AI46" s="34">
        <f t="shared" si="46"/>
        <v>311.86514519495597</v>
      </c>
      <c r="AJ46" s="34">
        <f t="shared" si="46"/>
        <v>324.33975100275421</v>
      </c>
      <c r="AK46" s="34">
        <f t="shared" si="46"/>
        <v>337.31334104286441</v>
      </c>
      <c r="AL46" s="34">
        <f t="shared" si="46"/>
        <v>350.80587468457901</v>
      </c>
      <c r="AM46" s="34">
        <f t="shared" si="46"/>
        <v>364.83810967196217</v>
      </c>
      <c r="AN46" s="34">
        <f t="shared" si="46"/>
        <v>379.4316340588407</v>
      </c>
      <c r="AO46" s="34">
        <f t="shared" si="46"/>
        <v>394.60889942119434</v>
      </c>
      <c r="AP46" s="34">
        <f t="shared" si="46"/>
        <v>410.39325539804213</v>
      </c>
      <c r="AQ46" s="34">
        <f t="shared" si="46"/>
        <v>426.80898561396384</v>
      </c>
      <c r="AR46" s="34">
        <f t="shared" si="46"/>
        <v>443.8813450385224</v>
      </c>
      <c r="AS46" s="34">
        <f t="shared" si="46"/>
        <v>461.6365988400633</v>
      </c>
      <c r="AT46" s="34">
        <f t="shared" si="46"/>
        <v>480.10206279366582</v>
      </c>
      <c r="AU46" s="34">
        <f t="shared" si="46"/>
        <v>499.30614530541249</v>
      </c>
      <c r="AV46" s="34">
        <f t="shared" si="46"/>
        <v>519.27839111762898</v>
      </c>
      <c r="AW46" s="34">
        <f t="shared" si="46"/>
        <v>540.04952676233415</v>
      </c>
      <c r="AX46" s="34">
        <f t="shared" si="46"/>
        <v>561.65150783282752</v>
      </c>
      <c r="AY46" s="34">
        <f t="shared" si="46"/>
        <v>584.11756814614068</v>
      </c>
      <c r="AZ46" s="34">
        <f t="shared" si="46"/>
        <v>607.48227087198632</v>
      </c>
      <c r="BA46" s="34">
        <f t="shared" si="46"/>
        <v>631.78156170686577</v>
      </c>
      <c r="BB46" s="34">
        <f t="shared" si="46"/>
        <v>657.05282417514047</v>
      </c>
      <c r="BC46" s="34">
        <f t="shared" si="46"/>
        <v>683.33493714214615</v>
      </c>
    </row>
    <row r="47" spans="1:207">
      <c r="C47" s="18" t="s">
        <v>103</v>
      </c>
      <c r="E47" s="18">
        <f>E6</f>
        <v>15</v>
      </c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</row>
    <row r="48" spans="1:207">
      <c r="C48" s="18" t="s">
        <v>54</v>
      </c>
      <c r="F48" s="34">
        <f ca="1">F45+F46-F47</f>
        <v>100</v>
      </c>
      <c r="G48" s="34">
        <f t="shared" ref="G48:BC48" ca="1" si="47">G45+G46-G47</f>
        <v>204</v>
      </c>
      <c r="H48" s="34">
        <f t="shared" ca="1" si="47"/>
        <v>312.15999999999997</v>
      </c>
      <c r="I48" s="34">
        <f t="shared" ca="1" si="47"/>
        <v>424.64639999999997</v>
      </c>
      <c r="J48" s="34">
        <f t="shared" ca="1" si="47"/>
        <v>541.63225599999998</v>
      </c>
      <c r="K48" s="34">
        <f t="shared" ca="1" si="47"/>
        <v>663.29754623999997</v>
      </c>
      <c r="L48" s="34">
        <f t="shared" ca="1" si="47"/>
        <v>789.82944808959996</v>
      </c>
      <c r="M48" s="34">
        <f t="shared" ca="1" si="47"/>
        <v>921.42262601318396</v>
      </c>
      <c r="N48" s="34">
        <f t="shared" ca="1" si="47"/>
        <v>1058.2795310537113</v>
      </c>
      <c r="O48" s="34">
        <f t="shared" ca="1" si="47"/>
        <v>1200.6107122958597</v>
      </c>
      <c r="P48" s="34">
        <f t="shared" ca="1" si="47"/>
        <v>1348.6351407876941</v>
      </c>
      <c r="Q48" s="34">
        <f t="shared" ca="1" si="47"/>
        <v>1502.5805464192019</v>
      </c>
      <c r="R48" s="34">
        <f t="shared" ca="1" si="47"/>
        <v>1662.6837682759701</v>
      </c>
      <c r="S48" s="34">
        <f t="shared" ca="1" si="47"/>
        <v>1829.1911190070091</v>
      </c>
      <c r="T48" s="34">
        <f t="shared" ca="1" si="47"/>
        <v>2002.3587637672895</v>
      </c>
      <c r="U48" s="34">
        <f t="shared" ca="1" si="47"/>
        <v>2082.4531143179811</v>
      </c>
      <c r="V48" s="34">
        <f t="shared" ca="1" si="47"/>
        <v>2165.7512388907003</v>
      </c>
      <c r="W48" s="34">
        <f t="shared" ca="1" si="47"/>
        <v>2252.3812884463287</v>
      </c>
      <c r="X48" s="34">
        <f t="shared" ca="1" si="47"/>
        <v>2342.4765399841817</v>
      </c>
      <c r="Y48" s="34">
        <f t="shared" ca="1" si="47"/>
        <v>2436.175601583549</v>
      </c>
      <c r="Z48" s="34">
        <f t="shared" ca="1" si="47"/>
        <v>2533.6226256468908</v>
      </c>
      <c r="AA48" s="34">
        <f t="shared" ca="1" si="47"/>
        <v>2634.9675306727663</v>
      </c>
      <c r="AB48" s="34">
        <f t="shared" ca="1" si="47"/>
        <v>2740.3662318996771</v>
      </c>
      <c r="AC48" s="34">
        <f t="shared" ca="1" si="47"/>
        <v>2849.9808811756648</v>
      </c>
      <c r="AD48" s="34">
        <f t="shared" ca="1" si="47"/>
        <v>2963.9801164226915</v>
      </c>
      <c r="AE48" s="34">
        <f t="shared" ca="1" si="47"/>
        <v>3082.5393210795992</v>
      </c>
      <c r="AF48" s="34">
        <f t="shared" ca="1" si="47"/>
        <v>3205.8408939227829</v>
      </c>
      <c r="AG48" s="34">
        <f t="shared" ca="1" si="47"/>
        <v>3334.0745296796945</v>
      </c>
      <c r="AH48" s="34">
        <f t="shared" ca="1" si="47"/>
        <v>3467.4375108668823</v>
      </c>
      <c r="AI48" s="34">
        <f t="shared" ca="1" si="47"/>
        <v>3606.1350113015578</v>
      </c>
      <c r="AJ48" s="34">
        <f t="shared" ca="1" si="47"/>
        <v>3750.3804117536206</v>
      </c>
      <c r="AK48" s="34">
        <f t="shared" ca="1" si="47"/>
        <v>3900.3956282237659</v>
      </c>
      <c r="AL48" s="34">
        <f t="shared" ca="1" si="47"/>
        <v>4056.4114533527168</v>
      </c>
      <c r="AM48" s="34">
        <f t="shared" ca="1" si="47"/>
        <v>4218.6679114868257</v>
      </c>
      <c r="AN48" s="34">
        <f t="shared" ca="1" si="47"/>
        <v>4387.4146279462993</v>
      </c>
      <c r="AO48" s="34">
        <f t="shared" ca="1" si="47"/>
        <v>4562.9112130641515</v>
      </c>
      <c r="AP48" s="34">
        <f t="shared" ca="1" si="47"/>
        <v>4745.4276615867175</v>
      </c>
      <c r="AQ48" s="34">
        <f t="shared" ca="1" si="47"/>
        <v>4935.2447680501864</v>
      </c>
      <c r="AR48" s="34">
        <f t="shared" ca="1" si="47"/>
        <v>5132.6545587721939</v>
      </c>
      <c r="AS48" s="34">
        <f t="shared" ca="1" si="47"/>
        <v>5337.9607411230818</v>
      </c>
      <c r="AT48" s="34">
        <f t="shared" ca="1" si="47"/>
        <v>5551.4791707680051</v>
      </c>
      <c r="AU48" s="34">
        <f t="shared" ca="1" si="47"/>
        <v>5773.5383375987258</v>
      </c>
      <c r="AV48" s="34">
        <f t="shared" ca="1" si="47"/>
        <v>6004.4798711026751</v>
      </c>
      <c r="AW48" s="34">
        <f t="shared" ca="1" si="47"/>
        <v>6244.6590659467829</v>
      </c>
      <c r="AX48" s="34">
        <f t="shared" ca="1" si="47"/>
        <v>6494.4454285846541</v>
      </c>
      <c r="AY48" s="34">
        <f t="shared" ca="1" si="47"/>
        <v>6754.2232457280406</v>
      </c>
      <c r="AZ48" s="34">
        <f t="shared" ca="1" si="47"/>
        <v>7024.3921755571628</v>
      </c>
      <c r="BA48" s="34">
        <f t="shared" ca="1" si="47"/>
        <v>7305.3678625794491</v>
      </c>
      <c r="BB48" s="34">
        <f t="shared" ca="1" si="47"/>
        <v>7597.5825770826277</v>
      </c>
      <c r="BC48" s="34">
        <f t="shared" ca="1" si="47"/>
        <v>7901.485880165932</v>
      </c>
    </row>
    <row r="49" spans="2:55">
      <c r="C49" s="18" t="s">
        <v>104</v>
      </c>
      <c r="E49" s="20">
        <f>1/E6</f>
        <v>6.6666666666666666E-2</v>
      </c>
      <c r="F49" s="34">
        <f>$E$49*F45</f>
        <v>0</v>
      </c>
      <c r="G49" s="34">
        <f t="shared" ref="G49:BC49" ca="1" si="48">$E$49*G45</f>
        <v>6.666666666666667</v>
      </c>
      <c r="H49" s="34">
        <f t="shared" ca="1" si="48"/>
        <v>13.6</v>
      </c>
      <c r="I49" s="34">
        <f t="shared" ca="1" si="48"/>
        <v>20.810666666666663</v>
      </c>
      <c r="J49" s="34">
        <f t="shared" ca="1" si="48"/>
        <v>28.309759999999997</v>
      </c>
      <c r="K49" s="34">
        <f t="shared" ca="1" si="48"/>
        <v>36.108817066666667</v>
      </c>
      <c r="L49" s="34">
        <f t="shared" ca="1" si="48"/>
        <v>44.219836416</v>
      </c>
      <c r="M49" s="34">
        <f t="shared" ca="1" si="48"/>
        <v>52.655296539306661</v>
      </c>
      <c r="N49" s="34">
        <f t="shared" ca="1" si="48"/>
        <v>61.428175067545595</v>
      </c>
      <c r="O49" s="34">
        <f t="shared" ca="1" si="48"/>
        <v>70.551968736914077</v>
      </c>
      <c r="P49" s="34">
        <f t="shared" ca="1" si="48"/>
        <v>80.040714153057309</v>
      </c>
      <c r="Q49" s="34">
        <f t="shared" ca="1" si="48"/>
        <v>89.909009385846275</v>
      </c>
      <c r="R49" s="34">
        <f t="shared" ca="1" si="48"/>
        <v>100.17203642794679</v>
      </c>
      <c r="S49" s="34">
        <f t="shared" ca="1" si="48"/>
        <v>110.84558455173133</v>
      </c>
      <c r="T49" s="34">
        <f t="shared" ca="1" si="48"/>
        <v>121.94607460046727</v>
      </c>
      <c r="U49" s="34">
        <f t="shared" ca="1" si="48"/>
        <v>133.49058425115263</v>
      </c>
      <c r="V49" s="34">
        <f t="shared" ca="1" si="48"/>
        <v>138.83020762119872</v>
      </c>
      <c r="W49" s="34">
        <f t="shared" ca="1" si="48"/>
        <v>144.38341592604669</v>
      </c>
      <c r="X49" s="34">
        <f t="shared" ca="1" si="48"/>
        <v>150.15875256308857</v>
      </c>
      <c r="Y49" s="34">
        <f t="shared" ca="1" si="48"/>
        <v>156.16510266561212</v>
      </c>
      <c r="Z49" s="34">
        <f t="shared" ca="1" si="48"/>
        <v>162.41170677223658</v>
      </c>
      <c r="AA49" s="34">
        <f t="shared" ca="1" si="48"/>
        <v>168.90817504312605</v>
      </c>
      <c r="AB49" s="34">
        <f t="shared" ca="1" si="48"/>
        <v>175.66450204485108</v>
      </c>
      <c r="AC49" s="34">
        <f t="shared" ca="1" si="48"/>
        <v>182.69108212664514</v>
      </c>
      <c r="AD49" s="34">
        <f t="shared" ca="1" si="48"/>
        <v>189.99872541171098</v>
      </c>
      <c r="AE49" s="34">
        <f t="shared" ca="1" si="48"/>
        <v>197.59867442817944</v>
      </c>
      <c r="AF49" s="34">
        <f t="shared" ca="1" si="48"/>
        <v>205.5026214053066</v>
      </c>
      <c r="AG49" s="34">
        <f t="shared" ca="1" si="48"/>
        <v>213.72272626151886</v>
      </c>
      <c r="AH49" s="34">
        <f t="shared" ca="1" si="48"/>
        <v>222.27163531197962</v>
      </c>
      <c r="AI49" s="34">
        <f t="shared" ca="1" si="48"/>
        <v>231.16250072445882</v>
      </c>
      <c r="AJ49" s="34">
        <f t="shared" ca="1" si="48"/>
        <v>240.4090007534372</v>
      </c>
      <c r="AK49" s="34">
        <f t="shared" ca="1" si="48"/>
        <v>250.02536078357471</v>
      </c>
      <c r="AL49" s="34">
        <f t="shared" ca="1" si="48"/>
        <v>260.02637521491772</v>
      </c>
      <c r="AM49" s="34">
        <f t="shared" ca="1" si="48"/>
        <v>270.42743022351442</v>
      </c>
      <c r="AN49" s="34">
        <f t="shared" ca="1" si="48"/>
        <v>281.24452743245502</v>
      </c>
      <c r="AO49" s="34">
        <f t="shared" ca="1" si="48"/>
        <v>292.49430852975331</v>
      </c>
      <c r="AP49" s="34">
        <f t="shared" ca="1" si="48"/>
        <v>304.19408087094342</v>
      </c>
      <c r="AQ49" s="34">
        <f t="shared" ca="1" si="48"/>
        <v>316.36184410578119</v>
      </c>
      <c r="AR49" s="34">
        <f t="shared" ca="1" si="48"/>
        <v>329.01631787001241</v>
      </c>
      <c r="AS49" s="34">
        <f t="shared" ca="1" si="48"/>
        <v>342.17697058481292</v>
      </c>
      <c r="AT49" s="34">
        <f t="shared" ca="1" si="48"/>
        <v>355.86404940820546</v>
      </c>
      <c r="AU49" s="34">
        <f t="shared" ca="1" si="48"/>
        <v>370.09861138453368</v>
      </c>
      <c r="AV49" s="34">
        <f t="shared" ca="1" si="48"/>
        <v>384.90255583991507</v>
      </c>
      <c r="AW49" s="34">
        <f t="shared" ca="1" si="48"/>
        <v>400.29865807351166</v>
      </c>
      <c r="AX49" s="34">
        <f t="shared" ca="1" si="48"/>
        <v>416.31060439645216</v>
      </c>
      <c r="AY49" s="34">
        <f t="shared" ca="1" si="48"/>
        <v>432.96302857231029</v>
      </c>
      <c r="AZ49" s="34">
        <f t="shared" ca="1" si="48"/>
        <v>450.28154971520269</v>
      </c>
      <c r="BA49" s="34">
        <f t="shared" ca="1" si="48"/>
        <v>468.29281170381086</v>
      </c>
      <c r="BB49" s="34">
        <f t="shared" ca="1" si="48"/>
        <v>487.02452417196326</v>
      </c>
      <c r="BC49" s="34">
        <f t="shared" ca="1" si="48"/>
        <v>506.50550513884184</v>
      </c>
    </row>
    <row r="51" spans="2:55">
      <c r="B51" s="18" t="s">
        <v>105</v>
      </c>
    </row>
    <row r="52" spans="2:55">
      <c r="C52" s="18" t="s">
        <v>51</v>
      </c>
      <c r="F52" s="34">
        <f>E55</f>
        <v>0</v>
      </c>
      <c r="G52" s="34">
        <f t="shared" ref="G52:BC52" ca="1" si="49">F55</f>
        <v>0</v>
      </c>
      <c r="H52" s="34">
        <f t="shared" ca="1" si="49"/>
        <v>6.666666666666667</v>
      </c>
      <c r="I52" s="34">
        <f t="shared" ca="1" si="49"/>
        <v>20.266666666666666</v>
      </c>
      <c r="J52" s="34">
        <f t="shared" ca="1" si="49"/>
        <v>41.077333333333328</v>
      </c>
      <c r="K52" s="34">
        <f t="shared" ca="1" si="49"/>
        <v>69.387093333333326</v>
      </c>
      <c r="L52" s="34">
        <f t="shared" ca="1" si="49"/>
        <v>105.49591039999999</v>
      </c>
      <c r="M52" s="34">
        <f t="shared" ca="1" si="49"/>
        <v>149.71574681599998</v>
      </c>
      <c r="N52" s="34">
        <f t="shared" ca="1" si="49"/>
        <v>202.37104335530665</v>
      </c>
      <c r="O52" s="34">
        <f t="shared" ca="1" si="49"/>
        <v>263.79921842285228</v>
      </c>
      <c r="P52" s="34">
        <f t="shared" ca="1" si="49"/>
        <v>334.35118715976637</v>
      </c>
      <c r="Q52" s="34">
        <f t="shared" ca="1" si="49"/>
        <v>414.39190131282368</v>
      </c>
      <c r="R52" s="34">
        <f t="shared" ca="1" si="49"/>
        <v>504.30091069866995</v>
      </c>
      <c r="S52" s="34">
        <f t="shared" ca="1" si="49"/>
        <v>604.47294712661676</v>
      </c>
      <c r="T52" s="34">
        <f t="shared" ca="1" si="49"/>
        <v>715.31853167834811</v>
      </c>
      <c r="U52" s="34">
        <f t="shared" ca="1" si="49"/>
        <v>837.26460627881534</v>
      </c>
      <c r="V52" s="34">
        <f t="shared" ca="1" si="49"/>
        <v>870.75519052996799</v>
      </c>
      <c r="W52" s="34">
        <f t="shared" ca="1" si="49"/>
        <v>905.58539815116671</v>
      </c>
      <c r="X52" s="34">
        <f t="shared" ca="1" si="49"/>
        <v>941.80881407721347</v>
      </c>
      <c r="Y52" s="34">
        <f t="shared" ca="1" si="49"/>
        <v>979.48116664030204</v>
      </c>
      <c r="Z52" s="34">
        <f t="shared" ca="1" si="49"/>
        <v>1018.6604133059141</v>
      </c>
      <c r="AA52" s="34">
        <f t="shared" ca="1" si="49"/>
        <v>1059.4068298381505</v>
      </c>
      <c r="AB52" s="34">
        <f t="shared" ca="1" si="49"/>
        <v>1101.7831030316765</v>
      </c>
      <c r="AC52" s="34">
        <f t="shared" ca="1" si="49"/>
        <v>1145.8544271529436</v>
      </c>
      <c r="AD52" s="34">
        <f t="shared" ca="1" si="49"/>
        <v>1191.6886042390613</v>
      </c>
      <c r="AE52" s="34">
        <f t="shared" ca="1" si="49"/>
        <v>1239.3561484086238</v>
      </c>
      <c r="AF52" s="34">
        <f t="shared" ca="1" si="49"/>
        <v>1288.9303943449688</v>
      </c>
      <c r="AG52" s="34">
        <f t="shared" ca="1" si="49"/>
        <v>1340.4876101187676</v>
      </c>
      <c r="AH52" s="34">
        <f t="shared" ca="1" si="49"/>
        <v>1394.1071145235182</v>
      </c>
      <c r="AI52" s="34">
        <f t="shared" ca="1" si="49"/>
        <v>1449.871399104459</v>
      </c>
      <c r="AJ52" s="34">
        <f t="shared" ca="1" si="49"/>
        <v>1507.8662550686374</v>
      </c>
      <c r="AK52" s="34">
        <f t="shared" ca="1" si="49"/>
        <v>1568.1809052713829</v>
      </c>
      <c r="AL52" s="34">
        <f t="shared" ca="1" si="49"/>
        <v>1630.9081414822383</v>
      </c>
      <c r="AM52" s="34">
        <f t="shared" ca="1" si="49"/>
        <v>1696.1444671415279</v>
      </c>
      <c r="AN52" s="34">
        <f t="shared" ca="1" si="49"/>
        <v>1763.990245827189</v>
      </c>
      <c r="AO52" s="34">
        <f t="shared" ca="1" si="49"/>
        <v>1834.5498556602765</v>
      </c>
      <c r="AP52" s="34">
        <f t="shared" ca="1" si="49"/>
        <v>1907.9318498866876</v>
      </c>
      <c r="AQ52" s="34">
        <f t="shared" ca="1" si="49"/>
        <v>1984.2491238821553</v>
      </c>
      <c r="AR52" s="34">
        <f t="shared" ca="1" si="49"/>
        <v>2063.6190888374417</v>
      </c>
      <c r="AS52" s="34">
        <f t="shared" ca="1" si="49"/>
        <v>2146.1638523909392</v>
      </c>
      <c r="AT52" s="34">
        <f t="shared" ca="1" si="49"/>
        <v>2232.0104064865768</v>
      </c>
      <c r="AU52" s="34">
        <f t="shared" ca="1" si="49"/>
        <v>2321.2908227460402</v>
      </c>
      <c r="AV52" s="34">
        <f t="shared" ca="1" si="49"/>
        <v>2414.1424556558823</v>
      </c>
      <c r="AW52" s="34">
        <f t="shared" ca="1" si="49"/>
        <v>2510.708153882118</v>
      </c>
      <c r="AX52" s="34">
        <f t="shared" ca="1" si="49"/>
        <v>2611.1364800374031</v>
      </c>
      <c r="AY52" s="34">
        <f t="shared" ca="1" si="49"/>
        <v>2715.5819392388994</v>
      </c>
      <c r="AZ52" s="34">
        <f t="shared" ca="1" si="49"/>
        <v>2824.2052168084551</v>
      </c>
      <c r="BA52" s="34">
        <f t="shared" ca="1" si="49"/>
        <v>2937.1734254807934</v>
      </c>
      <c r="BB52" s="34">
        <f t="shared" ca="1" si="49"/>
        <v>3054.6603625000253</v>
      </c>
      <c r="BC52" s="34">
        <f t="shared" ca="1" si="49"/>
        <v>3176.8467770000261</v>
      </c>
    </row>
    <row r="53" spans="2:55">
      <c r="C53" s="18" t="s">
        <v>106</v>
      </c>
      <c r="F53" s="34">
        <f>F49</f>
        <v>0</v>
      </c>
      <c r="G53" s="34">
        <f t="shared" ref="G53:BC53" ca="1" si="50">G49</f>
        <v>6.666666666666667</v>
      </c>
      <c r="H53" s="34">
        <f t="shared" ca="1" si="50"/>
        <v>13.6</v>
      </c>
      <c r="I53" s="34">
        <f t="shared" ca="1" si="50"/>
        <v>20.810666666666663</v>
      </c>
      <c r="J53" s="34">
        <f t="shared" ca="1" si="50"/>
        <v>28.309759999999997</v>
      </c>
      <c r="K53" s="34">
        <f t="shared" ca="1" si="50"/>
        <v>36.108817066666667</v>
      </c>
      <c r="L53" s="34">
        <f t="shared" ca="1" si="50"/>
        <v>44.219836416</v>
      </c>
      <c r="M53" s="34">
        <f t="shared" ca="1" si="50"/>
        <v>52.655296539306661</v>
      </c>
      <c r="N53" s="34">
        <f t="shared" ca="1" si="50"/>
        <v>61.428175067545595</v>
      </c>
      <c r="O53" s="34">
        <f t="shared" ca="1" si="50"/>
        <v>70.551968736914077</v>
      </c>
      <c r="P53" s="34">
        <f t="shared" ca="1" si="50"/>
        <v>80.040714153057309</v>
      </c>
      <c r="Q53" s="34">
        <f t="shared" ca="1" si="50"/>
        <v>89.909009385846275</v>
      </c>
      <c r="R53" s="34">
        <f t="shared" ca="1" si="50"/>
        <v>100.17203642794679</v>
      </c>
      <c r="S53" s="34">
        <f t="shared" ca="1" si="50"/>
        <v>110.84558455173133</v>
      </c>
      <c r="T53" s="34">
        <f t="shared" ca="1" si="50"/>
        <v>121.94607460046727</v>
      </c>
      <c r="U53" s="34">
        <f t="shared" ca="1" si="50"/>
        <v>133.49058425115263</v>
      </c>
      <c r="V53" s="34">
        <f t="shared" ca="1" si="50"/>
        <v>138.83020762119872</v>
      </c>
      <c r="W53" s="34">
        <f t="shared" ca="1" si="50"/>
        <v>144.38341592604669</v>
      </c>
      <c r="X53" s="34">
        <f t="shared" ca="1" si="50"/>
        <v>150.15875256308857</v>
      </c>
      <c r="Y53" s="34">
        <f t="shared" ca="1" si="50"/>
        <v>156.16510266561212</v>
      </c>
      <c r="Z53" s="34">
        <f t="shared" ca="1" si="50"/>
        <v>162.41170677223658</v>
      </c>
      <c r="AA53" s="34">
        <f t="shared" ca="1" si="50"/>
        <v>168.90817504312605</v>
      </c>
      <c r="AB53" s="34">
        <f t="shared" ca="1" si="50"/>
        <v>175.66450204485108</v>
      </c>
      <c r="AC53" s="34">
        <f t="shared" ca="1" si="50"/>
        <v>182.69108212664514</v>
      </c>
      <c r="AD53" s="34">
        <f t="shared" ca="1" si="50"/>
        <v>189.99872541171098</v>
      </c>
      <c r="AE53" s="34">
        <f t="shared" ca="1" si="50"/>
        <v>197.59867442817944</v>
      </c>
      <c r="AF53" s="34">
        <f t="shared" ca="1" si="50"/>
        <v>205.5026214053066</v>
      </c>
      <c r="AG53" s="34">
        <f t="shared" ca="1" si="50"/>
        <v>213.72272626151886</v>
      </c>
      <c r="AH53" s="34">
        <f t="shared" ca="1" si="50"/>
        <v>222.27163531197962</v>
      </c>
      <c r="AI53" s="34">
        <f t="shared" ca="1" si="50"/>
        <v>231.16250072445882</v>
      </c>
      <c r="AJ53" s="34">
        <f t="shared" ca="1" si="50"/>
        <v>240.4090007534372</v>
      </c>
      <c r="AK53" s="34">
        <f t="shared" ca="1" si="50"/>
        <v>250.02536078357471</v>
      </c>
      <c r="AL53" s="34">
        <f t="shared" ca="1" si="50"/>
        <v>260.02637521491772</v>
      </c>
      <c r="AM53" s="34">
        <f t="shared" ca="1" si="50"/>
        <v>270.42743022351442</v>
      </c>
      <c r="AN53" s="34">
        <f t="shared" ca="1" si="50"/>
        <v>281.24452743245502</v>
      </c>
      <c r="AO53" s="34">
        <f t="shared" ca="1" si="50"/>
        <v>292.49430852975331</v>
      </c>
      <c r="AP53" s="34">
        <f t="shared" ca="1" si="50"/>
        <v>304.19408087094342</v>
      </c>
      <c r="AQ53" s="34">
        <f t="shared" ca="1" si="50"/>
        <v>316.36184410578119</v>
      </c>
      <c r="AR53" s="34">
        <f t="shared" ca="1" si="50"/>
        <v>329.01631787001241</v>
      </c>
      <c r="AS53" s="34">
        <f t="shared" ca="1" si="50"/>
        <v>342.17697058481292</v>
      </c>
      <c r="AT53" s="34">
        <f t="shared" ca="1" si="50"/>
        <v>355.86404940820546</v>
      </c>
      <c r="AU53" s="34">
        <f t="shared" ca="1" si="50"/>
        <v>370.09861138453368</v>
      </c>
      <c r="AV53" s="34">
        <f t="shared" ca="1" si="50"/>
        <v>384.90255583991507</v>
      </c>
      <c r="AW53" s="34">
        <f t="shared" ca="1" si="50"/>
        <v>400.29865807351166</v>
      </c>
      <c r="AX53" s="34">
        <f t="shared" ca="1" si="50"/>
        <v>416.31060439645216</v>
      </c>
      <c r="AY53" s="34">
        <f t="shared" ca="1" si="50"/>
        <v>432.96302857231029</v>
      </c>
      <c r="AZ53" s="34">
        <f t="shared" ca="1" si="50"/>
        <v>450.28154971520269</v>
      </c>
      <c r="BA53" s="34">
        <f t="shared" ca="1" si="50"/>
        <v>468.29281170381086</v>
      </c>
      <c r="BB53" s="34">
        <f t="shared" ca="1" si="50"/>
        <v>487.02452417196326</v>
      </c>
      <c r="BC53" s="34">
        <f t="shared" ca="1" si="50"/>
        <v>506.50550513884184</v>
      </c>
    </row>
    <row r="54" spans="2:55">
      <c r="C54" s="18" t="s">
        <v>107</v>
      </c>
      <c r="F54" s="34">
        <f ca="1">F47</f>
        <v>0</v>
      </c>
      <c r="G54" s="34">
        <f t="shared" ref="G54:BC54" ca="1" si="51">G47</f>
        <v>0</v>
      </c>
      <c r="H54" s="34">
        <f t="shared" ca="1" si="51"/>
        <v>0</v>
      </c>
      <c r="I54" s="34">
        <f t="shared" ca="1" si="51"/>
        <v>0</v>
      </c>
      <c r="J54" s="34">
        <f t="shared" ca="1" si="51"/>
        <v>0</v>
      </c>
      <c r="K54" s="34">
        <f t="shared" ca="1" si="51"/>
        <v>0</v>
      </c>
      <c r="L54" s="34">
        <f t="shared" ca="1" si="51"/>
        <v>0</v>
      </c>
      <c r="M54" s="34">
        <f t="shared" ca="1" si="51"/>
        <v>0</v>
      </c>
      <c r="N54" s="34">
        <f t="shared" ca="1" si="51"/>
        <v>0</v>
      </c>
      <c r="O54" s="34">
        <f t="shared" ca="1" si="51"/>
        <v>0</v>
      </c>
      <c r="P54" s="34">
        <f t="shared" ca="1" si="51"/>
        <v>0</v>
      </c>
      <c r="Q54" s="34">
        <f t="shared" ca="1" si="51"/>
        <v>0</v>
      </c>
      <c r="R54" s="34">
        <f t="shared" ca="1" si="51"/>
        <v>0</v>
      </c>
      <c r="S54" s="34">
        <f t="shared" ca="1" si="51"/>
        <v>0</v>
      </c>
      <c r="T54" s="34">
        <f t="shared" ca="1" si="51"/>
        <v>0</v>
      </c>
      <c r="U54" s="34">
        <f t="shared" ca="1" si="51"/>
        <v>100</v>
      </c>
      <c r="V54" s="34">
        <f t="shared" ca="1" si="51"/>
        <v>104</v>
      </c>
      <c r="W54" s="34">
        <f t="shared" ca="1" si="51"/>
        <v>108.16</v>
      </c>
      <c r="X54" s="34">
        <f t="shared" ca="1" si="51"/>
        <v>112.4864</v>
      </c>
      <c r="Y54" s="34">
        <f t="shared" ca="1" si="51"/>
        <v>116.98585600000001</v>
      </c>
      <c r="Z54" s="34">
        <f t="shared" ca="1" si="51"/>
        <v>121.66529024000002</v>
      </c>
      <c r="AA54" s="34">
        <f t="shared" ca="1" si="51"/>
        <v>126.53190184960002</v>
      </c>
      <c r="AB54" s="34">
        <f t="shared" ca="1" si="51"/>
        <v>131.59317792358402</v>
      </c>
      <c r="AC54" s="34">
        <f t="shared" ca="1" si="51"/>
        <v>136.85690504052738</v>
      </c>
      <c r="AD54" s="34">
        <f t="shared" ca="1" si="51"/>
        <v>142.33118124214849</v>
      </c>
      <c r="AE54" s="34">
        <f t="shared" ca="1" si="51"/>
        <v>148.02442849183444</v>
      </c>
      <c r="AF54" s="34">
        <f t="shared" ca="1" si="51"/>
        <v>153.94540563150784</v>
      </c>
      <c r="AG54" s="34">
        <f t="shared" ca="1" si="51"/>
        <v>160.10322185676816</v>
      </c>
      <c r="AH54" s="34">
        <f t="shared" ca="1" si="51"/>
        <v>166.50735073103888</v>
      </c>
      <c r="AI54" s="34">
        <f t="shared" ca="1" si="51"/>
        <v>173.16764476028044</v>
      </c>
      <c r="AJ54" s="34">
        <f t="shared" ca="1" si="51"/>
        <v>180.09435055069167</v>
      </c>
      <c r="AK54" s="34">
        <f t="shared" ca="1" si="51"/>
        <v>187.29812457271936</v>
      </c>
      <c r="AL54" s="34">
        <f t="shared" ca="1" si="51"/>
        <v>194.79004955562814</v>
      </c>
      <c r="AM54" s="34">
        <f t="shared" ca="1" si="51"/>
        <v>202.58165153785328</v>
      </c>
      <c r="AN54" s="34">
        <f t="shared" ca="1" si="51"/>
        <v>210.68491759936742</v>
      </c>
      <c r="AO54" s="34">
        <f t="shared" ca="1" si="51"/>
        <v>219.11231430334212</v>
      </c>
      <c r="AP54" s="34">
        <f t="shared" ca="1" si="51"/>
        <v>227.87680687547581</v>
      </c>
      <c r="AQ54" s="34">
        <f t="shared" ca="1" si="51"/>
        <v>236.99187915049484</v>
      </c>
      <c r="AR54" s="34">
        <f t="shared" ca="1" si="51"/>
        <v>246.47155431651464</v>
      </c>
      <c r="AS54" s="34">
        <f t="shared" ca="1" si="51"/>
        <v>256.33041648917526</v>
      </c>
      <c r="AT54" s="34">
        <f t="shared" ca="1" si="51"/>
        <v>266.58363314874231</v>
      </c>
      <c r="AU54" s="34">
        <f t="shared" ca="1" si="51"/>
        <v>277.24697847469201</v>
      </c>
      <c r="AV54" s="34">
        <f t="shared" ca="1" si="51"/>
        <v>288.33685761367968</v>
      </c>
      <c r="AW54" s="34">
        <f t="shared" ca="1" si="51"/>
        <v>299.8703319182269</v>
      </c>
      <c r="AX54" s="34">
        <f t="shared" ca="1" si="51"/>
        <v>311.86514519495597</v>
      </c>
      <c r="AY54" s="34">
        <f t="shared" ca="1" si="51"/>
        <v>324.33975100275421</v>
      </c>
      <c r="AZ54" s="34">
        <f t="shared" ca="1" si="51"/>
        <v>337.31334104286441</v>
      </c>
      <c r="BA54" s="34">
        <f t="shared" ca="1" si="51"/>
        <v>350.80587468457901</v>
      </c>
      <c r="BB54" s="34">
        <f t="shared" ca="1" si="51"/>
        <v>364.83810967196217</v>
      </c>
      <c r="BC54" s="34">
        <f t="shared" ca="1" si="51"/>
        <v>379.4316340588407</v>
      </c>
    </row>
    <row r="55" spans="2:55">
      <c r="C55" s="18" t="s">
        <v>54</v>
      </c>
      <c r="F55" s="34">
        <f ca="1">F52+F53-F54</f>
        <v>0</v>
      </c>
      <c r="G55" s="34">
        <f t="shared" ref="G55:BC55" ca="1" si="52">G52+G53-G54</f>
        <v>6.666666666666667</v>
      </c>
      <c r="H55" s="34">
        <f t="shared" ca="1" si="52"/>
        <v>20.266666666666666</v>
      </c>
      <c r="I55" s="34">
        <f t="shared" ca="1" si="52"/>
        <v>41.077333333333328</v>
      </c>
      <c r="J55" s="34">
        <f t="shared" ca="1" si="52"/>
        <v>69.387093333333326</v>
      </c>
      <c r="K55" s="34">
        <f t="shared" ca="1" si="52"/>
        <v>105.49591039999999</v>
      </c>
      <c r="L55" s="34">
        <f t="shared" ca="1" si="52"/>
        <v>149.71574681599998</v>
      </c>
      <c r="M55" s="34">
        <f t="shared" ca="1" si="52"/>
        <v>202.37104335530665</v>
      </c>
      <c r="N55" s="34">
        <f t="shared" ca="1" si="52"/>
        <v>263.79921842285228</v>
      </c>
      <c r="O55" s="34">
        <f t="shared" ca="1" si="52"/>
        <v>334.35118715976637</v>
      </c>
      <c r="P55" s="34">
        <f t="shared" ca="1" si="52"/>
        <v>414.39190131282368</v>
      </c>
      <c r="Q55" s="34">
        <f t="shared" ca="1" si="52"/>
        <v>504.30091069866995</v>
      </c>
      <c r="R55" s="34">
        <f t="shared" ca="1" si="52"/>
        <v>604.47294712661676</v>
      </c>
      <c r="S55" s="34">
        <f t="shared" ca="1" si="52"/>
        <v>715.31853167834811</v>
      </c>
      <c r="T55" s="34">
        <f t="shared" ca="1" si="52"/>
        <v>837.26460627881534</v>
      </c>
      <c r="U55" s="34">
        <f t="shared" ca="1" si="52"/>
        <v>870.75519052996799</v>
      </c>
      <c r="V55" s="34">
        <f t="shared" ca="1" si="52"/>
        <v>905.58539815116671</v>
      </c>
      <c r="W55" s="34">
        <f t="shared" ca="1" si="52"/>
        <v>941.80881407721347</v>
      </c>
      <c r="X55" s="34">
        <f t="shared" ca="1" si="52"/>
        <v>979.48116664030204</v>
      </c>
      <c r="Y55" s="34">
        <f t="shared" ca="1" si="52"/>
        <v>1018.6604133059141</v>
      </c>
      <c r="Z55" s="34">
        <f t="shared" ca="1" si="52"/>
        <v>1059.4068298381505</v>
      </c>
      <c r="AA55" s="34">
        <f t="shared" ca="1" si="52"/>
        <v>1101.7831030316765</v>
      </c>
      <c r="AB55" s="34">
        <f t="shared" ca="1" si="52"/>
        <v>1145.8544271529436</v>
      </c>
      <c r="AC55" s="34">
        <f t="shared" ca="1" si="52"/>
        <v>1191.6886042390613</v>
      </c>
      <c r="AD55" s="34">
        <f t="shared" ca="1" si="52"/>
        <v>1239.3561484086238</v>
      </c>
      <c r="AE55" s="34">
        <f t="shared" ca="1" si="52"/>
        <v>1288.9303943449688</v>
      </c>
      <c r="AF55" s="34">
        <f t="shared" ca="1" si="52"/>
        <v>1340.4876101187676</v>
      </c>
      <c r="AG55" s="34">
        <f t="shared" ca="1" si="52"/>
        <v>1394.1071145235182</v>
      </c>
      <c r="AH55" s="34">
        <f t="shared" ca="1" si="52"/>
        <v>1449.871399104459</v>
      </c>
      <c r="AI55" s="34">
        <f t="shared" ca="1" si="52"/>
        <v>1507.8662550686374</v>
      </c>
      <c r="AJ55" s="34">
        <f t="shared" ca="1" si="52"/>
        <v>1568.1809052713829</v>
      </c>
      <c r="AK55" s="34">
        <f t="shared" ca="1" si="52"/>
        <v>1630.9081414822383</v>
      </c>
      <c r="AL55" s="34">
        <f t="shared" ca="1" si="52"/>
        <v>1696.1444671415279</v>
      </c>
      <c r="AM55" s="34">
        <f t="shared" ca="1" si="52"/>
        <v>1763.990245827189</v>
      </c>
      <c r="AN55" s="34">
        <f t="shared" ca="1" si="52"/>
        <v>1834.5498556602765</v>
      </c>
      <c r="AO55" s="34">
        <f t="shared" ca="1" si="52"/>
        <v>1907.9318498866876</v>
      </c>
      <c r="AP55" s="34">
        <f t="shared" ca="1" si="52"/>
        <v>1984.2491238821553</v>
      </c>
      <c r="AQ55" s="34">
        <f t="shared" ca="1" si="52"/>
        <v>2063.6190888374417</v>
      </c>
      <c r="AR55" s="34">
        <f t="shared" ca="1" si="52"/>
        <v>2146.1638523909392</v>
      </c>
      <c r="AS55" s="34">
        <f t="shared" ca="1" si="52"/>
        <v>2232.0104064865768</v>
      </c>
      <c r="AT55" s="34">
        <f t="shared" ca="1" si="52"/>
        <v>2321.2908227460402</v>
      </c>
      <c r="AU55" s="34">
        <f t="shared" ca="1" si="52"/>
        <v>2414.1424556558823</v>
      </c>
      <c r="AV55" s="34">
        <f t="shared" ca="1" si="52"/>
        <v>2510.708153882118</v>
      </c>
      <c r="AW55" s="34">
        <f t="shared" ca="1" si="52"/>
        <v>2611.1364800374031</v>
      </c>
      <c r="AX55" s="34">
        <f t="shared" ca="1" si="52"/>
        <v>2715.5819392388994</v>
      </c>
      <c r="AY55" s="34">
        <f t="shared" ca="1" si="52"/>
        <v>2824.2052168084551</v>
      </c>
      <c r="AZ55" s="34">
        <f t="shared" ca="1" si="52"/>
        <v>2937.1734254807934</v>
      </c>
      <c r="BA55" s="34">
        <f t="shared" ca="1" si="52"/>
        <v>3054.6603625000253</v>
      </c>
      <c r="BB55" s="34">
        <f t="shared" ca="1" si="52"/>
        <v>3176.8467770000261</v>
      </c>
      <c r="BC55" s="34">
        <f t="shared" ca="1" si="52"/>
        <v>3303.9206480800271</v>
      </c>
    </row>
    <row r="56" spans="2:55"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</row>
    <row r="57" spans="2:55">
      <c r="C57" s="18" t="s">
        <v>108</v>
      </c>
      <c r="F57" s="34">
        <f>F45-F52</f>
        <v>0</v>
      </c>
      <c r="G57" s="34">
        <f t="shared" ref="G57:BC57" ca="1" si="53">G45-G52</f>
        <v>100</v>
      </c>
      <c r="H57" s="34">
        <f t="shared" ca="1" si="53"/>
        <v>197.33333333333334</v>
      </c>
      <c r="I57" s="34">
        <f t="shared" ca="1" si="53"/>
        <v>291.89333333333332</v>
      </c>
      <c r="J57" s="34">
        <f t="shared" ca="1" si="53"/>
        <v>383.56906666666663</v>
      </c>
      <c r="K57" s="34">
        <f t="shared" ca="1" si="53"/>
        <v>472.24516266666666</v>
      </c>
      <c r="L57" s="34">
        <f t="shared" ca="1" si="53"/>
        <v>557.80163584000002</v>
      </c>
      <c r="M57" s="34">
        <f t="shared" ca="1" si="53"/>
        <v>640.11370127359999</v>
      </c>
      <c r="N57" s="34">
        <f t="shared" ca="1" si="53"/>
        <v>719.05158265787736</v>
      </c>
      <c r="O57" s="34">
        <f t="shared" ca="1" si="53"/>
        <v>794.48031263085898</v>
      </c>
      <c r="P57" s="34">
        <f t="shared" ca="1" si="53"/>
        <v>866.25952513609332</v>
      </c>
      <c r="Q57" s="34">
        <f t="shared" ca="1" si="53"/>
        <v>934.24323947487051</v>
      </c>
      <c r="R57" s="34">
        <f t="shared" ca="1" si="53"/>
        <v>998.27963572053204</v>
      </c>
      <c r="S57" s="34">
        <f t="shared" ca="1" si="53"/>
        <v>1058.2108211493533</v>
      </c>
      <c r="T57" s="34">
        <f t="shared" ca="1" si="53"/>
        <v>1113.872587328661</v>
      </c>
      <c r="U57" s="34">
        <f t="shared" ca="1" si="53"/>
        <v>1165.0941574884741</v>
      </c>
      <c r="V57" s="34">
        <f t="shared" ca="1" si="53"/>
        <v>1211.6979237880132</v>
      </c>
      <c r="W57" s="34">
        <f t="shared" ca="1" si="53"/>
        <v>1260.1658407395335</v>
      </c>
      <c r="X57" s="34">
        <f t="shared" ca="1" si="53"/>
        <v>1310.5724743691153</v>
      </c>
      <c r="Y57" s="34">
        <f t="shared" ca="1" si="53"/>
        <v>1362.9953733438797</v>
      </c>
      <c r="Z57" s="34">
        <f t="shared" ca="1" si="53"/>
        <v>1417.5151882776349</v>
      </c>
      <c r="AA57" s="34">
        <f t="shared" ca="1" si="53"/>
        <v>1474.2157958087403</v>
      </c>
      <c r="AB57" s="34">
        <f t="shared" ca="1" si="53"/>
        <v>1533.1844276410898</v>
      </c>
      <c r="AC57" s="34">
        <f t="shared" ca="1" si="53"/>
        <v>1594.5118047467336</v>
      </c>
      <c r="AD57" s="34">
        <f t="shared" ca="1" si="53"/>
        <v>1658.2922769366035</v>
      </c>
      <c r="AE57" s="34">
        <f t="shared" ca="1" si="53"/>
        <v>1724.6239680140677</v>
      </c>
      <c r="AF57" s="34">
        <f t="shared" ca="1" si="53"/>
        <v>1793.6089267346304</v>
      </c>
      <c r="AG57" s="34">
        <f t="shared" ca="1" si="53"/>
        <v>1865.3532838040153</v>
      </c>
      <c r="AH57" s="34">
        <f t="shared" ca="1" si="53"/>
        <v>1939.9674151561762</v>
      </c>
      <c r="AI57" s="34">
        <f t="shared" ca="1" si="53"/>
        <v>2017.5661117624234</v>
      </c>
      <c r="AJ57" s="34">
        <f t="shared" ca="1" si="53"/>
        <v>2098.2687562329202</v>
      </c>
      <c r="AK57" s="34">
        <f t="shared" ca="1" si="53"/>
        <v>2182.1995064822377</v>
      </c>
      <c r="AL57" s="34">
        <f t="shared" ca="1" si="53"/>
        <v>2269.4874867415274</v>
      </c>
      <c r="AM57" s="34">
        <f t="shared" ca="1" si="53"/>
        <v>2360.2669862111889</v>
      </c>
      <c r="AN57" s="34">
        <f t="shared" ca="1" si="53"/>
        <v>2454.6776656596367</v>
      </c>
      <c r="AO57" s="34">
        <f t="shared" ca="1" si="53"/>
        <v>2552.8647722860228</v>
      </c>
      <c r="AP57" s="34">
        <f t="shared" ca="1" si="53"/>
        <v>2654.9793631774637</v>
      </c>
      <c r="AQ57" s="34">
        <f t="shared" ca="1" si="53"/>
        <v>2761.1785377045621</v>
      </c>
      <c r="AR57" s="34">
        <f t="shared" ca="1" si="53"/>
        <v>2871.6256792127447</v>
      </c>
      <c r="AS57" s="34">
        <f t="shared" ca="1" si="53"/>
        <v>2986.4907063812548</v>
      </c>
      <c r="AT57" s="34">
        <f t="shared" ca="1" si="53"/>
        <v>3105.950334636505</v>
      </c>
      <c r="AU57" s="34">
        <f t="shared" ca="1" si="53"/>
        <v>3230.1883480219649</v>
      </c>
      <c r="AV57" s="34">
        <f t="shared" ca="1" si="53"/>
        <v>3359.3958819428435</v>
      </c>
      <c r="AW57" s="34">
        <f t="shared" ca="1" si="53"/>
        <v>3493.7717172205571</v>
      </c>
      <c r="AX57" s="34">
        <f t="shared" ca="1" si="53"/>
        <v>3633.5225859093798</v>
      </c>
      <c r="AY57" s="34">
        <f t="shared" ca="1" si="53"/>
        <v>3778.8634893457547</v>
      </c>
      <c r="AZ57" s="34">
        <f t="shared" ca="1" si="53"/>
        <v>3930.0180289195855</v>
      </c>
      <c r="BA57" s="34">
        <f t="shared" ca="1" si="53"/>
        <v>4087.2187500763694</v>
      </c>
      <c r="BB57" s="34">
        <f t="shared" ca="1" si="53"/>
        <v>4250.7075000794239</v>
      </c>
      <c r="BC57" s="34">
        <f t="shared" ca="1" si="53"/>
        <v>4420.7358000826016</v>
      </c>
    </row>
    <row r="58" spans="2:55">
      <c r="C58" s="18" t="s">
        <v>109</v>
      </c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</row>
    <row r="59" spans="2:55">
      <c r="C59" s="18" t="s">
        <v>110</v>
      </c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</row>
  </sheetData>
  <conditionalFormatting sqref="A1:XFD1048576">
    <cfRule type="containsText" dxfId="67" priority="1" operator="containsText" text="FALSE">
      <formula>NOT(ISERROR(SEARCH("FALSE",A1)))</formula>
    </cfRule>
    <cfRule type="cellIs" dxfId="66" priority="2" operator="equal">
      <formula>TRUE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094F0-3D34-4751-BAF0-1FEF3C420A66}">
  <sheetPr codeName="Sheet26"/>
  <dimension ref="A1"/>
  <sheetViews>
    <sheetView workbookViewId="0">
      <selection activeCell="F14" sqref="F14"/>
    </sheetView>
  </sheetViews>
  <sheetFormatPr defaultRowHeight="14.5"/>
  <sheetData>
    <row r="1" spans="1:1"/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U250"/>
  <sheetViews>
    <sheetView workbookViewId="0">
      <selection activeCell="J14" sqref="J14"/>
    </sheetView>
  </sheetViews>
  <sheetFormatPr defaultRowHeight="14.5" outlineLevelCol="1"/>
  <cols>
    <col min="1" max="1" width="9.453125" style="73" bestFit="1" customWidth="1"/>
    <col min="2" max="5" width="8.7265625" customWidth="1" outlineLevel="1"/>
    <col min="6" max="6" width="8.90625"/>
    <col min="10" max="10" width="16.08984375" bestFit="1" customWidth="1"/>
    <col min="11" max="11" width="14.453125" bestFit="1" customWidth="1"/>
    <col min="20" max="20" width="15.453125" bestFit="1" customWidth="1"/>
  </cols>
  <sheetData>
    <row r="1" spans="1:21">
      <c r="A1" t="s">
        <v>434</v>
      </c>
      <c r="B1" t="s">
        <v>472</v>
      </c>
      <c r="C1" t="s">
        <v>3</v>
      </c>
      <c r="D1" t="s">
        <v>2</v>
      </c>
      <c r="E1" t="s">
        <v>473</v>
      </c>
      <c r="F1" t="s">
        <v>474</v>
      </c>
      <c r="G1" t="s">
        <v>475</v>
      </c>
      <c r="L1" s="74"/>
    </row>
    <row r="2" spans="1:21">
      <c r="A2" s="70">
        <v>35551</v>
      </c>
      <c r="B2">
        <v>2.4375</v>
      </c>
      <c r="C2">
        <v>2.5</v>
      </c>
      <c r="D2">
        <v>1.3125</v>
      </c>
      <c r="E2">
        <v>1.5</v>
      </c>
      <c r="F2">
        <v>1.5</v>
      </c>
      <c r="G2">
        <v>256516800</v>
      </c>
    </row>
    <row r="3" spans="1:21">
      <c r="A3" s="70">
        <v>35582</v>
      </c>
      <c r="B3">
        <v>1.5104169999999999</v>
      </c>
      <c r="C3">
        <v>1.7083330000000001</v>
      </c>
      <c r="D3">
        <v>1.375</v>
      </c>
      <c r="E3">
        <v>1.5416669999999999</v>
      </c>
      <c r="F3">
        <v>1.5416669999999999</v>
      </c>
      <c r="G3">
        <v>53163600</v>
      </c>
      <c r="Q3" s="3"/>
      <c r="S3" s="2"/>
      <c r="U3" s="2"/>
    </row>
    <row r="4" spans="1:21">
      <c r="A4" s="70">
        <v>35612</v>
      </c>
      <c r="B4">
        <v>1.5416669999999999</v>
      </c>
      <c r="C4">
        <v>2.5729169999999999</v>
      </c>
      <c r="D4">
        <v>1.5104169999999999</v>
      </c>
      <c r="E4">
        <v>2.3958330000000001</v>
      </c>
      <c r="F4">
        <v>2.3958330000000001</v>
      </c>
      <c r="G4">
        <v>108614400</v>
      </c>
    </row>
    <row r="5" spans="1:21">
      <c r="A5" s="70">
        <v>35643</v>
      </c>
      <c r="B5">
        <v>2.34375</v>
      </c>
      <c r="C5">
        <v>2.4166669999999999</v>
      </c>
      <c r="D5">
        <v>1.9375</v>
      </c>
      <c r="E5">
        <v>2.3385419999999999</v>
      </c>
      <c r="F5">
        <v>2.3385419999999999</v>
      </c>
      <c r="G5">
        <v>31906800</v>
      </c>
    </row>
    <row r="6" spans="1:21">
      <c r="A6" s="70">
        <v>35674</v>
      </c>
      <c r="B6">
        <v>2.34375</v>
      </c>
      <c r="C6">
        <v>4.8125</v>
      </c>
      <c r="D6">
        <v>2.3125</v>
      </c>
      <c r="E6">
        <v>4.3385420000000003</v>
      </c>
      <c r="F6">
        <v>4.3385420000000003</v>
      </c>
      <c r="G6">
        <v>107862000</v>
      </c>
    </row>
    <row r="7" spans="1:21">
      <c r="A7" s="70">
        <v>35704</v>
      </c>
      <c r="B7">
        <v>4.4375</v>
      </c>
      <c r="C7">
        <v>5.5</v>
      </c>
      <c r="D7">
        <v>3.5208330000000001</v>
      </c>
      <c r="E7">
        <v>5.0833329999999997</v>
      </c>
      <c r="F7">
        <v>5.0833329999999997</v>
      </c>
      <c r="G7">
        <v>105187200</v>
      </c>
    </row>
    <row r="8" spans="1:21">
      <c r="A8" s="70">
        <v>35735</v>
      </c>
      <c r="B8">
        <v>5.21875</v>
      </c>
      <c r="C8">
        <v>5.21875</v>
      </c>
      <c r="D8">
        <v>3.6666669999999999</v>
      </c>
      <c r="E8">
        <v>4.125</v>
      </c>
      <c r="F8">
        <v>4.125</v>
      </c>
      <c r="G8">
        <v>67797600</v>
      </c>
    </row>
    <row r="9" spans="1:21">
      <c r="A9" s="70">
        <v>35765</v>
      </c>
      <c r="B9">
        <v>4.2395829999999997</v>
      </c>
      <c r="C9">
        <v>5.0416670000000003</v>
      </c>
      <c r="D9">
        <v>4.1354170000000003</v>
      </c>
      <c r="E9">
        <v>5.0208329999999997</v>
      </c>
      <c r="F9">
        <v>5.0208329999999997</v>
      </c>
      <c r="G9">
        <v>64982400</v>
      </c>
    </row>
    <row r="10" spans="1:21">
      <c r="A10" s="70">
        <v>35796</v>
      </c>
      <c r="B10">
        <v>5</v>
      </c>
      <c r="C10">
        <v>5.34375</v>
      </c>
      <c r="D10">
        <v>4.1458329999999997</v>
      </c>
      <c r="E10">
        <v>4.9166670000000003</v>
      </c>
      <c r="F10">
        <v>4.9166670000000003</v>
      </c>
      <c r="G10">
        <v>112080000</v>
      </c>
    </row>
    <row r="11" spans="1:21">
      <c r="A11" s="70">
        <v>35827</v>
      </c>
      <c r="B11">
        <v>4.9479170000000003</v>
      </c>
      <c r="C11">
        <v>6.6354170000000003</v>
      </c>
      <c r="D11">
        <v>4.7708329999999997</v>
      </c>
      <c r="E11">
        <v>6.4166670000000003</v>
      </c>
      <c r="F11">
        <v>6.4166670000000003</v>
      </c>
      <c r="G11">
        <v>130621200</v>
      </c>
    </row>
    <row r="12" spans="1:21">
      <c r="A12" s="70">
        <v>35855</v>
      </c>
      <c r="B12">
        <v>6.3229170000000003</v>
      </c>
      <c r="C12">
        <v>7.3541670000000003</v>
      </c>
      <c r="D12">
        <v>5.8333329999999997</v>
      </c>
      <c r="E12">
        <v>7.1276000000000002</v>
      </c>
      <c r="F12">
        <v>7.1276000000000002</v>
      </c>
      <c r="G12">
        <v>206818800</v>
      </c>
    </row>
    <row r="13" spans="1:21">
      <c r="A13" s="70">
        <v>35886</v>
      </c>
      <c r="B13">
        <v>7.1041670000000003</v>
      </c>
      <c r="C13">
        <v>8.3333329999999997</v>
      </c>
      <c r="D13">
        <v>6.4270829999999997</v>
      </c>
      <c r="E13">
        <v>7.6458329999999997</v>
      </c>
      <c r="F13">
        <v>7.6458329999999997</v>
      </c>
      <c r="G13">
        <v>354868800</v>
      </c>
    </row>
    <row r="14" spans="1:21">
      <c r="A14" s="70">
        <v>35916</v>
      </c>
      <c r="B14">
        <v>7.7291670000000003</v>
      </c>
      <c r="C14">
        <v>7.9895829999999997</v>
      </c>
      <c r="D14">
        <v>6.6458329999999997</v>
      </c>
      <c r="E14">
        <v>7.34375</v>
      </c>
      <c r="F14">
        <v>7.34375</v>
      </c>
      <c r="G14">
        <v>174870000</v>
      </c>
    </row>
    <row r="15" spans="1:21">
      <c r="A15" s="70">
        <v>35947</v>
      </c>
      <c r="B15">
        <v>7.3333329999999997</v>
      </c>
      <c r="C15">
        <v>17.458334000000001</v>
      </c>
      <c r="D15">
        <v>6.875</v>
      </c>
      <c r="E15">
        <v>16.625</v>
      </c>
      <c r="F15">
        <v>16.625</v>
      </c>
      <c r="G15">
        <v>583878600</v>
      </c>
    </row>
    <row r="16" spans="1:21">
      <c r="A16" s="70">
        <v>35977</v>
      </c>
      <c r="B16">
        <v>16.96875</v>
      </c>
      <c r="C16">
        <v>24.5</v>
      </c>
      <c r="D16">
        <v>15.708333</v>
      </c>
      <c r="E16">
        <v>18.479165999999999</v>
      </c>
      <c r="F16">
        <v>18.479165999999999</v>
      </c>
      <c r="G16">
        <v>663946800</v>
      </c>
    </row>
    <row r="17" spans="1:7">
      <c r="A17" s="70">
        <v>36008</v>
      </c>
      <c r="B17">
        <v>18.291665999999999</v>
      </c>
      <c r="C17">
        <v>22.916665999999999</v>
      </c>
      <c r="D17">
        <v>13.854167</v>
      </c>
      <c r="E17">
        <v>13.958333</v>
      </c>
      <c r="F17">
        <v>13.958333</v>
      </c>
      <c r="G17">
        <v>440607600</v>
      </c>
    </row>
    <row r="18" spans="1:7">
      <c r="A18" s="70">
        <v>36039</v>
      </c>
      <c r="B18">
        <v>12.6875</v>
      </c>
      <c r="C18">
        <v>20</v>
      </c>
      <c r="D18">
        <v>10.833333</v>
      </c>
      <c r="E18">
        <v>18.604165999999999</v>
      </c>
      <c r="F18">
        <v>18.604165999999999</v>
      </c>
      <c r="G18">
        <v>677835600</v>
      </c>
    </row>
    <row r="19" spans="1:7">
      <c r="A19" s="70">
        <v>36069</v>
      </c>
      <c r="B19">
        <v>18</v>
      </c>
      <c r="C19">
        <v>21.635415999999999</v>
      </c>
      <c r="D19">
        <v>13.333333</v>
      </c>
      <c r="E19">
        <v>21.072915999999999</v>
      </c>
      <c r="F19">
        <v>21.072915999999999</v>
      </c>
      <c r="G19">
        <v>504444600</v>
      </c>
    </row>
    <row r="20" spans="1:7">
      <c r="A20" s="70">
        <v>36100</v>
      </c>
      <c r="B20">
        <v>21.354165999999999</v>
      </c>
      <c r="C20">
        <v>38.854168000000001</v>
      </c>
      <c r="D20">
        <v>20.125</v>
      </c>
      <c r="E20">
        <v>32</v>
      </c>
      <c r="F20">
        <v>32</v>
      </c>
      <c r="G20">
        <v>651789600</v>
      </c>
    </row>
    <row r="21" spans="1:7">
      <c r="A21" s="70">
        <v>36130</v>
      </c>
      <c r="B21">
        <v>30.916665999999999</v>
      </c>
      <c r="C21">
        <v>60.3125</v>
      </c>
      <c r="D21">
        <v>30.333334000000001</v>
      </c>
      <c r="E21">
        <v>53.541668000000001</v>
      </c>
      <c r="F21">
        <v>53.541668000000001</v>
      </c>
      <c r="G21">
        <v>724218000</v>
      </c>
    </row>
    <row r="22" spans="1:7">
      <c r="A22" s="70">
        <v>36161</v>
      </c>
      <c r="B22">
        <v>54.614581999999999</v>
      </c>
      <c r="C22">
        <v>99.5625</v>
      </c>
      <c r="D22">
        <v>46.28125</v>
      </c>
      <c r="E22">
        <v>58.46875</v>
      </c>
      <c r="F22">
        <v>58.46875</v>
      </c>
      <c r="G22">
        <v>646348800</v>
      </c>
    </row>
    <row r="23" spans="1:7">
      <c r="A23" s="70">
        <v>36192</v>
      </c>
      <c r="B23">
        <v>58.875</v>
      </c>
      <c r="C23">
        <v>65</v>
      </c>
      <c r="D23">
        <v>42.125</v>
      </c>
      <c r="E23">
        <v>64.0625</v>
      </c>
      <c r="F23">
        <v>64.0625</v>
      </c>
      <c r="G23">
        <v>318146000</v>
      </c>
    </row>
    <row r="24" spans="1:7">
      <c r="A24" s="70">
        <v>36220</v>
      </c>
      <c r="B24">
        <v>63.5</v>
      </c>
      <c r="C24">
        <v>89</v>
      </c>
      <c r="D24">
        <v>57</v>
      </c>
      <c r="E24">
        <v>86.09375</v>
      </c>
      <c r="F24">
        <v>86.09375</v>
      </c>
      <c r="G24">
        <v>331010000</v>
      </c>
    </row>
    <row r="25" spans="1:7">
      <c r="A25" s="70">
        <v>36251</v>
      </c>
      <c r="B25">
        <v>89.6875</v>
      </c>
      <c r="C25">
        <v>110.625</v>
      </c>
      <c r="D25">
        <v>75.5</v>
      </c>
      <c r="E25">
        <v>86.03125</v>
      </c>
      <c r="F25">
        <v>86.03125</v>
      </c>
      <c r="G25">
        <v>363285400</v>
      </c>
    </row>
    <row r="26" spans="1:7">
      <c r="A26" s="70">
        <v>36281</v>
      </c>
      <c r="B26">
        <v>83.4375</v>
      </c>
      <c r="C26">
        <v>83.53125</v>
      </c>
      <c r="D26">
        <v>52.25</v>
      </c>
      <c r="E26">
        <v>59.375</v>
      </c>
      <c r="F26">
        <v>59.375</v>
      </c>
      <c r="G26">
        <v>303767800</v>
      </c>
    </row>
    <row r="27" spans="1:7">
      <c r="A27" s="70">
        <v>36312</v>
      </c>
      <c r="B27">
        <v>55.75</v>
      </c>
      <c r="C27">
        <v>64.75</v>
      </c>
      <c r="D27">
        <v>44.875</v>
      </c>
      <c r="E27">
        <v>62.5625</v>
      </c>
      <c r="F27">
        <v>62.5625</v>
      </c>
      <c r="G27">
        <v>364747400</v>
      </c>
    </row>
    <row r="28" spans="1:7">
      <c r="A28" s="70">
        <v>36342</v>
      </c>
      <c r="B28">
        <v>62.625</v>
      </c>
      <c r="C28">
        <v>71.25</v>
      </c>
      <c r="D28">
        <v>48.75</v>
      </c>
      <c r="E28">
        <v>50.03125</v>
      </c>
      <c r="F28">
        <v>50.03125</v>
      </c>
      <c r="G28">
        <v>388650400</v>
      </c>
    </row>
    <row r="29" spans="1:7">
      <c r="A29" s="70">
        <v>36373</v>
      </c>
      <c r="B29">
        <v>49.1875</v>
      </c>
      <c r="C29">
        <v>67.78125</v>
      </c>
      <c r="D29">
        <v>41</v>
      </c>
      <c r="E29">
        <v>62.1875</v>
      </c>
      <c r="F29">
        <v>62.1875</v>
      </c>
      <c r="G29">
        <v>459085800</v>
      </c>
    </row>
    <row r="30" spans="1:7">
      <c r="A30" s="70">
        <v>36404</v>
      </c>
      <c r="B30">
        <v>63.5</v>
      </c>
      <c r="C30">
        <v>85</v>
      </c>
      <c r="D30">
        <v>57.375</v>
      </c>
      <c r="E30">
        <v>79.9375</v>
      </c>
      <c r="F30">
        <v>79.9375</v>
      </c>
      <c r="G30">
        <v>321616800</v>
      </c>
    </row>
    <row r="31" spans="1:7">
      <c r="A31" s="70">
        <v>36434</v>
      </c>
      <c r="B31">
        <v>77</v>
      </c>
      <c r="C31">
        <v>90</v>
      </c>
      <c r="D31">
        <v>65.875</v>
      </c>
      <c r="E31">
        <v>70.625</v>
      </c>
      <c r="F31">
        <v>70.625</v>
      </c>
      <c r="G31">
        <v>254311500</v>
      </c>
    </row>
    <row r="32" spans="1:7">
      <c r="A32" s="70">
        <v>36465</v>
      </c>
      <c r="B32">
        <v>68.0625</v>
      </c>
      <c r="C32">
        <v>96.875</v>
      </c>
      <c r="D32">
        <v>61</v>
      </c>
      <c r="E32">
        <v>85.0625</v>
      </c>
      <c r="F32">
        <v>85.0625</v>
      </c>
      <c r="G32">
        <v>281070200</v>
      </c>
    </row>
    <row r="33" spans="1:7">
      <c r="A33" s="70">
        <v>36495</v>
      </c>
      <c r="B33">
        <v>87.25</v>
      </c>
      <c r="C33">
        <v>113</v>
      </c>
      <c r="D33">
        <v>76</v>
      </c>
      <c r="E33">
        <v>76.125</v>
      </c>
      <c r="F33">
        <v>76.125</v>
      </c>
      <c r="G33">
        <v>246476100</v>
      </c>
    </row>
    <row r="34" spans="1:7">
      <c r="A34" s="70">
        <v>36526</v>
      </c>
      <c r="B34">
        <v>81.5</v>
      </c>
      <c r="C34">
        <v>91.5</v>
      </c>
      <c r="D34">
        <v>58.4375</v>
      </c>
      <c r="E34">
        <v>64.5625</v>
      </c>
      <c r="F34">
        <v>64.5625</v>
      </c>
      <c r="G34">
        <v>262209000</v>
      </c>
    </row>
    <row r="35" spans="1:7">
      <c r="A35" s="70">
        <v>36557</v>
      </c>
      <c r="B35">
        <v>67.5</v>
      </c>
      <c r="C35">
        <v>85.9375</v>
      </c>
      <c r="D35">
        <v>63.0625</v>
      </c>
      <c r="E35">
        <v>68.875</v>
      </c>
      <c r="F35">
        <v>68.875</v>
      </c>
      <c r="G35">
        <v>207457700</v>
      </c>
    </row>
    <row r="36" spans="1:7">
      <c r="A36" s="70">
        <v>36586</v>
      </c>
      <c r="B36">
        <v>67.625</v>
      </c>
      <c r="C36">
        <v>75.25</v>
      </c>
      <c r="D36">
        <v>60</v>
      </c>
      <c r="E36">
        <v>67</v>
      </c>
      <c r="F36">
        <v>67</v>
      </c>
      <c r="G36">
        <v>156584600</v>
      </c>
    </row>
    <row r="37" spans="1:7">
      <c r="A37" s="70">
        <v>36617</v>
      </c>
      <c r="B37">
        <v>65.4375</v>
      </c>
      <c r="C37">
        <v>68.625</v>
      </c>
      <c r="D37">
        <v>40.8125</v>
      </c>
      <c r="E37">
        <v>55.1875</v>
      </c>
      <c r="F37">
        <v>55.1875</v>
      </c>
      <c r="G37">
        <v>162012500</v>
      </c>
    </row>
    <row r="38" spans="1:7">
      <c r="A38" s="70">
        <v>36647</v>
      </c>
      <c r="B38">
        <v>56</v>
      </c>
      <c r="C38">
        <v>62.375</v>
      </c>
      <c r="D38">
        <v>40.4375</v>
      </c>
      <c r="E38">
        <v>48.3125</v>
      </c>
      <c r="F38">
        <v>48.3125</v>
      </c>
      <c r="G38">
        <v>130688600</v>
      </c>
    </row>
    <row r="39" spans="1:7">
      <c r="A39" s="70">
        <v>36678</v>
      </c>
      <c r="B39">
        <v>48.875</v>
      </c>
      <c r="C39">
        <v>58.125</v>
      </c>
      <c r="D39">
        <v>32.468699999999998</v>
      </c>
      <c r="E39">
        <v>36.3125</v>
      </c>
      <c r="F39">
        <v>36.3125</v>
      </c>
      <c r="G39">
        <v>203140900</v>
      </c>
    </row>
    <row r="40" spans="1:7">
      <c r="A40" s="70">
        <v>36708</v>
      </c>
      <c r="B40">
        <v>36.6875</v>
      </c>
      <c r="C40">
        <v>43.9375</v>
      </c>
      <c r="D40">
        <v>27.875</v>
      </c>
      <c r="E40">
        <v>30.125</v>
      </c>
      <c r="F40">
        <v>30.125</v>
      </c>
      <c r="G40">
        <v>198524600</v>
      </c>
    </row>
    <row r="41" spans="1:7">
      <c r="A41" s="70">
        <v>36739</v>
      </c>
      <c r="B41">
        <v>30.625</v>
      </c>
      <c r="C41">
        <v>43.968699999999998</v>
      </c>
      <c r="D41">
        <v>29.3125</v>
      </c>
      <c r="E41">
        <v>41.5</v>
      </c>
      <c r="F41">
        <v>41.5</v>
      </c>
      <c r="G41">
        <v>144464700</v>
      </c>
    </row>
    <row r="42" spans="1:7">
      <c r="A42" s="70">
        <v>36770</v>
      </c>
      <c r="B42">
        <v>42.125</v>
      </c>
      <c r="C42">
        <v>49.625</v>
      </c>
      <c r="D42">
        <v>35.5</v>
      </c>
      <c r="E42">
        <v>38.4375</v>
      </c>
      <c r="F42">
        <v>38.4375</v>
      </c>
      <c r="G42">
        <v>133739700</v>
      </c>
    </row>
    <row r="43" spans="1:7">
      <c r="A43" s="70">
        <v>36800</v>
      </c>
      <c r="B43">
        <v>38.1875</v>
      </c>
      <c r="C43">
        <v>38.4375</v>
      </c>
      <c r="D43">
        <v>19.375</v>
      </c>
      <c r="E43">
        <v>36.625</v>
      </c>
      <c r="F43">
        <v>36.625</v>
      </c>
      <c r="G43">
        <v>246733500</v>
      </c>
    </row>
    <row r="44" spans="1:7">
      <c r="A44" s="70">
        <v>36831</v>
      </c>
      <c r="B44">
        <v>35.8125</v>
      </c>
      <c r="C44">
        <v>40.875</v>
      </c>
      <c r="D44">
        <v>22.125</v>
      </c>
      <c r="E44">
        <v>24.6875</v>
      </c>
      <c r="F44">
        <v>24.6875</v>
      </c>
      <c r="G44">
        <v>159338900</v>
      </c>
    </row>
    <row r="45" spans="1:7">
      <c r="A45" s="70">
        <v>36861</v>
      </c>
      <c r="B45">
        <v>24.9375</v>
      </c>
      <c r="C45">
        <v>27.625</v>
      </c>
      <c r="D45">
        <v>14.875</v>
      </c>
      <c r="E45">
        <v>15.5625</v>
      </c>
      <c r="F45">
        <v>15.5625</v>
      </c>
      <c r="G45">
        <v>202112900</v>
      </c>
    </row>
    <row r="46" spans="1:7">
      <c r="A46" s="70">
        <v>36892</v>
      </c>
      <c r="B46">
        <v>15.8125</v>
      </c>
      <c r="C46">
        <v>22.375</v>
      </c>
      <c r="D46">
        <v>13.5625</v>
      </c>
      <c r="E46">
        <v>17.3125</v>
      </c>
      <c r="F46">
        <v>17.3125</v>
      </c>
      <c r="G46">
        <v>210486800</v>
      </c>
    </row>
    <row r="47" spans="1:7">
      <c r="A47" s="70">
        <v>36923</v>
      </c>
      <c r="B47">
        <v>17.1875</v>
      </c>
      <c r="C47">
        <v>17.1875</v>
      </c>
      <c r="D47">
        <v>9.9375</v>
      </c>
      <c r="E47">
        <v>10.1875</v>
      </c>
      <c r="F47">
        <v>10.1875</v>
      </c>
      <c r="G47">
        <v>167374100</v>
      </c>
    </row>
    <row r="48" spans="1:7">
      <c r="A48" s="70">
        <v>36951</v>
      </c>
      <c r="B48">
        <v>9.875</v>
      </c>
      <c r="C48">
        <v>14</v>
      </c>
      <c r="D48">
        <v>9.5625</v>
      </c>
      <c r="E48">
        <v>10.23</v>
      </c>
      <c r="F48">
        <v>10.23</v>
      </c>
      <c r="G48">
        <v>167635900</v>
      </c>
    </row>
    <row r="49" spans="1:7">
      <c r="A49" s="70">
        <v>36982</v>
      </c>
      <c r="B49">
        <v>10.33</v>
      </c>
      <c r="C49">
        <v>18.16</v>
      </c>
      <c r="D49">
        <v>8.1</v>
      </c>
      <c r="E49">
        <v>15.78</v>
      </c>
      <c r="F49">
        <v>15.78</v>
      </c>
      <c r="G49">
        <v>189780400</v>
      </c>
    </row>
    <row r="50" spans="1:7">
      <c r="A50" s="70">
        <v>37012</v>
      </c>
      <c r="B50">
        <v>15.9</v>
      </c>
      <c r="C50">
        <v>17.600000000000001</v>
      </c>
      <c r="D50">
        <v>13.1</v>
      </c>
      <c r="E50">
        <v>16.690000999999999</v>
      </c>
      <c r="F50">
        <v>16.690000999999999</v>
      </c>
      <c r="G50">
        <v>144686700</v>
      </c>
    </row>
    <row r="51" spans="1:7">
      <c r="A51" s="70">
        <v>37043</v>
      </c>
      <c r="B51">
        <v>17.219999000000001</v>
      </c>
      <c r="C51">
        <v>17.920000000000002</v>
      </c>
      <c r="D51">
        <v>11.2</v>
      </c>
      <c r="E51">
        <v>14.15</v>
      </c>
      <c r="F51">
        <v>14.15</v>
      </c>
      <c r="G51">
        <v>136695900</v>
      </c>
    </row>
    <row r="52" spans="1:7">
      <c r="A52" s="70">
        <v>37073</v>
      </c>
      <c r="B52">
        <v>14.1</v>
      </c>
      <c r="C52">
        <v>17.420000000000002</v>
      </c>
      <c r="D52">
        <v>11.07</v>
      </c>
      <c r="E52">
        <v>12.49</v>
      </c>
      <c r="F52">
        <v>12.49</v>
      </c>
      <c r="G52">
        <v>172078700</v>
      </c>
    </row>
    <row r="53" spans="1:7">
      <c r="A53" s="70">
        <v>37104</v>
      </c>
      <c r="B53">
        <v>12.73</v>
      </c>
      <c r="C53">
        <v>12.86</v>
      </c>
      <c r="D53">
        <v>8.5500000000000007</v>
      </c>
      <c r="E53">
        <v>8.94</v>
      </c>
      <c r="F53">
        <v>8.94</v>
      </c>
      <c r="G53">
        <v>100687300</v>
      </c>
    </row>
    <row r="54" spans="1:7">
      <c r="A54" s="70">
        <v>37135</v>
      </c>
      <c r="B54">
        <v>8.9499999999999993</v>
      </c>
      <c r="C54">
        <v>9.19</v>
      </c>
      <c r="D54">
        <v>5.67</v>
      </c>
      <c r="E54">
        <v>5.97</v>
      </c>
      <c r="F54">
        <v>5.97</v>
      </c>
      <c r="G54">
        <v>126843400</v>
      </c>
    </row>
    <row r="55" spans="1:7">
      <c r="A55" s="70">
        <v>37165</v>
      </c>
      <c r="B55">
        <v>5.91</v>
      </c>
      <c r="C55">
        <v>9.99</v>
      </c>
      <c r="D55">
        <v>5.51</v>
      </c>
      <c r="E55">
        <v>6.98</v>
      </c>
      <c r="F55">
        <v>6.98</v>
      </c>
      <c r="G55">
        <v>169882800</v>
      </c>
    </row>
    <row r="56" spans="1:7">
      <c r="A56" s="70">
        <v>37196</v>
      </c>
      <c r="B56">
        <v>7.08</v>
      </c>
      <c r="C56">
        <v>12.4</v>
      </c>
      <c r="D56">
        <v>6.6</v>
      </c>
      <c r="E56">
        <v>11.32</v>
      </c>
      <c r="F56">
        <v>11.32</v>
      </c>
      <c r="G56">
        <v>310965300</v>
      </c>
    </row>
    <row r="57" spans="1:7">
      <c r="A57" s="70">
        <v>37226</v>
      </c>
      <c r="B57">
        <v>11.02</v>
      </c>
      <c r="C57">
        <v>12.8</v>
      </c>
      <c r="D57">
        <v>9.51</v>
      </c>
      <c r="E57">
        <v>10.82</v>
      </c>
      <c r="F57">
        <v>10.82</v>
      </c>
      <c r="G57">
        <v>212455500</v>
      </c>
    </row>
    <row r="58" spans="1:7">
      <c r="A58" s="70">
        <v>37257</v>
      </c>
      <c r="B58">
        <v>10.93</v>
      </c>
      <c r="C58">
        <v>15.77</v>
      </c>
      <c r="D58">
        <v>9.0299999999999994</v>
      </c>
      <c r="E58">
        <v>14.19</v>
      </c>
      <c r="F58">
        <v>14.19</v>
      </c>
      <c r="G58">
        <v>322739200</v>
      </c>
    </row>
    <row r="59" spans="1:7">
      <c r="A59" s="70">
        <v>37288</v>
      </c>
      <c r="B59">
        <v>14.07</v>
      </c>
      <c r="C59">
        <v>14.75</v>
      </c>
      <c r="D59">
        <v>11.06</v>
      </c>
      <c r="E59">
        <v>14.1</v>
      </c>
      <c r="F59">
        <v>14.1</v>
      </c>
      <c r="G59">
        <v>163988900</v>
      </c>
    </row>
    <row r="60" spans="1:7">
      <c r="A60" s="70">
        <v>37316</v>
      </c>
      <c r="B60">
        <v>14.13</v>
      </c>
      <c r="C60">
        <v>16.959999</v>
      </c>
      <c r="D60">
        <v>13.55</v>
      </c>
      <c r="E60">
        <v>14.3</v>
      </c>
      <c r="F60">
        <v>14.3</v>
      </c>
      <c r="G60">
        <v>164817800</v>
      </c>
    </row>
    <row r="61" spans="1:7">
      <c r="A61" s="70">
        <v>37347</v>
      </c>
      <c r="B61">
        <v>14.28</v>
      </c>
      <c r="C61">
        <v>17.049999</v>
      </c>
      <c r="D61">
        <v>12.52</v>
      </c>
      <c r="E61">
        <v>16.690000999999999</v>
      </c>
      <c r="F61">
        <v>16.690000999999999</v>
      </c>
      <c r="G61">
        <v>158958600</v>
      </c>
    </row>
    <row r="62" spans="1:7">
      <c r="A62" s="70">
        <v>37377</v>
      </c>
      <c r="B62">
        <v>16.549999</v>
      </c>
      <c r="C62">
        <v>20.399999999999999</v>
      </c>
      <c r="D62">
        <v>15.75</v>
      </c>
      <c r="E62">
        <v>18.23</v>
      </c>
      <c r="F62">
        <v>18.23</v>
      </c>
      <c r="G62">
        <v>154840500</v>
      </c>
    </row>
    <row r="63" spans="1:7">
      <c r="A63" s="70">
        <v>37408</v>
      </c>
      <c r="B63">
        <v>18.309999000000001</v>
      </c>
      <c r="C63">
        <v>19.16</v>
      </c>
      <c r="D63">
        <v>14.68</v>
      </c>
      <c r="E63">
        <v>16.25</v>
      </c>
      <c r="F63">
        <v>16.25</v>
      </c>
      <c r="G63">
        <v>142617800</v>
      </c>
    </row>
    <row r="64" spans="1:7">
      <c r="A64" s="70">
        <v>37438</v>
      </c>
      <c r="B64">
        <v>16.170000000000002</v>
      </c>
      <c r="C64">
        <v>17.16</v>
      </c>
      <c r="D64">
        <v>12.26</v>
      </c>
      <c r="E64">
        <v>14.45</v>
      </c>
      <c r="F64">
        <v>14.45</v>
      </c>
      <c r="G64">
        <v>176592200</v>
      </c>
    </row>
    <row r="65" spans="1:7">
      <c r="A65" s="70">
        <v>37469</v>
      </c>
      <c r="B65">
        <v>14.31</v>
      </c>
      <c r="C65">
        <v>15.99</v>
      </c>
      <c r="D65">
        <v>12.78</v>
      </c>
      <c r="E65">
        <v>14.94</v>
      </c>
      <c r="F65">
        <v>14.94</v>
      </c>
      <c r="G65">
        <v>115341600</v>
      </c>
    </row>
    <row r="66" spans="1:7">
      <c r="A66" s="70">
        <v>37500</v>
      </c>
      <c r="B66">
        <v>14.71</v>
      </c>
      <c r="C66">
        <v>17.93</v>
      </c>
      <c r="D66">
        <v>14.24</v>
      </c>
      <c r="E66">
        <v>15.93</v>
      </c>
      <c r="F66">
        <v>15.93</v>
      </c>
      <c r="G66">
        <v>146027000</v>
      </c>
    </row>
    <row r="67" spans="1:7">
      <c r="A67" s="70">
        <v>37530</v>
      </c>
      <c r="B67">
        <v>16.23</v>
      </c>
      <c r="C67">
        <v>20.260000000000002</v>
      </c>
      <c r="D67">
        <v>16.010000000000002</v>
      </c>
      <c r="E67">
        <v>19.360001</v>
      </c>
      <c r="F67">
        <v>19.360001</v>
      </c>
      <c r="G67">
        <v>203538600</v>
      </c>
    </row>
    <row r="68" spans="1:7">
      <c r="A68" s="70">
        <v>37561</v>
      </c>
      <c r="B68">
        <v>19.219999000000001</v>
      </c>
      <c r="C68">
        <v>24.5</v>
      </c>
      <c r="D68">
        <v>18.200001</v>
      </c>
      <c r="E68">
        <v>23.35</v>
      </c>
      <c r="F68">
        <v>23.35</v>
      </c>
      <c r="G68">
        <v>206336300</v>
      </c>
    </row>
    <row r="69" spans="1:7">
      <c r="A69" s="70">
        <v>37591</v>
      </c>
      <c r="B69">
        <v>24.15</v>
      </c>
      <c r="C69">
        <v>25</v>
      </c>
      <c r="D69">
        <v>18.43</v>
      </c>
      <c r="E69">
        <v>18.889999</v>
      </c>
      <c r="F69">
        <v>18.889999</v>
      </c>
      <c r="G69">
        <v>155610600</v>
      </c>
    </row>
    <row r="70" spans="1:7">
      <c r="A70" s="70">
        <v>37622</v>
      </c>
      <c r="B70">
        <v>19.190000999999999</v>
      </c>
      <c r="C70">
        <v>23.280000999999999</v>
      </c>
      <c r="D70">
        <v>18.549999</v>
      </c>
      <c r="E70">
        <v>21.85</v>
      </c>
      <c r="F70">
        <v>21.85</v>
      </c>
      <c r="G70">
        <v>169197200</v>
      </c>
    </row>
    <row r="71" spans="1:7">
      <c r="A71" s="70">
        <v>37653</v>
      </c>
      <c r="B71">
        <v>21.940000999999999</v>
      </c>
      <c r="C71">
        <v>22.5</v>
      </c>
      <c r="D71">
        <v>19.610001</v>
      </c>
      <c r="E71">
        <v>22.01</v>
      </c>
      <c r="F71">
        <v>22.01</v>
      </c>
      <c r="G71">
        <v>115941900</v>
      </c>
    </row>
    <row r="72" spans="1:7">
      <c r="A72" s="70">
        <v>37681</v>
      </c>
      <c r="B72">
        <v>22.15</v>
      </c>
      <c r="C72">
        <v>28.040001</v>
      </c>
      <c r="D72">
        <v>21.360001</v>
      </c>
      <c r="E72">
        <v>26.030000999999999</v>
      </c>
      <c r="F72">
        <v>26.030000999999999</v>
      </c>
      <c r="G72">
        <v>164093600</v>
      </c>
    </row>
    <row r="73" spans="1:7">
      <c r="A73" s="70">
        <v>37712</v>
      </c>
      <c r="B73">
        <v>25.549999</v>
      </c>
      <c r="C73">
        <v>29.190000999999999</v>
      </c>
      <c r="D73">
        <v>24.129999000000002</v>
      </c>
      <c r="E73">
        <v>28.690000999999999</v>
      </c>
      <c r="F73">
        <v>28.690000999999999</v>
      </c>
      <c r="G73">
        <v>219644300</v>
      </c>
    </row>
    <row r="74" spans="1:7">
      <c r="A74" s="70">
        <v>37742</v>
      </c>
      <c r="B74">
        <v>28.68</v>
      </c>
      <c r="C74">
        <v>36.090000000000003</v>
      </c>
      <c r="D74">
        <v>28.15</v>
      </c>
      <c r="E74">
        <v>35.889999000000003</v>
      </c>
      <c r="F74">
        <v>35.889999000000003</v>
      </c>
      <c r="G74">
        <v>190833800</v>
      </c>
    </row>
    <row r="75" spans="1:7">
      <c r="A75" s="70">
        <v>37773</v>
      </c>
      <c r="B75">
        <v>36.5</v>
      </c>
      <c r="C75">
        <v>37.240001999999997</v>
      </c>
      <c r="D75">
        <v>32.830002</v>
      </c>
      <c r="E75">
        <v>36.32</v>
      </c>
      <c r="F75">
        <v>36.32</v>
      </c>
      <c r="G75">
        <v>171470800</v>
      </c>
    </row>
    <row r="76" spans="1:7">
      <c r="A76" s="70">
        <v>37803</v>
      </c>
      <c r="B76">
        <v>36.330002</v>
      </c>
      <c r="C76">
        <v>43.099997999999999</v>
      </c>
      <c r="D76">
        <v>34</v>
      </c>
      <c r="E76">
        <v>41.639999000000003</v>
      </c>
      <c r="F76">
        <v>41.639999000000003</v>
      </c>
      <c r="G76">
        <v>229239500</v>
      </c>
    </row>
    <row r="77" spans="1:7">
      <c r="A77" s="70">
        <v>37834</v>
      </c>
      <c r="B77">
        <v>41.41</v>
      </c>
      <c r="C77">
        <v>46.950001</v>
      </c>
      <c r="D77">
        <v>38.279998999999997</v>
      </c>
      <c r="E77">
        <v>46.32</v>
      </c>
      <c r="F77">
        <v>46.32</v>
      </c>
      <c r="G77">
        <v>150718900</v>
      </c>
    </row>
    <row r="78" spans="1:7">
      <c r="A78" s="70">
        <v>37865</v>
      </c>
      <c r="B78">
        <v>46.52</v>
      </c>
      <c r="C78">
        <v>51.299999</v>
      </c>
      <c r="D78">
        <v>44.73</v>
      </c>
      <c r="E78">
        <v>48.43</v>
      </c>
      <c r="F78">
        <v>48.43</v>
      </c>
      <c r="G78">
        <v>202836400</v>
      </c>
    </row>
    <row r="79" spans="1:7">
      <c r="A79" s="70">
        <v>37895</v>
      </c>
      <c r="B79">
        <v>48.369999</v>
      </c>
      <c r="C79">
        <v>61.150002000000001</v>
      </c>
      <c r="D79">
        <v>47.509998000000003</v>
      </c>
      <c r="E79">
        <v>54.43</v>
      </c>
      <c r="F79">
        <v>54.43</v>
      </c>
      <c r="G79">
        <v>288225300</v>
      </c>
    </row>
    <row r="80" spans="1:7">
      <c r="A80" s="70">
        <v>37926</v>
      </c>
      <c r="B80">
        <v>54.799999</v>
      </c>
      <c r="C80">
        <v>57.490001999999997</v>
      </c>
      <c r="D80">
        <v>47.669998</v>
      </c>
      <c r="E80">
        <v>53.970001000000003</v>
      </c>
      <c r="F80">
        <v>53.970001000000003</v>
      </c>
      <c r="G80">
        <v>181979000</v>
      </c>
    </row>
    <row r="81" spans="1:7">
      <c r="A81" s="70">
        <v>37956</v>
      </c>
      <c r="B81">
        <v>54.400002000000001</v>
      </c>
      <c r="C81">
        <v>54.939999</v>
      </c>
      <c r="D81">
        <v>47</v>
      </c>
      <c r="E81">
        <v>52.619999</v>
      </c>
      <c r="F81">
        <v>52.619999</v>
      </c>
      <c r="G81">
        <v>193675200</v>
      </c>
    </row>
    <row r="82" spans="1:7">
      <c r="A82" s="70">
        <v>37987</v>
      </c>
      <c r="B82">
        <v>52.759998000000003</v>
      </c>
      <c r="C82">
        <v>57.82</v>
      </c>
      <c r="D82">
        <v>48.599997999999999</v>
      </c>
      <c r="E82">
        <v>50.400002000000001</v>
      </c>
      <c r="F82">
        <v>50.400002000000001</v>
      </c>
      <c r="G82">
        <v>217934700</v>
      </c>
    </row>
    <row r="83" spans="1:7">
      <c r="A83" s="70">
        <v>38018</v>
      </c>
      <c r="B83">
        <v>50.650002000000001</v>
      </c>
      <c r="C83">
        <v>50.650002000000001</v>
      </c>
      <c r="D83">
        <v>42.23</v>
      </c>
      <c r="E83">
        <v>43.009998000000003</v>
      </c>
      <c r="F83">
        <v>43.009998000000003</v>
      </c>
      <c r="G83">
        <v>185747700</v>
      </c>
    </row>
    <row r="84" spans="1:7">
      <c r="A84" s="70">
        <v>38047</v>
      </c>
      <c r="B84">
        <v>43.02</v>
      </c>
      <c r="C84">
        <v>45.060001</v>
      </c>
      <c r="D84">
        <v>39.150002000000001</v>
      </c>
      <c r="E84">
        <v>43.279998999999997</v>
      </c>
      <c r="F84">
        <v>43.279998999999997</v>
      </c>
      <c r="G84">
        <v>154770500</v>
      </c>
    </row>
    <row r="85" spans="1:7">
      <c r="A85" s="70">
        <v>38078</v>
      </c>
      <c r="B85">
        <v>43.450001</v>
      </c>
      <c r="C85">
        <v>49.099997999999999</v>
      </c>
      <c r="D85">
        <v>43.299999</v>
      </c>
      <c r="E85">
        <v>43.599997999999999</v>
      </c>
      <c r="F85">
        <v>43.599997999999999</v>
      </c>
      <c r="G85">
        <v>162636600</v>
      </c>
    </row>
    <row r="86" spans="1:7">
      <c r="A86" s="70">
        <v>38108</v>
      </c>
      <c r="B86">
        <v>43.48</v>
      </c>
      <c r="C86">
        <v>48.68</v>
      </c>
      <c r="D86">
        <v>40.549999</v>
      </c>
      <c r="E86">
        <v>48.5</v>
      </c>
      <c r="F86">
        <v>48.5</v>
      </c>
      <c r="G86">
        <v>150196500</v>
      </c>
    </row>
    <row r="87" spans="1:7">
      <c r="A87" s="70">
        <v>38139</v>
      </c>
      <c r="B87">
        <v>47.869999</v>
      </c>
      <c r="C87">
        <v>54.700001</v>
      </c>
      <c r="D87">
        <v>47.700001</v>
      </c>
      <c r="E87">
        <v>54.400002000000001</v>
      </c>
      <c r="F87">
        <v>54.400002000000001</v>
      </c>
      <c r="G87">
        <v>161251200</v>
      </c>
    </row>
    <row r="88" spans="1:7">
      <c r="A88" s="70">
        <v>38169</v>
      </c>
      <c r="B88">
        <v>53.799999</v>
      </c>
      <c r="C88">
        <v>54.040000999999997</v>
      </c>
      <c r="D88">
        <v>37.380001</v>
      </c>
      <c r="E88">
        <v>38.919998</v>
      </c>
      <c r="F88">
        <v>38.919998</v>
      </c>
      <c r="G88">
        <v>202437000</v>
      </c>
    </row>
    <row r="89" spans="1:7">
      <c r="A89" s="70">
        <v>38200</v>
      </c>
      <c r="B89">
        <v>38.450001</v>
      </c>
      <c r="C89">
        <v>40.830002</v>
      </c>
      <c r="D89">
        <v>34.849997999999999</v>
      </c>
      <c r="E89">
        <v>38.139999000000003</v>
      </c>
      <c r="F89">
        <v>38.139999000000003</v>
      </c>
      <c r="G89">
        <v>180022400</v>
      </c>
    </row>
    <row r="90" spans="1:7">
      <c r="A90" s="70">
        <v>38231</v>
      </c>
      <c r="B90">
        <v>38.229999999999997</v>
      </c>
      <c r="C90">
        <v>44.279998999999997</v>
      </c>
      <c r="D90">
        <v>37.360000999999997</v>
      </c>
      <c r="E90">
        <v>40.860000999999997</v>
      </c>
      <c r="F90">
        <v>40.860000999999997</v>
      </c>
      <c r="G90">
        <v>176176900</v>
      </c>
    </row>
    <row r="91" spans="1:7">
      <c r="A91" s="70">
        <v>38261</v>
      </c>
      <c r="B91">
        <v>41.290000999999997</v>
      </c>
      <c r="C91">
        <v>42.700001</v>
      </c>
      <c r="D91">
        <v>33</v>
      </c>
      <c r="E91">
        <v>34.130001</v>
      </c>
      <c r="F91">
        <v>34.130001</v>
      </c>
      <c r="G91">
        <v>208568400</v>
      </c>
    </row>
    <row r="92" spans="1:7">
      <c r="A92" s="70">
        <v>38292</v>
      </c>
      <c r="B92">
        <v>34.220001000000003</v>
      </c>
      <c r="C92">
        <v>41.5</v>
      </c>
      <c r="D92">
        <v>34.150002000000001</v>
      </c>
      <c r="E92">
        <v>39.68</v>
      </c>
      <c r="F92">
        <v>39.68</v>
      </c>
      <c r="G92">
        <v>168474900</v>
      </c>
    </row>
    <row r="93" spans="1:7">
      <c r="A93" s="70">
        <v>38322</v>
      </c>
      <c r="B93">
        <v>40</v>
      </c>
      <c r="C93">
        <v>45.68</v>
      </c>
      <c r="D93">
        <v>37.990001999999997</v>
      </c>
      <c r="E93">
        <v>44.290000999999997</v>
      </c>
      <c r="F93">
        <v>44.290000999999997</v>
      </c>
      <c r="G93">
        <v>176014800</v>
      </c>
    </row>
    <row r="94" spans="1:7">
      <c r="A94" s="70">
        <v>38353</v>
      </c>
      <c r="B94">
        <v>44.950001</v>
      </c>
      <c r="C94">
        <v>45.439999</v>
      </c>
      <c r="D94">
        <v>40.259998000000003</v>
      </c>
      <c r="E94">
        <v>43.220001000000003</v>
      </c>
      <c r="F94">
        <v>43.220001000000003</v>
      </c>
      <c r="G94">
        <v>194935200</v>
      </c>
    </row>
    <row r="95" spans="1:7">
      <c r="A95" s="70">
        <v>38384</v>
      </c>
      <c r="B95">
        <v>43</v>
      </c>
      <c r="C95">
        <v>43.540000999999997</v>
      </c>
      <c r="D95">
        <v>33.200001</v>
      </c>
      <c r="E95">
        <v>35.18</v>
      </c>
      <c r="F95">
        <v>35.18</v>
      </c>
      <c r="G95">
        <v>218655100</v>
      </c>
    </row>
    <row r="96" spans="1:7">
      <c r="A96" s="70">
        <v>38412</v>
      </c>
      <c r="B96">
        <v>35.060001</v>
      </c>
      <c r="C96">
        <v>36.43</v>
      </c>
      <c r="D96">
        <v>32.82</v>
      </c>
      <c r="E96">
        <v>34.270000000000003</v>
      </c>
      <c r="F96">
        <v>34.270000000000003</v>
      </c>
      <c r="G96">
        <v>119566600</v>
      </c>
    </row>
    <row r="97" spans="1:7">
      <c r="A97" s="70">
        <v>38443</v>
      </c>
      <c r="B97">
        <v>34.630001</v>
      </c>
      <c r="C97">
        <v>35.340000000000003</v>
      </c>
      <c r="D97">
        <v>30.6</v>
      </c>
      <c r="E97">
        <v>32.360000999999997</v>
      </c>
      <c r="F97">
        <v>32.360000999999997</v>
      </c>
      <c r="G97">
        <v>162491300</v>
      </c>
    </row>
    <row r="98" spans="1:7">
      <c r="A98" s="70">
        <v>38473</v>
      </c>
      <c r="B98">
        <v>32.299999</v>
      </c>
      <c r="C98">
        <v>36.040000999999997</v>
      </c>
      <c r="D98">
        <v>32.099997999999999</v>
      </c>
      <c r="E98">
        <v>35.509998000000003</v>
      </c>
      <c r="F98">
        <v>35.509998000000003</v>
      </c>
      <c r="G98">
        <v>116947800</v>
      </c>
    </row>
    <row r="99" spans="1:7">
      <c r="A99" s="70">
        <v>38504</v>
      </c>
      <c r="B99">
        <v>35.57</v>
      </c>
      <c r="C99">
        <v>36.990001999999997</v>
      </c>
      <c r="D99">
        <v>32.93</v>
      </c>
      <c r="E99">
        <v>33.090000000000003</v>
      </c>
      <c r="F99">
        <v>33.090000000000003</v>
      </c>
      <c r="G99">
        <v>106233600</v>
      </c>
    </row>
    <row r="100" spans="1:7">
      <c r="A100" s="70">
        <v>38534</v>
      </c>
      <c r="B100">
        <v>33.240001999999997</v>
      </c>
      <c r="C100">
        <v>45.810001</v>
      </c>
      <c r="D100">
        <v>32.790000999999997</v>
      </c>
      <c r="E100">
        <v>45.150002000000001</v>
      </c>
      <c r="F100">
        <v>45.150002000000001</v>
      </c>
      <c r="G100">
        <v>182601100</v>
      </c>
    </row>
    <row r="101" spans="1:7">
      <c r="A101" s="70">
        <v>38565</v>
      </c>
      <c r="B101">
        <v>44.880001</v>
      </c>
      <c r="C101">
        <v>46.970001000000003</v>
      </c>
      <c r="D101">
        <v>41.91</v>
      </c>
      <c r="E101">
        <v>42.700001</v>
      </c>
      <c r="F101">
        <v>42.700001</v>
      </c>
      <c r="G101">
        <v>114751100</v>
      </c>
    </row>
    <row r="102" spans="1:7">
      <c r="A102" s="70">
        <v>38596</v>
      </c>
      <c r="B102">
        <v>42.52</v>
      </c>
      <c r="C102">
        <v>45.84</v>
      </c>
      <c r="D102">
        <v>40.5</v>
      </c>
      <c r="E102">
        <v>45.299999</v>
      </c>
      <c r="F102">
        <v>45.299999</v>
      </c>
      <c r="G102">
        <v>104700400</v>
      </c>
    </row>
    <row r="103" spans="1:7">
      <c r="A103" s="70">
        <v>38626</v>
      </c>
      <c r="B103">
        <v>45.330002</v>
      </c>
      <c r="C103">
        <v>47</v>
      </c>
      <c r="D103">
        <v>38.720001000000003</v>
      </c>
      <c r="E103">
        <v>39.860000999999997</v>
      </c>
      <c r="F103">
        <v>39.860000999999997</v>
      </c>
      <c r="G103">
        <v>146980100</v>
      </c>
    </row>
    <row r="104" spans="1:7">
      <c r="A104" s="70">
        <v>38657</v>
      </c>
      <c r="B104">
        <v>39.970001000000003</v>
      </c>
      <c r="C104">
        <v>49.43</v>
      </c>
      <c r="D104">
        <v>39.650002000000001</v>
      </c>
      <c r="E104">
        <v>48.459999000000003</v>
      </c>
      <c r="F104">
        <v>48.459999000000003</v>
      </c>
      <c r="G104">
        <v>216455300</v>
      </c>
    </row>
    <row r="105" spans="1:7">
      <c r="A105" s="70">
        <v>38687</v>
      </c>
      <c r="B105">
        <v>48.880001</v>
      </c>
      <c r="C105">
        <v>50</v>
      </c>
      <c r="D105">
        <v>47.139999000000003</v>
      </c>
      <c r="E105">
        <v>47.150002000000001</v>
      </c>
      <c r="F105">
        <v>47.150002000000001</v>
      </c>
      <c r="G105">
        <v>121167800</v>
      </c>
    </row>
    <row r="106" spans="1:7">
      <c r="A106" s="70">
        <v>38718</v>
      </c>
      <c r="B106">
        <v>47.470001000000003</v>
      </c>
      <c r="C106">
        <v>48.580002</v>
      </c>
      <c r="D106">
        <v>43.099997999999999</v>
      </c>
      <c r="E106">
        <v>44.82</v>
      </c>
      <c r="F106">
        <v>44.82</v>
      </c>
      <c r="G106">
        <v>123410300</v>
      </c>
    </row>
    <row r="107" spans="1:7">
      <c r="A107" s="70">
        <v>38749</v>
      </c>
      <c r="B107">
        <v>43.919998</v>
      </c>
      <c r="C107">
        <v>44.689999</v>
      </c>
      <c r="D107">
        <v>37.049999</v>
      </c>
      <c r="E107">
        <v>37.439999</v>
      </c>
      <c r="F107">
        <v>37.439999</v>
      </c>
      <c r="G107">
        <v>165544700</v>
      </c>
    </row>
    <row r="108" spans="1:7">
      <c r="A108" s="70">
        <v>38777</v>
      </c>
      <c r="B108">
        <v>37.450001</v>
      </c>
      <c r="C108">
        <v>37.830002</v>
      </c>
      <c r="D108">
        <v>35.139999000000003</v>
      </c>
      <c r="E108">
        <v>36.529998999999997</v>
      </c>
      <c r="F108">
        <v>36.529998999999997</v>
      </c>
      <c r="G108">
        <v>122178100</v>
      </c>
    </row>
    <row r="109" spans="1:7">
      <c r="A109" s="70">
        <v>38808</v>
      </c>
      <c r="B109">
        <v>36.669998</v>
      </c>
      <c r="C109">
        <v>38.840000000000003</v>
      </c>
      <c r="D109">
        <v>35.009998000000003</v>
      </c>
      <c r="E109">
        <v>35.209999000000003</v>
      </c>
      <c r="F109">
        <v>35.209999000000003</v>
      </c>
      <c r="G109">
        <v>106758600</v>
      </c>
    </row>
    <row r="110" spans="1:7">
      <c r="A110" s="70">
        <v>38838</v>
      </c>
      <c r="B110">
        <v>35.189999</v>
      </c>
      <c r="C110">
        <v>36.5</v>
      </c>
      <c r="D110">
        <v>31.52</v>
      </c>
      <c r="E110">
        <v>34.610000999999997</v>
      </c>
      <c r="F110">
        <v>34.610000999999997</v>
      </c>
      <c r="G110">
        <v>146896000</v>
      </c>
    </row>
    <row r="111" spans="1:7">
      <c r="A111" s="70">
        <v>38869</v>
      </c>
      <c r="B111">
        <v>34.630001</v>
      </c>
      <c r="C111">
        <v>38.840000000000003</v>
      </c>
      <c r="D111">
        <v>32.419998</v>
      </c>
      <c r="E111">
        <v>38.68</v>
      </c>
      <c r="F111">
        <v>38.68</v>
      </c>
      <c r="G111">
        <v>115117400</v>
      </c>
    </row>
    <row r="112" spans="1:7">
      <c r="A112" s="70">
        <v>38899</v>
      </c>
      <c r="B112">
        <v>38.520000000000003</v>
      </c>
      <c r="C112">
        <v>38.619999</v>
      </c>
      <c r="D112">
        <v>25.959999</v>
      </c>
      <c r="E112">
        <v>26.889999</v>
      </c>
      <c r="F112">
        <v>26.889999</v>
      </c>
      <c r="G112">
        <v>228663400</v>
      </c>
    </row>
    <row r="113" spans="1:7">
      <c r="A113" s="70">
        <v>38930</v>
      </c>
      <c r="B113">
        <v>26.549999</v>
      </c>
      <c r="C113">
        <v>30.99</v>
      </c>
      <c r="D113">
        <v>25.76</v>
      </c>
      <c r="E113">
        <v>30.83</v>
      </c>
      <c r="F113">
        <v>30.83</v>
      </c>
      <c r="G113">
        <v>159186800</v>
      </c>
    </row>
    <row r="114" spans="1:7">
      <c r="A114" s="70">
        <v>38961</v>
      </c>
      <c r="B114">
        <v>30.85</v>
      </c>
      <c r="C114">
        <v>32.810001</v>
      </c>
      <c r="D114">
        <v>29.68</v>
      </c>
      <c r="E114">
        <v>32.119999</v>
      </c>
      <c r="F114">
        <v>32.119999</v>
      </c>
      <c r="G114">
        <v>146018700</v>
      </c>
    </row>
    <row r="115" spans="1:7">
      <c r="A115" s="70">
        <v>38991</v>
      </c>
      <c r="B115">
        <v>31.98</v>
      </c>
      <c r="C115">
        <v>38.590000000000003</v>
      </c>
      <c r="D115">
        <v>30.58</v>
      </c>
      <c r="E115">
        <v>38.090000000000003</v>
      </c>
      <c r="F115">
        <v>38.090000000000003</v>
      </c>
      <c r="G115">
        <v>209485000</v>
      </c>
    </row>
    <row r="116" spans="1:7">
      <c r="A116" s="70">
        <v>39022</v>
      </c>
      <c r="B116">
        <v>38.130001</v>
      </c>
      <c r="C116">
        <v>43.25</v>
      </c>
      <c r="D116">
        <v>36.869999</v>
      </c>
      <c r="E116">
        <v>40.340000000000003</v>
      </c>
      <c r="F116">
        <v>40.340000000000003</v>
      </c>
      <c r="G116">
        <v>146802400</v>
      </c>
    </row>
    <row r="117" spans="1:7">
      <c r="A117" s="70">
        <v>39052</v>
      </c>
      <c r="B117">
        <v>40.259998000000003</v>
      </c>
      <c r="C117">
        <v>40.639999000000003</v>
      </c>
      <c r="D117">
        <v>37.700001</v>
      </c>
      <c r="E117">
        <v>39.459999000000003</v>
      </c>
      <c r="F117">
        <v>39.459999000000003</v>
      </c>
      <c r="G117">
        <v>121040700</v>
      </c>
    </row>
    <row r="118" spans="1:7">
      <c r="A118" s="70">
        <v>39083</v>
      </c>
      <c r="B118">
        <v>38.68</v>
      </c>
      <c r="C118">
        <v>39.139999000000003</v>
      </c>
      <c r="D118">
        <v>36.299999</v>
      </c>
      <c r="E118">
        <v>37.669998</v>
      </c>
      <c r="F118">
        <v>37.669998</v>
      </c>
      <c r="G118">
        <v>130435300</v>
      </c>
    </row>
    <row r="119" spans="1:7">
      <c r="A119" s="70">
        <v>39114</v>
      </c>
      <c r="B119">
        <v>37.950001</v>
      </c>
      <c r="C119">
        <v>42</v>
      </c>
      <c r="D119">
        <v>36.68</v>
      </c>
      <c r="E119">
        <v>39.139999000000003</v>
      </c>
      <c r="F119">
        <v>39.139999000000003</v>
      </c>
      <c r="G119">
        <v>157975400</v>
      </c>
    </row>
    <row r="120" spans="1:7">
      <c r="A120" s="70">
        <v>39142</v>
      </c>
      <c r="B120">
        <v>39.32</v>
      </c>
      <c r="C120">
        <v>40.240001999999997</v>
      </c>
      <c r="D120">
        <v>37.040000999999997</v>
      </c>
      <c r="E120">
        <v>39.790000999999997</v>
      </c>
      <c r="F120">
        <v>39.790000999999997</v>
      </c>
      <c r="G120">
        <v>142153100</v>
      </c>
    </row>
    <row r="121" spans="1:7">
      <c r="A121" s="70">
        <v>39173</v>
      </c>
      <c r="B121">
        <v>39.849997999999999</v>
      </c>
      <c r="C121">
        <v>63.84</v>
      </c>
      <c r="D121">
        <v>39.549999</v>
      </c>
      <c r="E121">
        <v>61.330002</v>
      </c>
      <c r="F121">
        <v>61.330002</v>
      </c>
      <c r="G121">
        <v>346287000</v>
      </c>
    </row>
    <row r="122" spans="1:7">
      <c r="A122" s="70">
        <v>39203</v>
      </c>
      <c r="B122">
        <v>61.119999</v>
      </c>
      <c r="C122">
        <v>73.309997999999993</v>
      </c>
      <c r="D122">
        <v>59.700001</v>
      </c>
      <c r="E122">
        <v>69.139999000000003</v>
      </c>
      <c r="F122">
        <v>69.139999000000003</v>
      </c>
      <c r="G122">
        <v>330242400</v>
      </c>
    </row>
    <row r="123" spans="1:7">
      <c r="A123" s="70">
        <v>39234</v>
      </c>
      <c r="B123">
        <v>68.900002000000001</v>
      </c>
      <c r="C123">
        <v>74.720000999999996</v>
      </c>
      <c r="D123">
        <v>66.709998999999996</v>
      </c>
      <c r="E123">
        <v>68.410004000000001</v>
      </c>
      <c r="F123">
        <v>68.410004000000001</v>
      </c>
      <c r="G123">
        <v>238788700</v>
      </c>
    </row>
    <row r="124" spans="1:7">
      <c r="A124" s="70">
        <v>39264</v>
      </c>
      <c r="B124">
        <v>68.809997999999993</v>
      </c>
      <c r="C124">
        <v>89</v>
      </c>
      <c r="D124">
        <v>68.010002</v>
      </c>
      <c r="E124">
        <v>78.540001000000004</v>
      </c>
      <c r="F124">
        <v>78.540001000000004</v>
      </c>
      <c r="G124">
        <v>264827800</v>
      </c>
    </row>
    <row r="125" spans="1:7">
      <c r="A125" s="70">
        <v>39295</v>
      </c>
      <c r="B125">
        <v>78.099997999999999</v>
      </c>
      <c r="C125">
        <v>80.800003000000004</v>
      </c>
      <c r="D125">
        <v>70.050003000000004</v>
      </c>
      <c r="E125">
        <v>79.910004000000001</v>
      </c>
      <c r="F125">
        <v>79.910004000000001</v>
      </c>
      <c r="G125">
        <v>175514000</v>
      </c>
    </row>
    <row r="126" spans="1:7">
      <c r="A126" s="70">
        <v>39326</v>
      </c>
      <c r="B126">
        <v>79.900002000000001</v>
      </c>
      <c r="C126">
        <v>94.260002</v>
      </c>
      <c r="D126">
        <v>79.730002999999996</v>
      </c>
      <c r="E126">
        <v>93.150002000000001</v>
      </c>
      <c r="F126">
        <v>93.150002000000001</v>
      </c>
      <c r="G126">
        <v>122273200</v>
      </c>
    </row>
    <row r="127" spans="1:7">
      <c r="A127" s="70">
        <v>39356</v>
      </c>
      <c r="B127">
        <v>93.419998000000007</v>
      </c>
      <c r="C127">
        <v>101.089996</v>
      </c>
      <c r="D127">
        <v>83.269997000000004</v>
      </c>
      <c r="E127">
        <v>89.150002000000001</v>
      </c>
      <c r="F127">
        <v>89.150002000000001</v>
      </c>
      <c r="G127">
        <v>231988500</v>
      </c>
    </row>
    <row r="128" spans="1:7">
      <c r="A128" s="70">
        <v>39387</v>
      </c>
      <c r="B128">
        <v>87.75</v>
      </c>
      <c r="C128">
        <v>91.470000999999996</v>
      </c>
      <c r="D128">
        <v>76.5</v>
      </c>
      <c r="E128">
        <v>90.559997999999993</v>
      </c>
      <c r="F128">
        <v>90.559997999999993</v>
      </c>
      <c r="G128">
        <v>180196500</v>
      </c>
    </row>
    <row r="129" spans="1:7">
      <c r="A129" s="70">
        <v>39417</v>
      </c>
      <c r="B129">
        <v>90.029999000000004</v>
      </c>
      <c r="C129">
        <v>95.940002000000007</v>
      </c>
      <c r="D129">
        <v>83.860000999999997</v>
      </c>
      <c r="E129">
        <v>92.639999000000003</v>
      </c>
      <c r="F129">
        <v>92.639999000000003</v>
      </c>
      <c r="G129">
        <v>127062200</v>
      </c>
    </row>
    <row r="130" spans="1:7">
      <c r="A130" s="70">
        <v>39448</v>
      </c>
      <c r="B130">
        <v>95.349997999999999</v>
      </c>
      <c r="C130">
        <v>97.43</v>
      </c>
      <c r="D130">
        <v>68.839995999999999</v>
      </c>
      <c r="E130">
        <v>77.699996999999996</v>
      </c>
      <c r="F130">
        <v>77.699996999999996</v>
      </c>
      <c r="G130">
        <v>288335400</v>
      </c>
    </row>
    <row r="131" spans="1:7">
      <c r="A131" s="70">
        <v>39479</v>
      </c>
      <c r="B131">
        <v>79.019997000000004</v>
      </c>
      <c r="C131">
        <v>79.400002000000001</v>
      </c>
      <c r="D131">
        <v>63.970001000000003</v>
      </c>
      <c r="E131">
        <v>64.470000999999996</v>
      </c>
      <c r="F131">
        <v>64.470000999999996</v>
      </c>
      <c r="G131">
        <v>211217800</v>
      </c>
    </row>
    <row r="132" spans="1:7">
      <c r="A132" s="70">
        <v>39508</v>
      </c>
      <c r="B132">
        <v>63.59</v>
      </c>
      <c r="C132">
        <v>76.930000000000007</v>
      </c>
      <c r="D132">
        <v>61.200001</v>
      </c>
      <c r="E132">
        <v>71.300003000000004</v>
      </c>
      <c r="F132">
        <v>71.300003000000004</v>
      </c>
      <c r="G132">
        <v>192685600</v>
      </c>
    </row>
    <row r="133" spans="1:7">
      <c r="A133" s="70">
        <v>39539</v>
      </c>
      <c r="B133">
        <v>72.989998</v>
      </c>
      <c r="C133">
        <v>82.639999000000003</v>
      </c>
      <c r="D133">
        <v>70.650002000000001</v>
      </c>
      <c r="E133">
        <v>78.629997000000003</v>
      </c>
      <c r="F133">
        <v>78.629997000000003</v>
      </c>
      <c r="G133">
        <v>197849400</v>
      </c>
    </row>
    <row r="134" spans="1:7">
      <c r="A134" s="70">
        <v>39569</v>
      </c>
      <c r="B134">
        <v>78.400002000000001</v>
      </c>
      <c r="C134">
        <v>84.75</v>
      </c>
      <c r="D134">
        <v>71.559997999999993</v>
      </c>
      <c r="E134">
        <v>81.620002999999997</v>
      </c>
      <c r="F134">
        <v>81.620002999999997</v>
      </c>
      <c r="G134">
        <v>152573200</v>
      </c>
    </row>
    <row r="135" spans="1:7">
      <c r="A135" s="70">
        <v>39600</v>
      </c>
      <c r="B135">
        <v>81.150002000000001</v>
      </c>
      <c r="C135">
        <v>84.879997000000003</v>
      </c>
      <c r="D135">
        <v>72.620002999999997</v>
      </c>
      <c r="E135">
        <v>73.330001999999993</v>
      </c>
      <c r="F135">
        <v>73.330001999999993</v>
      </c>
      <c r="G135">
        <v>152905700</v>
      </c>
    </row>
    <row r="136" spans="1:7">
      <c r="A136" s="70">
        <v>39630</v>
      </c>
      <c r="B136">
        <v>72.239998</v>
      </c>
      <c r="C136">
        <v>82.379997000000003</v>
      </c>
      <c r="D136">
        <v>62.990001999999997</v>
      </c>
      <c r="E136">
        <v>76.339995999999999</v>
      </c>
      <c r="F136">
        <v>76.339995999999999</v>
      </c>
      <c r="G136">
        <v>215813300</v>
      </c>
    </row>
    <row r="137" spans="1:7">
      <c r="A137" s="70">
        <v>39661</v>
      </c>
      <c r="B137">
        <v>76.360000999999997</v>
      </c>
      <c r="C137">
        <v>91.75</v>
      </c>
      <c r="D137">
        <v>74.050003000000004</v>
      </c>
      <c r="E137">
        <v>80.809997999999993</v>
      </c>
      <c r="F137">
        <v>80.809997999999993</v>
      </c>
      <c r="G137">
        <v>149044400</v>
      </c>
    </row>
    <row r="138" spans="1:7">
      <c r="A138" s="70">
        <v>39692</v>
      </c>
      <c r="B138">
        <v>83.160004000000001</v>
      </c>
      <c r="C138">
        <v>86.769997000000004</v>
      </c>
      <c r="D138">
        <v>61.32</v>
      </c>
      <c r="E138">
        <v>72.760002</v>
      </c>
      <c r="F138">
        <v>72.760002</v>
      </c>
      <c r="G138">
        <v>192463400</v>
      </c>
    </row>
    <row r="139" spans="1:7">
      <c r="A139" s="70">
        <v>39722</v>
      </c>
      <c r="B139">
        <v>71.779999000000004</v>
      </c>
      <c r="C139">
        <v>71.989998</v>
      </c>
      <c r="D139">
        <v>43.310001</v>
      </c>
      <c r="E139">
        <v>57.240001999999997</v>
      </c>
      <c r="F139">
        <v>57.240001999999997</v>
      </c>
      <c r="G139">
        <v>332074700</v>
      </c>
    </row>
    <row r="140" spans="1:7">
      <c r="A140" s="70">
        <v>39753</v>
      </c>
      <c r="B140">
        <v>56.349997999999999</v>
      </c>
      <c r="C140">
        <v>58.73</v>
      </c>
      <c r="D140">
        <v>34.68</v>
      </c>
      <c r="E140">
        <v>42.700001</v>
      </c>
      <c r="F140">
        <v>42.700001</v>
      </c>
      <c r="G140">
        <v>228051500</v>
      </c>
    </row>
    <row r="141" spans="1:7">
      <c r="A141" s="70">
        <v>39783</v>
      </c>
      <c r="B141">
        <v>42</v>
      </c>
      <c r="C141">
        <v>54.849997999999999</v>
      </c>
      <c r="D141">
        <v>38.82</v>
      </c>
      <c r="E141">
        <v>51.279998999999997</v>
      </c>
      <c r="F141">
        <v>51.279998999999997</v>
      </c>
      <c r="G141">
        <v>206194300</v>
      </c>
    </row>
    <row r="142" spans="1:7">
      <c r="A142" s="70">
        <v>39814</v>
      </c>
      <c r="B142">
        <v>51.349997999999999</v>
      </c>
      <c r="C142">
        <v>59.740001999999997</v>
      </c>
      <c r="D142">
        <v>47.630001</v>
      </c>
      <c r="E142">
        <v>58.82</v>
      </c>
      <c r="F142">
        <v>58.82</v>
      </c>
      <c r="G142">
        <v>204072300</v>
      </c>
    </row>
    <row r="143" spans="1:7">
      <c r="A143" s="70">
        <v>39845</v>
      </c>
      <c r="B143">
        <v>58.57</v>
      </c>
      <c r="C143">
        <v>67.360000999999997</v>
      </c>
      <c r="D143">
        <v>58.130001</v>
      </c>
      <c r="E143">
        <v>64.790001000000004</v>
      </c>
      <c r="F143">
        <v>64.790001000000004</v>
      </c>
      <c r="G143">
        <v>186780200</v>
      </c>
    </row>
    <row r="144" spans="1:7">
      <c r="A144" s="70">
        <v>39873</v>
      </c>
      <c r="B144">
        <v>63.939999</v>
      </c>
      <c r="C144">
        <v>75.610000999999997</v>
      </c>
      <c r="D144">
        <v>59.82</v>
      </c>
      <c r="E144">
        <v>73.440002000000007</v>
      </c>
      <c r="F144">
        <v>73.440002000000007</v>
      </c>
      <c r="G144">
        <v>227672300</v>
      </c>
    </row>
    <row r="145" spans="1:7">
      <c r="A145" s="70">
        <v>39904</v>
      </c>
      <c r="B145">
        <v>73.019997000000004</v>
      </c>
      <c r="C145">
        <v>86.68</v>
      </c>
      <c r="D145">
        <v>71.709998999999996</v>
      </c>
      <c r="E145">
        <v>80.519997000000004</v>
      </c>
      <c r="F145">
        <v>80.519997000000004</v>
      </c>
      <c r="G145">
        <v>185032000</v>
      </c>
    </row>
    <row r="146" spans="1:7">
      <c r="A146" s="70">
        <v>39934</v>
      </c>
      <c r="B146">
        <v>80.379997000000003</v>
      </c>
      <c r="C146">
        <v>83.599997999999999</v>
      </c>
      <c r="D146">
        <v>73.099997999999999</v>
      </c>
      <c r="E146">
        <v>77.989998</v>
      </c>
      <c r="F146">
        <v>77.989998</v>
      </c>
      <c r="G146">
        <v>137603400</v>
      </c>
    </row>
    <row r="147" spans="1:7">
      <c r="A147" s="70">
        <v>39965</v>
      </c>
      <c r="B147">
        <v>78.209998999999996</v>
      </c>
      <c r="C147">
        <v>88.559997999999993</v>
      </c>
      <c r="D147">
        <v>76.25</v>
      </c>
      <c r="E147">
        <v>83.660004000000001</v>
      </c>
      <c r="F147">
        <v>83.660004000000001</v>
      </c>
      <c r="G147">
        <v>152085400</v>
      </c>
    </row>
    <row r="148" spans="1:7">
      <c r="A148" s="70">
        <v>39995</v>
      </c>
      <c r="B148">
        <v>84.419998000000007</v>
      </c>
      <c r="C148">
        <v>94.400002000000001</v>
      </c>
      <c r="D148">
        <v>75.410004000000001</v>
      </c>
      <c r="E148">
        <v>85.760002</v>
      </c>
      <c r="F148">
        <v>85.760002</v>
      </c>
      <c r="G148">
        <v>175461400</v>
      </c>
    </row>
    <row r="149" spans="1:7">
      <c r="A149" s="70">
        <v>40026</v>
      </c>
      <c r="B149">
        <v>86.559997999999993</v>
      </c>
      <c r="C149">
        <v>88.199996999999996</v>
      </c>
      <c r="D149">
        <v>80.25</v>
      </c>
      <c r="E149">
        <v>81.190002000000007</v>
      </c>
      <c r="F149">
        <v>81.190002000000007</v>
      </c>
      <c r="G149">
        <v>112622900</v>
      </c>
    </row>
    <row r="150" spans="1:7">
      <c r="A150" s="70">
        <v>40057</v>
      </c>
      <c r="B150">
        <v>80.739998</v>
      </c>
      <c r="C150">
        <v>94.5</v>
      </c>
      <c r="D150">
        <v>77.510002</v>
      </c>
      <c r="E150">
        <v>93.360000999999997</v>
      </c>
      <c r="F150">
        <v>93.360000999999997</v>
      </c>
      <c r="G150">
        <v>128121800</v>
      </c>
    </row>
    <row r="151" spans="1:7">
      <c r="A151" s="70">
        <v>40087</v>
      </c>
      <c r="B151">
        <v>92.5</v>
      </c>
      <c r="C151">
        <v>125.68</v>
      </c>
      <c r="D151">
        <v>88.269997000000004</v>
      </c>
      <c r="E151">
        <v>118.80999799999999</v>
      </c>
      <c r="F151">
        <v>118.80999799999999</v>
      </c>
      <c r="G151">
        <v>268616400</v>
      </c>
    </row>
    <row r="152" spans="1:7">
      <c r="A152" s="70">
        <v>40118</v>
      </c>
      <c r="B152">
        <v>118.660004</v>
      </c>
      <c r="C152">
        <v>136.08000200000001</v>
      </c>
      <c r="D152">
        <v>116.25</v>
      </c>
      <c r="E152">
        <v>135.91000399999999</v>
      </c>
      <c r="F152">
        <v>135.91000399999999</v>
      </c>
      <c r="G152">
        <v>160305100</v>
      </c>
    </row>
    <row r="153" spans="1:7">
      <c r="A153" s="70">
        <v>40148</v>
      </c>
      <c r="B153">
        <v>136.94000199999999</v>
      </c>
      <c r="C153">
        <v>145.91000399999999</v>
      </c>
      <c r="D153">
        <v>125.650002</v>
      </c>
      <c r="E153">
        <v>134.520004</v>
      </c>
      <c r="F153">
        <v>134.520004</v>
      </c>
      <c r="G153">
        <v>207471100</v>
      </c>
    </row>
    <row r="154" spans="1:7">
      <c r="A154" s="70">
        <v>40179</v>
      </c>
      <c r="B154">
        <v>136.25</v>
      </c>
      <c r="C154">
        <v>136.61000100000001</v>
      </c>
      <c r="D154">
        <v>118.120003</v>
      </c>
      <c r="E154">
        <v>125.410004</v>
      </c>
      <c r="F154">
        <v>125.410004</v>
      </c>
      <c r="G154">
        <v>230861000</v>
      </c>
    </row>
    <row r="155" spans="1:7">
      <c r="A155" s="70">
        <v>40210</v>
      </c>
      <c r="B155">
        <v>123.18</v>
      </c>
      <c r="C155">
        <v>124.860001</v>
      </c>
      <c r="D155">
        <v>113.82</v>
      </c>
      <c r="E155">
        <v>118.400002</v>
      </c>
      <c r="F155">
        <v>118.400002</v>
      </c>
      <c r="G155">
        <v>210145800</v>
      </c>
    </row>
    <row r="156" spans="1:7">
      <c r="A156" s="70">
        <v>40238</v>
      </c>
      <c r="B156">
        <v>118.699997</v>
      </c>
      <c r="C156">
        <v>138.19000199999999</v>
      </c>
      <c r="D156">
        <v>117.529999</v>
      </c>
      <c r="E156">
        <v>135.770004</v>
      </c>
      <c r="F156">
        <v>135.770004</v>
      </c>
      <c r="G156">
        <v>158042600</v>
      </c>
    </row>
    <row r="157" spans="1:7">
      <c r="A157" s="70">
        <v>40269</v>
      </c>
      <c r="B157">
        <v>135.800003</v>
      </c>
      <c r="C157">
        <v>151.08999600000001</v>
      </c>
      <c r="D157">
        <v>130.779999</v>
      </c>
      <c r="E157">
        <v>137.10000600000001</v>
      </c>
      <c r="F157">
        <v>137.10000600000001</v>
      </c>
      <c r="G157">
        <v>173025100</v>
      </c>
    </row>
    <row r="158" spans="1:7">
      <c r="A158" s="70">
        <v>40299</v>
      </c>
      <c r="B158">
        <v>137.199997</v>
      </c>
      <c r="C158">
        <v>139.44000199999999</v>
      </c>
      <c r="D158">
        <v>117.519997</v>
      </c>
      <c r="E158">
        <v>125.459999</v>
      </c>
      <c r="F158">
        <v>125.459999</v>
      </c>
      <c r="G158">
        <v>140909900</v>
      </c>
    </row>
    <row r="159" spans="1:7">
      <c r="A159" s="70">
        <v>40330</v>
      </c>
      <c r="B159">
        <v>124.970001</v>
      </c>
      <c r="C159">
        <v>129.14999399999999</v>
      </c>
      <c r="D159">
        <v>106.010002</v>
      </c>
      <c r="E159">
        <v>109.260002</v>
      </c>
      <c r="F159">
        <v>109.260002</v>
      </c>
      <c r="G159">
        <v>133378500</v>
      </c>
    </row>
    <row r="160" spans="1:7">
      <c r="A160" s="70">
        <v>40360</v>
      </c>
      <c r="B160">
        <v>108.900002</v>
      </c>
      <c r="C160">
        <v>124.879997</v>
      </c>
      <c r="D160">
        <v>105.800003</v>
      </c>
      <c r="E160">
        <v>117.889999</v>
      </c>
      <c r="F160">
        <v>117.889999</v>
      </c>
      <c r="G160">
        <v>175326200</v>
      </c>
    </row>
    <row r="161" spans="1:7">
      <c r="A161" s="70">
        <v>40391</v>
      </c>
      <c r="B161">
        <v>119.150002</v>
      </c>
      <c r="C161">
        <v>130.80999800000001</v>
      </c>
      <c r="D161">
        <v>117.57</v>
      </c>
      <c r="E161">
        <v>124.83000199999999</v>
      </c>
      <c r="F161">
        <v>124.83000199999999</v>
      </c>
      <c r="G161">
        <v>113419800</v>
      </c>
    </row>
    <row r="162" spans="1:7">
      <c r="A162" s="70">
        <v>40422</v>
      </c>
      <c r="B162">
        <v>126.360001</v>
      </c>
      <c r="C162">
        <v>161.779999</v>
      </c>
      <c r="D162">
        <v>126.16999800000001</v>
      </c>
      <c r="E162">
        <v>157.05999800000001</v>
      </c>
      <c r="F162">
        <v>157.05999800000001</v>
      </c>
      <c r="G162">
        <v>134321000</v>
      </c>
    </row>
    <row r="163" spans="1:7">
      <c r="A163" s="70">
        <v>40452</v>
      </c>
      <c r="B163">
        <v>157.08000200000001</v>
      </c>
      <c r="C163">
        <v>171.990005</v>
      </c>
      <c r="D163">
        <v>151.39999399999999</v>
      </c>
      <c r="E163">
        <v>165.229996</v>
      </c>
      <c r="F163">
        <v>165.229996</v>
      </c>
      <c r="G163">
        <v>142883500</v>
      </c>
    </row>
    <row r="164" spans="1:7">
      <c r="A164" s="70">
        <v>40483</v>
      </c>
      <c r="B164">
        <v>164.449997</v>
      </c>
      <c r="C164">
        <v>181.83999600000001</v>
      </c>
      <c r="D164">
        <v>156.770004</v>
      </c>
      <c r="E164">
        <v>175.39999399999999</v>
      </c>
      <c r="F164">
        <v>175.39999399999999</v>
      </c>
      <c r="G164">
        <v>131011400</v>
      </c>
    </row>
    <row r="165" spans="1:7">
      <c r="A165" s="70">
        <v>40513</v>
      </c>
      <c r="B165">
        <v>179.16000399999999</v>
      </c>
      <c r="C165">
        <v>185.64999399999999</v>
      </c>
      <c r="D165">
        <v>173.08999600000001</v>
      </c>
      <c r="E165">
        <v>180</v>
      </c>
      <c r="F165">
        <v>180</v>
      </c>
      <c r="G165">
        <v>93661700</v>
      </c>
    </row>
    <row r="166" spans="1:7">
      <c r="A166" s="70">
        <v>40544</v>
      </c>
      <c r="B166">
        <v>181.36999499999999</v>
      </c>
      <c r="C166">
        <v>191.60000600000001</v>
      </c>
      <c r="D166">
        <v>166.89999399999999</v>
      </c>
      <c r="E166">
        <v>169.63999899999999</v>
      </c>
      <c r="F166">
        <v>169.63999899999999</v>
      </c>
      <c r="G166">
        <v>113611300</v>
      </c>
    </row>
    <row r="167" spans="1:7">
      <c r="A167" s="70">
        <v>40575</v>
      </c>
      <c r="B167">
        <v>170.520004</v>
      </c>
      <c r="C167">
        <v>191.39999399999999</v>
      </c>
      <c r="D167">
        <v>169.509995</v>
      </c>
      <c r="E167">
        <v>173.28999300000001</v>
      </c>
      <c r="F167">
        <v>173.28999300000001</v>
      </c>
      <c r="G167">
        <v>95776400</v>
      </c>
    </row>
    <row r="168" spans="1:7">
      <c r="A168" s="70">
        <v>40603</v>
      </c>
      <c r="B168">
        <v>173.529999</v>
      </c>
      <c r="C168">
        <v>181.570007</v>
      </c>
      <c r="D168">
        <v>160.58999600000001</v>
      </c>
      <c r="E168">
        <v>180.13000500000001</v>
      </c>
      <c r="F168">
        <v>180.13000500000001</v>
      </c>
      <c r="G168">
        <v>118979100</v>
      </c>
    </row>
    <row r="169" spans="1:7">
      <c r="A169" s="70">
        <v>40634</v>
      </c>
      <c r="B169">
        <v>181.58000200000001</v>
      </c>
      <c r="C169">
        <v>197.800003</v>
      </c>
      <c r="D169">
        <v>175.36999499999999</v>
      </c>
      <c r="E169">
        <v>195.80999800000001</v>
      </c>
      <c r="F169">
        <v>195.80999800000001</v>
      </c>
      <c r="G169">
        <v>116749400</v>
      </c>
    </row>
    <row r="170" spans="1:7">
      <c r="A170" s="70">
        <v>40664</v>
      </c>
      <c r="B170">
        <v>196.570007</v>
      </c>
      <c r="C170">
        <v>206.38999899999999</v>
      </c>
      <c r="D170">
        <v>190.88000500000001</v>
      </c>
      <c r="E170">
        <v>196.69000199999999</v>
      </c>
      <c r="F170">
        <v>196.69000199999999</v>
      </c>
      <c r="G170">
        <v>106274500</v>
      </c>
    </row>
    <row r="171" spans="1:7">
      <c r="A171" s="70">
        <v>40695</v>
      </c>
      <c r="B171">
        <v>196.05999800000001</v>
      </c>
      <c r="C171">
        <v>206.25</v>
      </c>
      <c r="D171">
        <v>181.58999600000001</v>
      </c>
      <c r="E171">
        <v>204.490005</v>
      </c>
      <c r="F171">
        <v>204.490005</v>
      </c>
      <c r="G171">
        <v>95563700</v>
      </c>
    </row>
    <row r="172" spans="1:7">
      <c r="A172" s="70">
        <v>40725</v>
      </c>
      <c r="B172">
        <v>205.550003</v>
      </c>
      <c r="C172">
        <v>227.199997</v>
      </c>
      <c r="D172">
        <v>203.61000100000001</v>
      </c>
      <c r="E172">
        <v>222.520004</v>
      </c>
      <c r="F172">
        <v>222.520004</v>
      </c>
      <c r="G172">
        <v>92808500</v>
      </c>
    </row>
    <row r="173" spans="1:7">
      <c r="A173" s="70">
        <v>40756</v>
      </c>
      <c r="B173">
        <v>225</v>
      </c>
      <c r="C173">
        <v>227.449997</v>
      </c>
      <c r="D173">
        <v>177.10000600000001</v>
      </c>
      <c r="E173">
        <v>215.229996</v>
      </c>
      <c r="F173">
        <v>215.229996</v>
      </c>
      <c r="G173">
        <v>155194700</v>
      </c>
    </row>
    <row r="174" spans="1:7">
      <c r="A174" s="70">
        <v>40787</v>
      </c>
      <c r="B174">
        <v>215.279999</v>
      </c>
      <c r="C174">
        <v>244</v>
      </c>
      <c r="D174">
        <v>204.470001</v>
      </c>
      <c r="E174">
        <v>216.229996</v>
      </c>
      <c r="F174">
        <v>216.229996</v>
      </c>
      <c r="G174">
        <v>143623300</v>
      </c>
    </row>
    <row r="175" spans="1:7">
      <c r="A175" s="70">
        <v>40817</v>
      </c>
      <c r="B175">
        <v>217.009995</v>
      </c>
      <c r="C175">
        <v>246.71000699999999</v>
      </c>
      <c r="D175">
        <v>196.509995</v>
      </c>
      <c r="E175">
        <v>213.509995</v>
      </c>
      <c r="F175">
        <v>213.509995</v>
      </c>
      <c r="G175">
        <v>159214400</v>
      </c>
    </row>
    <row r="176" spans="1:7">
      <c r="A176" s="70">
        <v>40848</v>
      </c>
      <c r="B176">
        <v>208.11000100000001</v>
      </c>
      <c r="C176">
        <v>222.35000600000001</v>
      </c>
      <c r="D176">
        <v>181.509995</v>
      </c>
      <c r="E176">
        <v>192.28999300000001</v>
      </c>
      <c r="F176">
        <v>192.28999300000001</v>
      </c>
      <c r="G176">
        <v>136588100</v>
      </c>
    </row>
    <row r="177" spans="1:7">
      <c r="A177" s="70">
        <v>40878</v>
      </c>
      <c r="B177">
        <v>191.85000600000001</v>
      </c>
      <c r="C177">
        <v>199.66000399999999</v>
      </c>
      <c r="D177">
        <v>166.970001</v>
      </c>
      <c r="E177">
        <v>173.10000600000001</v>
      </c>
      <c r="F177">
        <v>173.10000600000001</v>
      </c>
      <c r="G177">
        <v>125595200</v>
      </c>
    </row>
    <row r="178" spans="1:7">
      <c r="A178" s="70">
        <v>40909</v>
      </c>
      <c r="B178">
        <v>175.88999899999999</v>
      </c>
      <c r="C178">
        <v>196.5</v>
      </c>
      <c r="D178">
        <v>173.5</v>
      </c>
      <c r="E178">
        <v>194.44000199999999</v>
      </c>
      <c r="F178">
        <v>194.44000199999999</v>
      </c>
      <c r="G178">
        <v>110536900</v>
      </c>
    </row>
    <row r="179" spans="1:7">
      <c r="A179" s="70">
        <v>40940</v>
      </c>
      <c r="B179">
        <v>173.80999800000001</v>
      </c>
      <c r="C179">
        <v>193.570007</v>
      </c>
      <c r="D179">
        <v>172</v>
      </c>
      <c r="E179">
        <v>179.69000199999999</v>
      </c>
      <c r="F179">
        <v>179.69000199999999</v>
      </c>
      <c r="G179">
        <v>146580400</v>
      </c>
    </row>
    <row r="180" spans="1:7">
      <c r="A180" s="70">
        <v>40969</v>
      </c>
      <c r="B180">
        <v>179.88999899999999</v>
      </c>
      <c r="C180">
        <v>209.85000600000001</v>
      </c>
      <c r="D180">
        <v>176.58000200000001</v>
      </c>
      <c r="E180">
        <v>202.509995</v>
      </c>
      <c r="F180">
        <v>202.509995</v>
      </c>
      <c r="G180">
        <v>112975100</v>
      </c>
    </row>
    <row r="181" spans="1:7">
      <c r="A181" s="70">
        <v>41000</v>
      </c>
      <c r="B181">
        <v>198.020004</v>
      </c>
      <c r="C181">
        <v>233.83999600000001</v>
      </c>
      <c r="D181">
        <v>183.64999399999999</v>
      </c>
      <c r="E181">
        <v>231.89999399999999</v>
      </c>
      <c r="F181">
        <v>231.89999399999999</v>
      </c>
      <c r="G181">
        <v>110535400</v>
      </c>
    </row>
    <row r="182" spans="1:7">
      <c r="A182" s="70">
        <v>41030</v>
      </c>
      <c r="B182">
        <v>229.39999399999999</v>
      </c>
      <c r="C182">
        <v>232.970001</v>
      </c>
      <c r="D182">
        <v>207.11000100000001</v>
      </c>
      <c r="E182">
        <v>212.91000399999999</v>
      </c>
      <c r="F182">
        <v>212.91000399999999</v>
      </c>
      <c r="G182">
        <v>92774300</v>
      </c>
    </row>
    <row r="183" spans="1:7">
      <c r="A183" s="70">
        <v>41061</v>
      </c>
      <c r="B183">
        <v>208.44000199999999</v>
      </c>
      <c r="C183">
        <v>228.35000600000001</v>
      </c>
      <c r="D183">
        <v>206.36999499999999</v>
      </c>
      <c r="E183">
        <v>228.35000600000001</v>
      </c>
      <c r="F183">
        <v>228.35000600000001</v>
      </c>
      <c r="G183">
        <v>65745600</v>
      </c>
    </row>
    <row r="184" spans="1:7">
      <c r="A184" s="70">
        <v>41091</v>
      </c>
      <c r="B184">
        <v>229.300003</v>
      </c>
      <c r="C184">
        <v>240.740005</v>
      </c>
      <c r="D184">
        <v>212.61000100000001</v>
      </c>
      <c r="E184">
        <v>233.300003</v>
      </c>
      <c r="F184">
        <v>233.300003</v>
      </c>
      <c r="G184">
        <v>77340200</v>
      </c>
    </row>
    <row r="185" spans="1:7">
      <c r="A185" s="70">
        <v>41122</v>
      </c>
      <c r="B185">
        <v>234.13999899999999</v>
      </c>
      <c r="C185">
        <v>250</v>
      </c>
      <c r="D185">
        <v>228.66000399999999</v>
      </c>
      <c r="E185">
        <v>248.270004</v>
      </c>
      <c r="F185">
        <v>248.270004</v>
      </c>
      <c r="G185">
        <v>60192400</v>
      </c>
    </row>
    <row r="186" spans="1:7">
      <c r="A186" s="70">
        <v>41153</v>
      </c>
      <c r="B186">
        <v>248.270004</v>
      </c>
      <c r="C186">
        <v>264.10998499999999</v>
      </c>
      <c r="D186">
        <v>244.66000399999999</v>
      </c>
      <c r="E186">
        <v>254.320007</v>
      </c>
      <c r="F186">
        <v>254.320007</v>
      </c>
      <c r="G186">
        <v>63570500</v>
      </c>
    </row>
    <row r="187" spans="1:7">
      <c r="A187" s="70">
        <v>41183</v>
      </c>
      <c r="B187">
        <v>255.39999399999999</v>
      </c>
      <c r="C187">
        <v>261.89999399999999</v>
      </c>
      <c r="D187">
        <v>222.91999799999999</v>
      </c>
      <c r="E187">
        <v>232.88999899999999</v>
      </c>
      <c r="F187">
        <v>232.88999899999999</v>
      </c>
      <c r="G187">
        <v>81568500</v>
      </c>
    </row>
    <row r="188" spans="1:7">
      <c r="A188" s="70">
        <v>41214</v>
      </c>
      <c r="B188">
        <v>234.229996</v>
      </c>
      <c r="C188">
        <v>252.64999399999999</v>
      </c>
      <c r="D188">
        <v>218.179993</v>
      </c>
      <c r="E188">
        <v>252.050003</v>
      </c>
      <c r="F188">
        <v>252.050003</v>
      </c>
      <c r="G188">
        <v>67213600</v>
      </c>
    </row>
    <row r="189" spans="1:7">
      <c r="A189" s="70">
        <v>41244</v>
      </c>
      <c r="B189">
        <v>252.53999300000001</v>
      </c>
      <c r="C189">
        <v>263.10998499999999</v>
      </c>
      <c r="D189">
        <v>242.75</v>
      </c>
      <c r="E189">
        <v>250.86999499999999</v>
      </c>
      <c r="F189">
        <v>250.86999499999999</v>
      </c>
      <c r="G189">
        <v>60871200</v>
      </c>
    </row>
    <row r="190" spans="1:7">
      <c r="A190" s="70">
        <v>41275</v>
      </c>
      <c r="B190">
        <v>256.07998700000002</v>
      </c>
      <c r="C190">
        <v>284.72000100000002</v>
      </c>
      <c r="D190">
        <v>253.259995</v>
      </c>
      <c r="E190">
        <v>265.5</v>
      </c>
      <c r="F190">
        <v>265.5</v>
      </c>
      <c r="G190">
        <v>84226400</v>
      </c>
    </row>
    <row r="191" spans="1:7">
      <c r="A191" s="70">
        <v>41306</v>
      </c>
      <c r="B191">
        <v>268.92999300000002</v>
      </c>
      <c r="C191">
        <v>274.29998799999998</v>
      </c>
      <c r="D191">
        <v>255.11000100000001</v>
      </c>
      <c r="E191">
        <v>264.26998900000001</v>
      </c>
      <c r="F191">
        <v>264.26998900000001</v>
      </c>
      <c r="G191">
        <v>68661700</v>
      </c>
    </row>
    <row r="192" spans="1:7">
      <c r="A192" s="70">
        <v>41334</v>
      </c>
      <c r="B192">
        <v>263.26998900000001</v>
      </c>
      <c r="C192">
        <v>277.39999399999999</v>
      </c>
      <c r="D192">
        <v>252.070007</v>
      </c>
      <c r="E192">
        <v>266.48998999999998</v>
      </c>
      <c r="F192">
        <v>266.48998999999998</v>
      </c>
      <c r="G192">
        <v>58505700</v>
      </c>
    </row>
    <row r="193" spans="1:7">
      <c r="A193" s="70">
        <v>41365</v>
      </c>
      <c r="B193">
        <v>266.98001099999999</v>
      </c>
      <c r="C193">
        <v>275.79998799999998</v>
      </c>
      <c r="D193">
        <v>248.55999800000001</v>
      </c>
      <c r="E193">
        <v>253.80999800000001</v>
      </c>
      <c r="F193">
        <v>253.80999800000001</v>
      </c>
      <c r="G193">
        <v>76916200</v>
      </c>
    </row>
    <row r="194" spans="1:7">
      <c r="A194" s="70">
        <v>41395</v>
      </c>
      <c r="B194">
        <v>253.89999399999999</v>
      </c>
      <c r="C194">
        <v>271.91000400000001</v>
      </c>
      <c r="D194">
        <v>245.75</v>
      </c>
      <c r="E194">
        <v>269.20001200000002</v>
      </c>
      <c r="F194">
        <v>269.20001200000002</v>
      </c>
      <c r="G194">
        <v>59050500</v>
      </c>
    </row>
    <row r="195" spans="1:7">
      <c r="A195" s="70">
        <v>41426</v>
      </c>
      <c r="B195">
        <v>268.959991</v>
      </c>
      <c r="C195">
        <v>283.33999599999999</v>
      </c>
      <c r="D195">
        <v>262.95001200000002</v>
      </c>
      <c r="E195">
        <v>277.69000199999999</v>
      </c>
      <c r="F195">
        <v>277.69000199999999</v>
      </c>
      <c r="G195">
        <v>58575800</v>
      </c>
    </row>
    <row r="196" spans="1:7">
      <c r="A196" s="70">
        <v>41456</v>
      </c>
      <c r="B196">
        <v>279</v>
      </c>
      <c r="C196">
        <v>313.61999500000002</v>
      </c>
      <c r="D196">
        <v>277.16000400000001</v>
      </c>
      <c r="E196">
        <v>301.22000100000002</v>
      </c>
      <c r="F196">
        <v>301.22000100000002</v>
      </c>
      <c r="G196">
        <v>67536900</v>
      </c>
    </row>
    <row r="197" spans="1:7">
      <c r="A197" s="70">
        <v>41487</v>
      </c>
      <c r="B197">
        <v>303.07998700000002</v>
      </c>
      <c r="C197">
        <v>306.209991</v>
      </c>
      <c r="D197">
        <v>279.32998700000002</v>
      </c>
      <c r="E197">
        <v>280.98001099999999</v>
      </c>
      <c r="F197">
        <v>280.98001099999999</v>
      </c>
      <c r="G197">
        <v>43773900</v>
      </c>
    </row>
    <row r="198" spans="1:7">
      <c r="A198" s="70">
        <v>41518</v>
      </c>
      <c r="B198">
        <v>284.73001099999999</v>
      </c>
      <c r="C198">
        <v>320.57000699999998</v>
      </c>
      <c r="D198">
        <v>284.17001299999998</v>
      </c>
      <c r="E198">
        <v>312.64001500000001</v>
      </c>
      <c r="F198">
        <v>312.64001500000001</v>
      </c>
      <c r="G198">
        <v>43468800</v>
      </c>
    </row>
    <row r="199" spans="1:7">
      <c r="A199" s="70">
        <v>41548</v>
      </c>
      <c r="B199">
        <v>314.22000100000002</v>
      </c>
      <c r="C199">
        <v>368.39999399999999</v>
      </c>
      <c r="D199">
        <v>296.5</v>
      </c>
      <c r="E199">
        <v>364.02999899999998</v>
      </c>
      <c r="F199">
        <v>364.02999899999998</v>
      </c>
      <c r="G199">
        <v>77295400</v>
      </c>
    </row>
    <row r="200" spans="1:7">
      <c r="A200" s="70">
        <v>41579</v>
      </c>
      <c r="B200">
        <v>365.63000499999998</v>
      </c>
      <c r="C200">
        <v>394.10000600000001</v>
      </c>
      <c r="D200">
        <v>341.88000499999998</v>
      </c>
      <c r="E200">
        <v>393.61999500000002</v>
      </c>
      <c r="F200">
        <v>393.61999500000002</v>
      </c>
      <c r="G200">
        <v>54207700</v>
      </c>
    </row>
    <row r="201" spans="1:7">
      <c r="A201" s="70">
        <v>41609</v>
      </c>
      <c r="B201">
        <v>399</v>
      </c>
      <c r="C201">
        <v>405.63000499999998</v>
      </c>
      <c r="D201">
        <v>379.5</v>
      </c>
      <c r="E201">
        <v>398.790009</v>
      </c>
      <c r="F201">
        <v>398.790009</v>
      </c>
      <c r="G201">
        <v>55686700</v>
      </c>
    </row>
    <row r="202" spans="1:7">
      <c r="A202" s="70">
        <v>41640</v>
      </c>
      <c r="B202">
        <v>398.79998799999998</v>
      </c>
      <c r="C202">
        <v>408.05999800000001</v>
      </c>
      <c r="D202">
        <v>357.76001000000002</v>
      </c>
      <c r="E202">
        <v>358.69000199999999</v>
      </c>
      <c r="F202">
        <v>358.69000199999999</v>
      </c>
      <c r="G202">
        <v>81011900</v>
      </c>
    </row>
    <row r="203" spans="1:7">
      <c r="A203" s="70">
        <v>41671</v>
      </c>
      <c r="B203">
        <v>358.98001099999999</v>
      </c>
      <c r="C203">
        <v>365.86999500000002</v>
      </c>
      <c r="D203">
        <v>337.73001099999999</v>
      </c>
      <c r="E203">
        <v>362.10000600000001</v>
      </c>
      <c r="F203">
        <v>362.10000600000001</v>
      </c>
      <c r="G203">
        <v>83009000</v>
      </c>
    </row>
    <row r="204" spans="1:7">
      <c r="A204" s="70">
        <v>41699</v>
      </c>
      <c r="B204">
        <v>358.73998999999998</v>
      </c>
      <c r="C204">
        <v>383.10998499999999</v>
      </c>
      <c r="D204">
        <v>330.88000499999998</v>
      </c>
      <c r="E204">
        <v>336.36999500000002</v>
      </c>
      <c r="F204">
        <v>336.36999500000002</v>
      </c>
      <c r="G204">
        <v>75253500</v>
      </c>
    </row>
    <row r="205" spans="1:7">
      <c r="A205" s="70">
        <v>41730</v>
      </c>
      <c r="B205">
        <v>338.08999599999999</v>
      </c>
      <c r="C205">
        <v>348.29998799999998</v>
      </c>
      <c r="D205">
        <v>288</v>
      </c>
      <c r="E205">
        <v>304.13000499999998</v>
      </c>
      <c r="F205">
        <v>304.13000499999998</v>
      </c>
      <c r="G205">
        <v>138278700</v>
      </c>
    </row>
    <row r="206" spans="1:7">
      <c r="A206" s="70">
        <v>41760</v>
      </c>
      <c r="B206">
        <v>304.13000499999998</v>
      </c>
      <c r="C206">
        <v>314.86999500000002</v>
      </c>
      <c r="D206">
        <v>284.38000499999998</v>
      </c>
      <c r="E206">
        <v>312.54998799999998</v>
      </c>
      <c r="F206">
        <v>312.54998799999998</v>
      </c>
      <c r="G206">
        <v>78579200</v>
      </c>
    </row>
    <row r="207" spans="1:7">
      <c r="A207" s="70">
        <v>41791</v>
      </c>
      <c r="B207">
        <v>312.58999599999999</v>
      </c>
      <c r="C207">
        <v>340.72000100000002</v>
      </c>
      <c r="D207">
        <v>303.83999599999999</v>
      </c>
      <c r="E207">
        <v>324.77999899999998</v>
      </c>
      <c r="F207">
        <v>324.77999899999998</v>
      </c>
      <c r="G207">
        <v>76580100</v>
      </c>
    </row>
    <row r="208" spans="1:7">
      <c r="A208" s="70">
        <v>41821</v>
      </c>
      <c r="B208">
        <v>325.85998499999999</v>
      </c>
      <c r="C208">
        <v>364.85000600000001</v>
      </c>
      <c r="D208">
        <v>311.85998499999999</v>
      </c>
      <c r="E208">
        <v>312.98998999999998</v>
      </c>
      <c r="F208">
        <v>312.98998999999998</v>
      </c>
      <c r="G208">
        <v>99426000</v>
      </c>
    </row>
    <row r="209" spans="1:7">
      <c r="A209" s="70">
        <v>41852</v>
      </c>
      <c r="B209">
        <v>313.69000199999999</v>
      </c>
      <c r="C209">
        <v>346.67001299999998</v>
      </c>
      <c r="D209">
        <v>304.58999599999999</v>
      </c>
      <c r="E209">
        <v>339.040009</v>
      </c>
      <c r="F209">
        <v>339.040009</v>
      </c>
      <c r="G209">
        <v>62031700</v>
      </c>
    </row>
    <row r="210" spans="1:7">
      <c r="A210" s="70">
        <v>41883</v>
      </c>
      <c r="B210">
        <v>339.98001099999999</v>
      </c>
      <c r="C210">
        <v>349.38000499999998</v>
      </c>
      <c r="D210">
        <v>317.64001500000001</v>
      </c>
      <c r="E210">
        <v>322.44000199999999</v>
      </c>
      <c r="F210">
        <v>322.44000199999999</v>
      </c>
      <c r="G210">
        <v>68032800</v>
      </c>
    </row>
    <row r="211" spans="1:7">
      <c r="A211" s="70">
        <v>41913</v>
      </c>
      <c r="B211">
        <v>322.040009</v>
      </c>
      <c r="C211">
        <v>325.16000400000001</v>
      </c>
      <c r="D211">
        <v>284</v>
      </c>
      <c r="E211">
        <v>305.459991</v>
      </c>
      <c r="F211">
        <v>305.459991</v>
      </c>
      <c r="G211">
        <v>111058700</v>
      </c>
    </row>
    <row r="212" spans="1:7">
      <c r="A212" s="70">
        <v>41944</v>
      </c>
      <c r="B212">
        <v>306.23998999999998</v>
      </c>
      <c r="C212">
        <v>341.26001000000002</v>
      </c>
      <c r="D212">
        <v>292.290009</v>
      </c>
      <c r="E212">
        <v>338.64001500000001</v>
      </c>
      <c r="F212">
        <v>338.64001500000001</v>
      </c>
      <c r="G212">
        <v>68983700</v>
      </c>
    </row>
    <row r="213" spans="1:7">
      <c r="A213" s="70">
        <v>41974</v>
      </c>
      <c r="B213">
        <v>338.11999500000002</v>
      </c>
      <c r="C213">
        <v>340.64001500000001</v>
      </c>
      <c r="D213">
        <v>293.02999899999998</v>
      </c>
      <c r="E213">
        <v>310.35000600000001</v>
      </c>
      <c r="F213">
        <v>310.35000600000001</v>
      </c>
      <c r="G213">
        <v>86821400</v>
      </c>
    </row>
    <row r="214" spans="1:7">
      <c r="A214" s="70">
        <v>42005</v>
      </c>
      <c r="B214">
        <v>312.57998700000002</v>
      </c>
      <c r="C214">
        <v>359.5</v>
      </c>
      <c r="D214">
        <v>285.25</v>
      </c>
      <c r="E214">
        <v>354.52999899999998</v>
      </c>
      <c r="F214">
        <v>354.52999899999998</v>
      </c>
      <c r="G214">
        <v>103006800</v>
      </c>
    </row>
    <row r="215" spans="1:7">
      <c r="A215" s="70">
        <v>42036</v>
      </c>
      <c r="B215">
        <v>350.04998799999998</v>
      </c>
      <c r="C215">
        <v>389.36999500000002</v>
      </c>
      <c r="D215">
        <v>350.01001000000002</v>
      </c>
      <c r="E215">
        <v>380.16000400000001</v>
      </c>
      <c r="F215">
        <v>380.16000400000001</v>
      </c>
      <c r="G215">
        <v>70689500</v>
      </c>
    </row>
    <row r="216" spans="1:7">
      <c r="A216" s="70">
        <v>42064</v>
      </c>
      <c r="B216">
        <v>380.85000600000001</v>
      </c>
      <c r="C216">
        <v>388.42001299999998</v>
      </c>
      <c r="D216">
        <v>365.64999399999999</v>
      </c>
      <c r="E216">
        <v>372.10000600000001</v>
      </c>
      <c r="F216">
        <v>372.10000600000001</v>
      </c>
      <c r="G216">
        <v>55428700</v>
      </c>
    </row>
    <row r="217" spans="1:7">
      <c r="A217" s="70">
        <v>42095</v>
      </c>
      <c r="B217">
        <v>372.10000600000001</v>
      </c>
      <c r="C217">
        <v>452.64999399999999</v>
      </c>
      <c r="D217">
        <v>368.33999599999999</v>
      </c>
      <c r="E217">
        <v>421.77999899999998</v>
      </c>
      <c r="F217">
        <v>421.77999899999998</v>
      </c>
      <c r="G217">
        <v>84348300</v>
      </c>
    </row>
    <row r="218" spans="1:7">
      <c r="A218" s="70">
        <v>42125</v>
      </c>
      <c r="B218">
        <v>423.82000699999998</v>
      </c>
      <c r="C218">
        <v>439</v>
      </c>
      <c r="D218">
        <v>414.54998799999998</v>
      </c>
      <c r="E218">
        <v>429.23001099999999</v>
      </c>
      <c r="F218">
        <v>429.23001099999999</v>
      </c>
      <c r="G218">
        <v>51854000</v>
      </c>
    </row>
    <row r="219" spans="1:7">
      <c r="A219" s="70">
        <v>42156</v>
      </c>
      <c r="B219">
        <v>430.39999399999999</v>
      </c>
      <c r="C219">
        <v>447.040009</v>
      </c>
      <c r="D219">
        <v>419.14001500000001</v>
      </c>
      <c r="E219">
        <v>434.08999599999999</v>
      </c>
      <c r="F219">
        <v>434.08999599999999</v>
      </c>
      <c r="G219">
        <v>54981900</v>
      </c>
    </row>
    <row r="220" spans="1:7">
      <c r="A220" s="70">
        <v>42186</v>
      </c>
      <c r="B220">
        <v>439.35000600000001</v>
      </c>
      <c r="C220">
        <v>580.57000700000003</v>
      </c>
      <c r="D220">
        <v>425.57000699999998</v>
      </c>
      <c r="E220">
        <v>536.15002400000003</v>
      </c>
      <c r="F220">
        <v>536.15002400000003</v>
      </c>
      <c r="G220">
        <v>102070000</v>
      </c>
    </row>
    <row r="221" spans="1:7">
      <c r="A221" s="70">
        <v>42217</v>
      </c>
      <c r="B221">
        <v>537.45001200000002</v>
      </c>
      <c r="C221">
        <v>542.73999000000003</v>
      </c>
      <c r="D221">
        <v>451</v>
      </c>
      <c r="E221">
        <v>512.89001499999995</v>
      </c>
      <c r="F221">
        <v>512.89001499999995</v>
      </c>
      <c r="G221">
        <v>82813600</v>
      </c>
    </row>
    <row r="222" spans="1:7">
      <c r="A222" s="70">
        <v>42248</v>
      </c>
      <c r="B222">
        <v>499.14001500000001</v>
      </c>
      <c r="C222">
        <v>549.78002900000001</v>
      </c>
      <c r="D222">
        <v>490.5</v>
      </c>
      <c r="E222">
        <v>511.89001500000001</v>
      </c>
      <c r="F222">
        <v>511.89001500000001</v>
      </c>
      <c r="G222">
        <v>76667800</v>
      </c>
    </row>
    <row r="223" spans="1:7">
      <c r="A223" s="70">
        <v>42278</v>
      </c>
      <c r="B223">
        <v>511</v>
      </c>
      <c r="C223">
        <v>630.71997099999999</v>
      </c>
      <c r="D223">
        <v>506</v>
      </c>
      <c r="E223">
        <v>625.90002400000003</v>
      </c>
      <c r="F223">
        <v>625.90002400000003</v>
      </c>
      <c r="G223">
        <v>97070400</v>
      </c>
    </row>
    <row r="224" spans="1:7">
      <c r="A224" s="70">
        <v>42309</v>
      </c>
      <c r="B224">
        <v>627.13000499999998</v>
      </c>
      <c r="C224">
        <v>682.77002000000005</v>
      </c>
      <c r="D224">
        <v>620.40997300000004</v>
      </c>
      <c r="E224">
        <v>664.79998799999998</v>
      </c>
      <c r="F224">
        <v>664.79998799999998</v>
      </c>
      <c r="G224">
        <v>87296200</v>
      </c>
    </row>
    <row r="225" spans="1:7">
      <c r="A225" s="70">
        <v>42339</v>
      </c>
      <c r="B225">
        <v>673.75</v>
      </c>
      <c r="C225">
        <v>696.44000200000005</v>
      </c>
      <c r="D225">
        <v>635.27002000000005</v>
      </c>
      <c r="E225">
        <v>675.89001499999995</v>
      </c>
      <c r="F225">
        <v>675.89001499999995</v>
      </c>
      <c r="G225">
        <v>90162400</v>
      </c>
    </row>
    <row r="226" spans="1:7">
      <c r="A226" s="70">
        <v>42370</v>
      </c>
      <c r="B226">
        <v>656.28997800000002</v>
      </c>
      <c r="C226">
        <v>657.71997099999999</v>
      </c>
      <c r="D226">
        <v>547.17999299999997</v>
      </c>
      <c r="E226">
        <v>587</v>
      </c>
      <c r="F226">
        <v>587</v>
      </c>
      <c r="G226">
        <v>130156000</v>
      </c>
    </row>
    <row r="227" spans="1:7">
      <c r="A227" s="70">
        <v>42401</v>
      </c>
      <c r="B227">
        <v>578.15002400000003</v>
      </c>
      <c r="C227">
        <v>581.79998799999998</v>
      </c>
      <c r="D227">
        <v>474</v>
      </c>
      <c r="E227">
        <v>552.52002000000005</v>
      </c>
      <c r="F227">
        <v>552.52002000000005</v>
      </c>
      <c r="G227">
        <v>124075300</v>
      </c>
    </row>
    <row r="228" spans="1:7">
      <c r="A228" s="70">
        <v>42430</v>
      </c>
      <c r="B228">
        <v>556.28997800000002</v>
      </c>
      <c r="C228">
        <v>603.23999000000003</v>
      </c>
      <c r="D228">
        <v>538.580017</v>
      </c>
      <c r="E228">
        <v>593.64001499999995</v>
      </c>
      <c r="F228">
        <v>593.64001499999995</v>
      </c>
      <c r="G228">
        <v>93773800</v>
      </c>
    </row>
    <row r="229" spans="1:7">
      <c r="A229" s="70">
        <v>42461</v>
      </c>
      <c r="B229">
        <v>590.48999000000003</v>
      </c>
      <c r="C229">
        <v>669.97997999999995</v>
      </c>
      <c r="D229">
        <v>585.25</v>
      </c>
      <c r="E229">
        <v>659.59002699999996</v>
      </c>
      <c r="F229">
        <v>659.59002699999996</v>
      </c>
      <c r="G229">
        <v>78380700</v>
      </c>
    </row>
    <row r="230" spans="1:7">
      <c r="A230" s="70">
        <v>42491</v>
      </c>
      <c r="B230">
        <v>663.919983</v>
      </c>
      <c r="C230">
        <v>724.22997999999995</v>
      </c>
      <c r="D230">
        <v>656</v>
      </c>
      <c r="E230">
        <v>722.78997800000002</v>
      </c>
      <c r="F230">
        <v>722.78997800000002</v>
      </c>
      <c r="G230">
        <v>90509100</v>
      </c>
    </row>
    <row r="231" spans="1:7">
      <c r="A231" s="70">
        <v>42522</v>
      </c>
      <c r="B231">
        <v>720.90002400000003</v>
      </c>
      <c r="C231">
        <v>731.5</v>
      </c>
      <c r="D231">
        <v>682.11999500000002</v>
      </c>
      <c r="E231">
        <v>715.61999500000002</v>
      </c>
      <c r="F231">
        <v>715.61999500000002</v>
      </c>
      <c r="G231">
        <v>74535000</v>
      </c>
    </row>
    <row r="232" spans="1:7">
      <c r="A232" s="70">
        <v>42552</v>
      </c>
      <c r="B232">
        <v>717.32000700000003</v>
      </c>
      <c r="C232">
        <v>766</v>
      </c>
      <c r="D232">
        <v>716.53997800000002</v>
      </c>
      <c r="E232">
        <v>758.80999799999995</v>
      </c>
      <c r="F232">
        <v>758.80999799999995</v>
      </c>
      <c r="G232">
        <v>68545100</v>
      </c>
    </row>
    <row r="233" spans="1:7">
      <c r="A233" s="70">
        <v>42583</v>
      </c>
      <c r="B233">
        <v>759.86999500000002</v>
      </c>
      <c r="C233">
        <v>774.97997999999995</v>
      </c>
      <c r="D233">
        <v>750.34997599999997</v>
      </c>
      <c r="E233">
        <v>769.15997300000004</v>
      </c>
      <c r="F233">
        <v>769.15997300000004</v>
      </c>
      <c r="G233">
        <v>49981900</v>
      </c>
    </row>
    <row r="234" spans="1:7">
      <c r="A234" s="70">
        <v>42614</v>
      </c>
      <c r="B234">
        <v>770.90002400000003</v>
      </c>
      <c r="C234">
        <v>839.95001200000002</v>
      </c>
      <c r="D234">
        <v>756</v>
      </c>
      <c r="E234">
        <v>837.30999799999995</v>
      </c>
      <c r="F234">
        <v>837.30999799999995</v>
      </c>
      <c r="G234">
        <v>67326900</v>
      </c>
    </row>
    <row r="235" spans="1:7">
      <c r="A235" s="70">
        <v>42644</v>
      </c>
      <c r="B235">
        <v>836</v>
      </c>
      <c r="C235">
        <v>847.21002199999998</v>
      </c>
      <c r="D235">
        <v>774.60998500000005</v>
      </c>
      <c r="E235">
        <v>789.82000700000003</v>
      </c>
      <c r="F235">
        <v>789.82000700000003</v>
      </c>
      <c r="G235">
        <v>77023000</v>
      </c>
    </row>
    <row r="236" spans="1:7">
      <c r="A236" s="70">
        <v>42675</v>
      </c>
      <c r="B236">
        <v>799</v>
      </c>
      <c r="C236">
        <v>800.84002699999996</v>
      </c>
      <c r="D236">
        <v>710.09997599999997</v>
      </c>
      <c r="E236">
        <v>750.57000700000003</v>
      </c>
      <c r="F236">
        <v>750.57000700000003</v>
      </c>
      <c r="G236">
        <v>109943300</v>
      </c>
    </row>
    <row r="237" spans="1:7">
      <c r="A237" s="70">
        <v>42705</v>
      </c>
      <c r="B237">
        <v>752.40997300000004</v>
      </c>
      <c r="C237">
        <v>782.46002199999998</v>
      </c>
      <c r="D237">
        <v>736.70001200000002</v>
      </c>
      <c r="E237">
        <v>768.65997300000004</v>
      </c>
      <c r="F237">
        <v>768.65997300000004</v>
      </c>
      <c r="G237">
        <v>79279600</v>
      </c>
    </row>
    <row r="238" spans="1:7">
      <c r="A238" s="70">
        <v>42736</v>
      </c>
      <c r="B238">
        <v>757.919983</v>
      </c>
      <c r="C238">
        <v>843.84002699999996</v>
      </c>
      <c r="D238">
        <v>747.70001200000002</v>
      </c>
      <c r="E238">
        <v>823.47997999999995</v>
      </c>
      <c r="F238">
        <v>823.47997999999995</v>
      </c>
      <c r="G238">
        <v>70596900</v>
      </c>
    </row>
    <row r="239" spans="1:7">
      <c r="A239" s="70">
        <v>42767</v>
      </c>
      <c r="B239">
        <v>829.21002199999998</v>
      </c>
      <c r="C239">
        <v>860.85998500000005</v>
      </c>
      <c r="D239">
        <v>803</v>
      </c>
      <c r="E239">
        <v>845.03997800000002</v>
      </c>
      <c r="F239">
        <v>845.03997800000002</v>
      </c>
      <c r="G239">
        <v>71743800</v>
      </c>
    </row>
    <row r="240" spans="1:7">
      <c r="A240" s="70">
        <v>42795</v>
      </c>
      <c r="B240">
        <v>853.04998799999998</v>
      </c>
      <c r="C240">
        <v>890.34997599999997</v>
      </c>
      <c r="D240">
        <v>833.5</v>
      </c>
      <c r="E240">
        <v>886.53997800000002</v>
      </c>
      <c r="F240">
        <v>886.53997800000002</v>
      </c>
      <c r="G240">
        <v>60710700</v>
      </c>
    </row>
    <row r="241" spans="1:7">
      <c r="A241" s="70">
        <v>42826</v>
      </c>
      <c r="B241">
        <v>888</v>
      </c>
      <c r="C241">
        <v>949.59002699999996</v>
      </c>
      <c r="D241">
        <v>884.48999000000003</v>
      </c>
      <c r="E241">
        <v>924.98999000000003</v>
      </c>
      <c r="F241">
        <v>924.98999000000003</v>
      </c>
      <c r="G241">
        <v>73510800</v>
      </c>
    </row>
    <row r="242" spans="1:7">
      <c r="A242" s="70">
        <v>42856</v>
      </c>
      <c r="B242">
        <v>927.79998799999998</v>
      </c>
      <c r="C242">
        <v>1001.200012</v>
      </c>
      <c r="D242">
        <v>927.79998799999998</v>
      </c>
      <c r="E242">
        <v>994.61999500000002</v>
      </c>
      <c r="F242">
        <v>994.61999500000002</v>
      </c>
      <c r="G242">
        <v>76202000</v>
      </c>
    </row>
    <row r="243" spans="1:7">
      <c r="A243" s="70">
        <v>42887</v>
      </c>
      <c r="B243">
        <v>998.59002699999996</v>
      </c>
      <c r="C243">
        <v>1017</v>
      </c>
      <c r="D243">
        <v>927</v>
      </c>
      <c r="E243">
        <v>968</v>
      </c>
      <c r="F243">
        <v>968</v>
      </c>
      <c r="G243">
        <v>96120800</v>
      </c>
    </row>
    <row r="244" spans="1:7">
      <c r="A244" s="70">
        <v>42917</v>
      </c>
      <c r="B244">
        <v>972.78997800000002</v>
      </c>
      <c r="C244">
        <v>1083.3100589999999</v>
      </c>
      <c r="D244">
        <v>951</v>
      </c>
      <c r="E244">
        <v>987.78002900000001</v>
      </c>
      <c r="F244">
        <v>987.78002900000001</v>
      </c>
      <c r="G244">
        <v>78812400</v>
      </c>
    </row>
    <row r="245" spans="1:7">
      <c r="A245" s="70">
        <v>42948</v>
      </c>
      <c r="B245">
        <v>996.10998500000005</v>
      </c>
      <c r="C245">
        <v>1006.400024</v>
      </c>
      <c r="D245">
        <v>936.330017</v>
      </c>
      <c r="E245">
        <v>980.59997599999997</v>
      </c>
      <c r="F245">
        <v>980.59997599999997</v>
      </c>
      <c r="G245">
        <v>77261700</v>
      </c>
    </row>
    <row r="246" spans="1:7">
      <c r="A246" s="70">
        <v>42979</v>
      </c>
      <c r="B246">
        <v>984.20001200000002</v>
      </c>
      <c r="C246">
        <v>1000</v>
      </c>
      <c r="D246">
        <v>931.75</v>
      </c>
      <c r="E246">
        <v>961.34997599999997</v>
      </c>
      <c r="F246">
        <v>961.34997599999997</v>
      </c>
      <c r="G246">
        <v>59291800</v>
      </c>
    </row>
    <row r="247" spans="1:7">
      <c r="A247" s="70">
        <v>43009</v>
      </c>
      <c r="B247">
        <v>964</v>
      </c>
      <c r="C247">
        <v>1122.790039</v>
      </c>
      <c r="D247">
        <v>950.36999500000002</v>
      </c>
      <c r="E247">
        <v>1105.280029</v>
      </c>
      <c r="F247">
        <v>1105.280029</v>
      </c>
      <c r="G247">
        <v>83334100</v>
      </c>
    </row>
    <row r="248" spans="1:7">
      <c r="A248" s="70">
        <v>43040</v>
      </c>
      <c r="B248">
        <v>1105.400024</v>
      </c>
      <c r="C248">
        <v>1213.410034</v>
      </c>
      <c r="D248">
        <v>1086.869995</v>
      </c>
      <c r="E248">
        <v>1176.75</v>
      </c>
      <c r="F248">
        <v>1176.75</v>
      </c>
      <c r="G248">
        <v>77165000</v>
      </c>
    </row>
    <row r="249" spans="1:7">
      <c r="A249" s="70">
        <v>43070</v>
      </c>
      <c r="B249">
        <v>1172.0500489999999</v>
      </c>
      <c r="C249">
        <v>1194.780029</v>
      </c>
      <c r="D249">
        <v>1124.73999</v>
      </c>
      <c r="E249">
        <v>1169.469971</v>
      </c>
      <c r="F249">
        <v>1169.469971</v>
      </c>
      <c r="G249">
        <v>57760200</v>
      </c>
    </row>
    <row r="250" spans="1:7">
      <c r="A250" s="70">
        <v>43101</v>
      </c>
      <c r="B250">
        <v>1172</v>
      </c>
      <c r="C250">
        <v>1339.9399410000001</v>
      </c>
      <c r="D250">
        <v>1170.51001</v>
      </c>
      <c r="E250">
        <v>1294.579956</v>
      </c>
      <c r="F250">
        <v>1294.579956</v>
      </c>
      <c r="G250">
        <v>52499300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G818"/>
  <sheetViews>
    <sheetView workbookViewId="0">
      <selection activeCell="K18" sqref="K18"/>
    </sheetView>
  </sheetViews>
  <sheetFormatPr defaultRowHeight="14.5"/>
  <cols>
    <col min="1" max="1" width="9.453125" bestFit="1" customWidth="1"/>
  </cols>
  <sheetData>
    <row r="1" spans="1:7">
      <c r="A1" t="s">
        <v>434</v>
      </c>
      <c r="B1" t="s">
        <v>472</v>
      </c>
      <c r="C1" t="s">
        <v>3</v>
      </c>
      <c r="D1" t="s">
        <v>2</v>
      </c>
      <c r="E1" t="s">
        <v>473</v>
      </c>
      <c r="F1" t="s">
        <v>474</v>
      </c>
      <c r="G1" t="s">
        <v>475</v>
      </c>
    </row>
    <row r="2" spans="1:7">
      <c r="A2" s="70">
        <v>18264</v>
      </c>
      <c r="B2">
        <v>16.66</v>
      </c>
      <c r="C2">
        <v>17.09</v>
      </c>
      <c r="D2">
        <v>16.649999999999999</v>
      </c>
      <c r="E2">
        <v>17.049999</v>
      </c>
      <c r="F2">
        <v>17.049999</v>
      </c>
      <c r="G2">
        <v>42570000</v>
      </c>
    </row>
    <row r="3" spans="1:7">
      <c r="A3" s="70">
        <v>18295</v>
      </c>
      <c r="B3">
        <v>17.049999</v>
      </c>
      <c r="C3">
        <v>17.350000000000001</v>
      </c>
      <c r="D3">
        <v>16.989999999999998</v>
      </c>
      <c r="E3">
        <v>17.219999000000001</v>
      </c>
      <c r="F3">
        <v>17.219999000000001</v>
      </c>
      <c r="G3">
        <v>33430000</v>
      </c>
    </row>
    <row r="4" spans="1:7">
      <c r="A4" s="70">
        <v>18323</v>
      </c>
      <c r="B4">
        <v>17.239999999999998</v>
      </c>
      <c r="C4">
        <v>17.610001</v>
      </c>
      <c r="D4">
        <v>17.07</v>
      </c>
      <c r="E4">
        <v>17.290001</v>
      </c>
      <c r="F4">
        <v>17.290001</v>
      </c>
      <c r="G4">
        <v>40410000</v>
      </c>
    </row>
    <row r="5" spans="1:7">
      <c r="A5" s="70">
        <v>18354</v>
      </c>
      <c r="B5">
        <v>17.34</v>
      </c>
      <c r="C5">
        <v>18.07</v>
      </c>
      <c r="D5">
        <v>17.34</v>
      </c>
      <c r="E5">
        <v>18.07</v>
      </c>
      <c r="F5">
        <v>18.07</v>
      </c>
      <c r="G5">
        <v>48250000</v>
      </c>
    </row>
    <row r="6" spans="1:7">
      <c r="A6" s="70">
        <v>18384</v>
      </c>
      <c r="B6">
        <v>18.219999000000001</v>
      </c>
      <c r="C6">
        <v>18.780000999999999</v>
      </c>
      <c r="D6">
        <v>18.110001</v>
      </c>
      <c r="E6">
        <v>18.780000999999999</v>
      </c>
      <c r="F6">
        <v>18.780000999999999</v>
      </c>
      <c r="G6">
        <v>45080000</v>
      </c>
    </row>
    <row r="7" spans="1:7">
      <c r="A7" s="70">
        <v>18415</v>
      </c>
      <c r="B7">
        <v>18.77</v>
      </c>
      <c r="C7">
        <v>19.399999999999999</v>
      </c>
      <c r="D7">
        <v>17.440000999999999</v>
      </c>
      <c r="E7">
        <v>17.690000999999999</v>
      </c>
      <c r="F7">
        <v>17.690000999999999</v>
      </c>
      <c r="G7">
        <v>45660000</v>
      </c>
    </row>
    <row r="8" spans="1:7">
      <c r="A8" s="70">
        <v>18445</v>
      </c>
      <c r="B8">
        <v>17.639999</v>
      </c>
      <c r="C8">
        <v>17.91</v>
      </c>
      <c r="D8">
        <v>16.68</v>
      </c>
      <c r="E8">
        <v>17.84</v>
      </c>
      <c r="F8">
        <v>17.84</v>
      </c>
      <c r="G8">
        <v>44570000</v>
      </c>
    </row>
    <row r="9" spans="1:7">
      <c r="A9" s="70">
        <v>18476</v>
      </c>
      <c r="B9">
        <v>18.02</v>
      </c>
      <c r="C9">
        <v>18.82</v>
      </c>
      <c r="D9">
        <v>17.950001</v>
      </c>
      <c r="E9">
        <v>18.420000000000002</v>
      </c>
      <c r="F9">
        <v>18.420000000000002</v>
      </c>
      <c r="G9">
        <v>38900000</v>
      </c>
    </row>
    <row r="10" spans="1:7">
      <c r="A10" s="70">
        <v>18507</v>
      </c>
      <c r="B10">
        <v>18.549999</v>
      </c>
      <c r="C10">
        <v>19.450001</v>
      </c>
      <c r="D10">
        <v>18.540001</v>
      </c>
      <c r="E10">
        <v>19.450001</v>
      </c>
      <c r="F10">
        <v>19.450001</v>
      </c>
      <c r="G10">
        <v>38590000</v>
      </c>
    </row>
    <row r="11" spans="1:7">
      <c r="A11" s="70">
        <v>18537</v>
      </c>
      <c r="B11">
        <v>19.690000999999999</v>
      </c>
      <c r="C11">
        <v>20.16</v>
      </c>
      <c r="D11">
        <v>19.530000999999999</v>
      </c>
      <c r="E11">
        <v>19.530000999999999</v>
      </c>
      <c r="F11">
        <v>19.530000999999999</v>
      </c>
      <c r="G11">
        <v>48360000</v>
      </c>
    </row>
    <row r="12" spans="1:7">
      <c r="A12" s="70">
        <v>18568</v>
      </c>
      <c r="B12">
        <v>19.559999000000001</v>
      </c>
      <c r="C12">
        <v>20.32</v>
      </c>
      <c r="D12">
        <v>19.360001</v>
      </c>
      <c r="E12">
        <v>19.510000000000002</v>
      </c>
      <c r="F12">
        <v>19.510000000000002</v>
      </c>
      <c r="G12">
        <v>43180000</v>
      </c>
    </row>
    <row r="13" spans="1:7">
      <c r="A13" s="70">
        <v>18598</v>
      </c>
      <c r="B13">
        <v>19.66</v>
      </c>
      <c r="C13">
        <v>20.43</v>
      </c>
      <c r="D13">
        <v>19</v>
      </c>
      <c r="E13">
        <v>20.41</v>
      </c>
      <c r="F13">
        <v>20.41</v>
      </c>
      <c r="G13">
        <v>60830000</v>
      </c>
    </row>
    <row r="14" spans="1:7">
      <c r="A14" s="70">
        <v>18629</v>
      </c>
      <c r="B14">
        <v>20.77</v>
      </c>
      <c r="C14">
        <v>21.74</v>
      </c>
      <c r="D14">
        <v>20.690000999999999</v>
      </c>
      <c r="E14">
        <v>21.66</v>
      </c>
      <c r="F14">
        <v>21.66</v>
      </c>
      <c r="G14">
        <v>70180000</v>
      </c>
    </row>
    <row r="15" spans="1:7">
      <c r="A15" s="70">
        <v>18660</v>
      </c>
      <c r="B15">
        <v>21.77</v>
      </c>
      <c r="C15">
        <v>22.209999</v>
      </c>
      <c r="D15">
        <v>21.76</v>
      </c>
      <c r="E15">
        <v>21.799999</v>
      </c>
      <c r="F15">
        <v>21.799999</v>
      </c>
      <c r="G15">
        <v>41210000</v>
      </c>
    </row>
    <row r="16" spans="1:7">
      <c r="A16" s="70">
        <v>18688</v>
      </c>
      <c r="B16">
        <v>21.85</v>
      </c>
      <c r="C16">
        <v>21.950001</v>
      </c>
      <c r="D16">
        <v>21.25</v>
      </c>
      <c r="E16">
        <v>21.4</v>
      </c>
      <c r="F16">
        <v>21.4</v>
      </c>
      <c r="G16">
        <v>35530000</v>
      </c>
    </row>
    <row r="17" spans="1:7">
      <c r="A17" s="70">
        <v>18719</v>
      </c>
      <c r="B17">
        <v>21.32</v>
      </c>
      <c r="C17">
        <v>22.43</v>
      </c>
      <c r="D17">
        <v>21.26</v>
      </c>
      <c r="E17">
        <v>22.43</v>
      </c>
      <c r="F17">
        <v>22.43</v>
      </c>
      <c r="G17">
        <v>37790000</v>
      </c>
    </row>
    <row r="18" spans="1:7">
      <c r="A18" s="70">
        <v>18749</v>
      </c>
      <c r="B18">
        <v>22.530000999999999</v>
      </c>
      <c r="C18">
        <v>22.809999000000001</v>
      </c>
      <c r="D18">
        <v>21.030000999999999</v>
      </c>
      <c r="E18">
        <v>21.52</v>
      </c>
      <c r="F18">
        <v>21.52</v>
      </c>
      <c r="G18">
        <v>38440000</v>
      </c>
    </row>
    <row r="19" spans="1:7">
      <c r="A19" s="70">
        <v>18780</v>
      </c>
      <c r="B19">
        <v>21.48</v>
      </c>
      <c r="C19">
        <v>22.049999</v>
      </c>
      <c r="D19">
        <v>20.959999</v>
      </c>
      <c r="E19">
        <v>20.959999</v>
      </c>
      <c r="F19">
        <v>20.959999</v>
      </c>
      <c r="G19">
        <v>36220000</v>
      </c>
    </row>
    <row r="20" spans="1:7">
      <c r="A20" s="70">
        <v>18810</v>
      </c>
      <c r="B20">
        <v>21.1</v>
      </c>
      <c r="C20">
        <v>22.629999000000002</v>
      </c>
      <c r="D20">
        <v>21.1</v>
      </c>
      <c r="E20">
        <v>22.4</v>
      </c>
      <c r="F20">
        <v>22.4</v>
      </c>
      <c r="G20">
        <v>27990000</v>
      </c>
    </row>
    <row r="21" spans="1:7">
      <c r="A21" s="70">
        <v>18841</v>
      </c>
      <c r="B21">
        <v>22.51</v>
      </c>
      <c r="C21">
        <v>23.280000999999999</v>
      </c>
      <c r="D21">
        <v>22.51</v>
      </c>
      <c r="E21">
        <v>23.280000999999999</v>
      </c>
      <c r="F21">
        <v>23.280000999999999</v>
      </c>
      <c r="G21">
        <v>33630000</v>
      </c>
    </row>
    <row r="22" spans="1:7">
      <c r="A22" s="70">
        <v>18872</v>
      </c>
      <c r="B22">
        <v>23.280000999999999</v>
      </c>
      <c r="C22">
        <v>23.709999</v>
      </c>
      <c r="D22">
        <v>23.26</v>
      </c>
      <c r="E22">
        <v>23.26</v>
      </c>
      <c r="F22">
        <v>23.26</v>
      </c>
      <c r="G22">
        <v>36420000</v>
      </c>
    </row>
    <row r="23" spans="1:7">
      <c r="A23" s="70">
        <v>18902</v>
      </c>
      <c r="B23">
        <v>23.469999000000001</v>
      </c>
      <c r="C23">
        <v>23.85</v>
      </c>
      <c r="D23">
        <v>22.450001</v>
      </c>
      <c r="E23">
        <v>22.940000999999999</v>
      </c>
      <c r="F23">
        <v>22.940000999999999</v>
      </c>
      <c r="G23">
        <v>42930000</v>
      </c>
    </row>
    <row r="24" spans="1:7">
      <c r="A24" s="70">
        <v>18933</v>
      </c>
      <c r="B24">
        <v>23.1</v>
      </c>
      <c r="C24">
        <v>23.1</v>
      </c>
      <c r="D24">
        <v>22.299999</v>
      </c>
      <c r="E24">
        <v>22.879999000000002</v>
      </c>
      <c r="F24">
        <v>22.879999000000002</v>
      </c>
      <c r="G24">
        <v>29280000</v>
      </c>
    </row>
    <row r="25" spans="1:7">
      <c r="A25" s="70">
        <v>18963</v>
      </c>
      <c r="B25">
        <v>22.940000999999999</v>
      </c>
      <c r="C25">
        <v>23.77</v>
      </c>
      <c r="D25">
        <v>22.940000999999999</v>
      </c>
      <c r="E25">
        <v>23.77</v>
      </c>
      <c r="F25">
        <v>23.77</v>
      </c>
      <c r="G25">
        <v>34610000</v>
      </c>
    </row>
    <row r="26" spans="1:7">
      <c r="A26" s="70">
        <v>18994</v>
      </c>
      <c r="B26">
        <v>23.799999</v>
      </c>
      <c r="C26">
        <v>24.66</v>
      </c>
      <c r="D26">
        <v>23.74</v>
      </c>
      <c r="E26">
        <v>24.139999</v>
      </c>
      <c r="F26">
        <v>24.139999</v>
      </c>
      <c r="G26">
        <v>41560000</v>
      </c>
    </row>
    <row r="27" spans="1:7">
      <c r="A27" s="70">
        <v>19025</v>
      </c>
      <c r="B27">
        <v>24.299999</v>
      </c>
      <c r="C27">
        <v>24.41</v>
      </c>
      <c r="D27">
        <v>23.09</v>
      </c>
      <c r="E27">
        <v>23.26</v>
      </c>
      <c r="F27">
        <v>23.26</v>
      </c>
      <c r="G27">
        <v>27190000</v>
      </c>
    </row>
    <row r="28" spans="1:7">
      <c r="A28" s="70">
        <v>19054</v>
      </c>
      <c r="B28">
        <v>23.280000999999999</v>
      </c>
      <c r="C28">
        <v>24.370000999999998</v>
      </c>
      <c r="D28">
        <v>23.280000999999999</v>
      </c>
      <c r="E28">
        <v>24.370000999999998</v>
      </c>
      <c r="F28">
        <v>24.370000999999998</v>
      </c>
      <c r="G28">
        <v>29500000</v>
      </c>
    </row>
    <row r="29" spans="1:7">
      <c r="A29" s="70">
        <v>19085</v>
      </c>
      <c r="B29">
        <v>24.18</v>
      </c>
      <c r="C29">
        <v>24.18</v>
      </c>
      <c r="D29">
        <v>23.32</v>
      </c>
      <c r="E29">
        <v>23.32</v>
      </c>
      <c r="F29">
        <v>23.32</v>
      </c>
      <c r="G29">
        <v>28880000</v>
      </c>
    </row>
    <row r="30" spans="1:7">
      <c r="A30" s="70">
        <v>19115</v>
      </c>
      <c r="B30">
        <v>23.17</v>
      </c>
      <c r="C30">
        <v>23.940000999999999</v>
      </c>
      <c r="D30">
        <v>23.17</v>
      </c>
      <c r="E30">
        <v>23.860001</v>
      </c>
      <c r="F30">
        <v>23.860001</v>
      </c>
      <c r="G30">
        <v>24010000</v>
      </c>
    </row>
    <row r="31" spans="1:7">
      <c r="A31" s="70">
        <v>19146</v>
      </c>
      <c r="B31">
        <v>23.799999</v>
      </c>
      <c r="C31">
        <v>24.959999</v>
      </c>
      <c r="D31">
        <v>23.780000999999999</v>
      </c>
      <c r="E31">
        <v>24.959999</v>
      </c>
      <c r="F31">
        <v>24.959999</v>
      </c>
      <c r="G31">
        <v>25530000</v>
      </c>
    </row>
    <row r="32" spans="1:7">
      <c r="A32" s="70">
        <v>19176</v>
      </c>
      <c r="B32">
        <v>25.120000999999998</v>
      </c>
      <c r="C32">
        <v>25.4</v>
      </c>
      <c r="D32">
        <v>24.809999000000001</v>
      </c>
      <c r="E32">
        <v>25.4</v>
      </c>
      <c r="F32">
        <v>25.4</v>
      </c>
      <c r="G32">
        <v>24100000</v>
      </c>
    </row>
    <row r="33" spans="1:7">
      <c r="A33" s="70">
        <v>19207</v>
      </c>
      <c r="B33">
        <v>25.450001</v>
      </c>
      <c r="C33">
        <v>25.549999</v>
      </c>
      <c r="D33">
        <v>24.83</v>
      </c>
      <c r="E33">
        <v>25.030000999999999</v>
      </c>
      <c r="F33">
        <v>25.030000999999999</v>
      </c>
      <c r="G33">
        <v>20890000</v>
      </c>
    </row>
    <row r="34" spans="1:7">
      <c r="A34" s="70">
        <v>19238</v>
      </c>
      <c r="B34">
        <v>25.15</v>
      </c>
      <c r="C34">
        <v>25.25</v>
      </c>
      <c r="D34">
        <v>24.450001</v>
      </c>
      <c r="E34">
        <v>24.540001</v>
      </c>
      <c r="F34">
        <v>24.540001</v>
      </c>
      <c r="G34">
        <v>24100000</v>
      </c>
    </row>
    <row r="35" spans="1:7">
      <c r="A35" s="70">
        <v>19268</v>
      </c>
      <c r="B35">
        <v>24.48</v>
      </c>
      <c r="C35">
        <v>24.58</v>
      </c>
      <c r="D35">
        <v>23.799999</v>
      </c>
      <c r="E35">
        <v>24.52</v>
      </c>
      <c r="F35">
        <v>24.52</v>
      </c>
      <c r="G35">
        <v>25940000</v>
      </c>
    </row>
    <row r="36" spans="1:7">
      <c r="A36" s="70">
        <v>19299</v>
      </c>
      <c r="B36">
        <v>24.6</v>
      </c>
      <c r="C36">
        <v>25.66</v>
      </c>
      <c r="D36">
        <v>24.6</v>
      </c>
      <c r="E36">
        <v>25.66</v>
      </c>
      <c r="F36">
        <v>25.66</v>
      </c>
      <c r="G36">
        <v>30210000</v>
      </c>
    </row>
    <row r="37" spans="1:7">
      <c r="A37" s="70">
        <v>19329</v>
      </c>
      <c r="B37">
        <v>25.68</v>
      </c>
      <c r="C37">
        <v>26.59</v>
      </c>
      <c r="D37">
        <v>25.610001</v>
      </c>
      <c r="E37">
        <v>26.57</v>
      </c>
      <c r="F37">
        <v>26.57</v>
      </c>
      <c r="G37">
        <v>40480000</v>
      </c>
    </row>
    <row r="38" spans="1:7">
      <c r="A38" s="70">
        <v>19360</v>
      </c>
      <c r="B38">
        <v>26.540001</v>
      </c>
      <c r="C38">
        <v>26.66</v>
      </c>
      <c r="D38">
        <v>25.860001</v>
      </c>
      <c r="E38">
        <v>26.379999000000002</v>
      </c>
      <c r="F38">
        <v>26.379999000000002</v>
      </c>
      <c r="G38">
        <v>34060000</v>
      </c>
    </row>
    <row r="39" spans="1:7">
      <c r="A39" s="70">
        <v>19391</v>
      </c>
      <c r="B39">
        <v>26.51</v>
      </c>
      <c r="C39">
        <v>26.540001</v>
      </c>
      <c r="D39">
        <v>25.48</v>
      </c>
      <c r="E39">
        <v>25.9</v>
      </c>
      <c r="F39">
        <v>25.9</v>
      </c>
      <c r="G39">
        <v>30170000</v>
      </c>
    </row>
    <row r="40" spans="1:7">
      <c r="A40" s="70">
        <v>19419</v>
      </c>
      <c r="B40">
        <v>25.93</v>
      </c>
      <c r="C40">
        <v>26.33</v>
      </c>
      <c r="D40">
        <v>25.290001</v>
      </c>
      <c r="E40">
        <v>25.290001</v>
      </c>
      <c r="F40">
        <v>25.290001</v>
      </c>
      <c r="G40">
        <v>42510000</v>
      </c>
    </row>
    <row r="41" spans="1:7">
      <c r="A41" s="70">
        <v>19450</v>
      </c>
      <c r="B41">
        <v>25.25</v>
      </c>
      <c r="C41">
        <v>25.25</v>
      </c>
      <c r="D41">
        <v>24.190000999999999</v>
      </c>
      <c r="E41">
        <v>24.620000999999998</v>
      </c>
      <c r="F41">
        <v>24.620000999999998</v>
      </c>
      <c r="G41">
        <v>34370000</v>
      </c>
    </row>
    <row r="42" spans="1:7">
      <c r="A42" s="70">
        <v>19480</v>
      </c>
      <c r="B42">
        <v>24.73</v>
      </c>
      <c r="C42">
        <v>25.059999000000001</v>
      </c>
      <c r="D42">
        <v>24.459999</v>
      </c>
      <c r="E42">
        <v>24.540001</v>
      </c>
      <c r="F42">
        <v>24.540001</v>
      </c>
      <c r="G42">
        <v>25730000</v>
      </c>
    </row>
    <row r="43" spans="1:7">
      <c r="A43" s="70">
        <v>19511</v>
      </c>
      <c r="B43">
        <v>24.15</v>
      </c>
      <c r="C43">
        <v>24.219999000000001</v>
      </c>
      <c r="D43">
        <v>23.540001</v>
      </c>
      <c r="E43">
        <v>24.139999</v>
      </c>
      <c r="F43">
        <v>24.139999</v>
      </c>
      <c r="G43">
        <v>26080000</v>
      </c>
    </row>
    <row r="44" spans="1:7">
      <c r="A44" s="70">
        <v>19541</v>
      </c>
      <c r="B44">
        <v>24.24</v>
      </c>
      <c r="C44">
        <v>24.75</v>
      </c>
      <c r="D44">
        <v>24.07</v>
      </c>
      <c r="E44">
        <v>24.75</v>
      </c>
      <c r="F44">
        <v>24.75</v>
      </c>
      <c r="G44">
        <v>22240000</v>
      </c>
    </row>
    <row r="45" spans="1:7">
      <c r="A45" s="70">
        <v>19572</v>
      </c>
      <c r="B45">
        <v>24.84</v>
      </c>
      <c r="C45">
        <v>24.84</v>
      </c>
      <c r="D45">
        <v>23.32</v>
      </c>
      <c r="E45">
        <v>23.32</v>
      </c>
      <c r="F45">
        <v>23.32</v>
      </c>
      <c r="G45">
        <v>23890000</v>
      </c>
    </row>
    <row r="46" spans="1:7">
      <c r="A46" s="70">
        <v>19603</v>
      </c>
      <c r="B46">
        <v>23.42</v>
      </c>
      <c r="C46">
        <v>23.65</v>
      </c>
      <c r="D46">
        <v>22.709999</v>
      </c>
      <c r="E46">
        <v>23.35</v>
      </c>
      <c r="F46">
        <v>23.35</v>
      </c>
      <c r="G46">
        <v>27150000</v>
      </c>
    </row>
    <row r="47" spans="1:7">
      <c r="A47" s="70">
        <v>19633</v>
      </c>
      <c r="B47">
        <v>23.49</v>
      </c>
      <c r="C47">
        <v>24.58</v>
      </c>
      <c r="D47">
        <v>23.389999</v>
      </c>
      <c r="E47">
        <v>24.540001</v>
      </c>
      <c r="F47">
        <v>24.540001</v>
      </c>
      <c r="G47">
        <v>25710000</v>
      </c>
    </row>
    <row r="48" spans="1:7">
      <c r="A48" s="70">
        <v>19664</v>
      </c>
      <c r="B48">
        <v>24.66</v>
      </c>
      <c r="C48">
        <v>24.76</v>
      </c>
      <c r="D48">
        <v>24.25</v>
      </c>
      <c r="E48">
        <v>24.76</v>
      </c>
      <c r="F48">
        <v>24.76</v>
      </c>
      <c r="G48">
        <v>26640000</v>
      </c>
    </row>
    <row r="49" spans="1:7">
      <c r="A49" s="70">
        <v>19694</v>
      </c>
      <c r="B49">
        <v>24.780000999999999</v>
      </c>
      <c r="C49">
        <v>24.99</v>
      </c>
      <c r="D49">
        <v>24.549999</v>
      </c>
      <c r="E49">
        <v>24.809999000000001</v>
      </c>
      <c r="F49">
        <v>24.809999000000001</v>
      </c>
      <c r="G49">
        <v>36150000</v>
      </c>
    </row>
    <row r="50" spans="1:7">
      <c r="A50" s="70">
        <v>19725</v>
      </c>
      <c r="B50">
        <v>24.950001</v>
      </c>
      <c r="C50">
        <v>26.09</v>
      </c>
      <c r="D50">
        <v>24.799999</v>
      </c>
      <c r="E50">
        <v>26.08</v>
      </c>
      <c r="F50">
        <v>26.08</v>
      </c>
      <c r="G50">
        <v>33420000</v>
      </c>
    </row>
    <row r="51" spans="1:7">
      <c r="A51" s="70">
        <v>19756</v>
      </c>
      <c r="B51">
        <v>25.99</v>
      </c>
      <c r="C51">
        <v>26.299999</v>
      </c>
      <c r="D51">
        <v>25.809999000000001</v>
      </c>
      <c r="E51">
        <v>26.15</v>
      </c>
      <c r="F51">
        <v>26.15</v>
      </c>
      <c r="G51">
        <v>33260000</v>
      </c>
    </row>
    <row r="52" spans="1:7">
      <c r="A52" s="70">
        <v>19784</v>
      </c>
      <c r="B52">
        <v>26.25</v>
      </c>
      <c r="C52">
        <v>26.940000999999999</v>
      </c>
      <c r="D52">
        <v>26.25</v>
      </c>
      <c r="E52">
        <v>26.940000999999999</v>
      </c>
      <c r="F52">
        <v>26.940000999999999</v>
      </c>
      <c r="G52">
        <v>44050000</v>
      </c>
    </row>
    <row r="53" spans="1:7">
      <c r="A53" s="70">
        <v>19815</v>
      </c>
      <c r="B53">
        <v>27.17</v>
      </c>
      <c r="C53">
        <v>28.26</v>
      </c>
      <c r="D53">
        <v>27.01</v>
      </c>
      <c r="E53">
        <v>28.26</v>
      </c>
      <c r="F53">
        <v>28.26</v>
      </c>
      <c r="G53">
        <v>43500000</v>
      </c>
    </row>
    <row r="54" spans="1:7">
      <c r="A54" s="70">
        <v>19845</v>
      </c>
      <c r="B54">
        <v>28.209999</v>
      </c>
      <c r="C54">
        <v>29.190000999999999</v>
      </c>
      <c r="D54">
        <v>28.209999</v>
      </c>
      <c r="E54">
        <v>29.190000999999999</v>
      </c>
      <c r="F54">
        <v>29.190000999999999</v>
      </c>
      <c r="G54">
        <v>41900000</v>
      </c>
    </row>
    <row r="55" spans="1:7">
      <c r="A55" s="70">
        <v>19876</v>
      </c>
      <c r="B55">
        <v>29.190000999999999</v>
      </c>
      <c r="C55">
        <v>29.43</v>
      </c>
      <c r="D55">
        <v>28.15</v>
      </c>
      <c r="E55">
        <v>29.209999</v>
      </c>
      <c r="F55">
        <v>29.209999</v>
      </c>
      <c r="G55">
        <v>42230000</v>
      </c>
    </row>
    <row r="56" spans="1:7">
      <c r="A56" s="70">
        <v>19906</v>
      </c>
      <c r="B56">
        <v>29.209999</v>
      </c>
      <c r="C56">
        <v>30.879999000000002</v>
      </c>
      <c r="D56">
        <v>29.209999</v>
      </c>
      <c r="E56">
        <v>30.879999000000002</v>
      </c>
      <c r="F56">
        <v>30.879999000000002</v>
      </c>
      <c r="G56">
        <v>51840000</v>
      </c>
    </row>
    <row r="57" spans="1:7">
      <c r="A57" s="70">
        <v>19937</v>
      </c>
      <c r="B57">
        <v>30.99</v>
      </c>
      <c r="C57">
        <v>31.209999</v>
      </c>
      <c r="D57">
        <v>29.83</v>
      </c>
      <c r="E57">
        <v>29.83</v>
      </c>
      <c r="F57">
        <v>29.83</v>
      </c>
      <c r="G57">
        <v>56900000</v>
      </c>
    </row>
    <row r="58" spans="1:7">
      <c r="A58" s="70">
        <v>19968</v>
      </c>
      <c r="B58">
        <v>30.040001</v>
      </c>
      <c r="C58">
        <v>32.689999</v>
      </c>
      <c r="D58">
        <v>30.040001</v>
      </c>
      <c r="E58">
        <v>32.310001</v>
      </c>
      <c r="F58">
        <v>32.310001</v>
      </c>
      <c r="G58">
        <v>41220000</v>
      </c>
    </row>
    <row r="59" spans="1:7">
      <c r="A59" s="70">
        <v>19998</v>
      </c>
      <c r="B59">
        <v>32.290000999999997</v>
      </c>
      <c r="C59">
        <v>32.759998000000003</v>
      </c>
      <c r="D59">
        <v>31.68</v>
      </c>
      <c r="E59">
        <v>31.68</v>
      </c>
      <c r="F59">
        <v>31.68</v>
      </c>
      <c r="G59">
        <v>44170000</v>
      </c>
    </row>
    <row r="60" spans="1:7">
      <c r="A60" s="70">
        <v>20029</v>
      </c>
      <c r="B60">
        <v>31.790001</v>
      </c>
      <c r="C60">
        <v>34.549999</v>
      </c>
      <c r="D60">
        <v>31.790001</v>
      </c>
      <c r="E60">
        <v>34.240001999999997</v>
      </c>
      <c r="F60">
        <v>34.240001999999997</v>
      </c>
      <c r="G60">
        <v>63010000</v>
      </c>
    </row>
    <row r="61" spans="1:7">
      <c r="A61" s="70">
        <v>20059</v>
      </c>
      <c r="B61">
        <v>33.990001999999997</v>
      </c>
      <c r="C61">
        <v>35.979999999999997</v>
      </c>
      <c r="D61">
        <v>33.990001999999997</v>
      </c>
      <c r="E61">
        <v>35.979999999999997</v>
      </c>
      <c r="F61">
        <v>35.979999999999997</v>
      </c>
      <c r="G61">
        <v>76480000</v>
      </c>
    </row>
    <row r="62" spans="1:7">
      <c r="A62" s="70">
        <v>20090</v>
      </c>
      <c r="B62">
        <v>36.75</v>
      </c>
      <c r="C62">
        <v>36.75</v>
      </c>
      <c r="D62">
        <v>34.580002</v>
      </c>
      <c r="E62">
        <v>36.630001</v>
      </c>
      <c r="F62">
        <v>36.630001</v>
      </c>
      <c r="G62">
        <v>74650000</v>
      </c>
    </row>
    <row r="63" spans="1:7">
      <c r="A63" s="70">
        <v>20121</v>
      </c>
      <c r="B63">
        <v>36.720001000000003</v>
      </c>
      <c r="C63">
        <v>37.150002000000001</v>
      </c>
      <c r="D63">
        <v>36.439999</v>
      </c>
      <c r="E63">
        <v>36.759998000000003</v>
      </c>
      <c r="F63">
        <v>36.759998000000003</v>
      </c>
      <c r="G63">
        <v>60810000</v>
      </c>
    </row>
    <row r="64" spans="1:7">
      <c r="A64" s="70">
        <v>20149</v>
      </c>
      <c r="B64">
        <v>36.830002</v>
      </c>
      <c r="C64">
        <v>37.520000000000003</v>
      </c>
      <c r="D64">
        <v>34.959999000000003</v>
      </c>
      <c r="E64">
        <v>36.580002</v>
      </c>
      <c r="F64">
        <v>36.580002</v>
      </c>
      <c r="G64">
        <v>65780000</v>
      </c>
    </row>
    <row r="65" spans="1:7">
      <c r="A65" s="70">
        <v>20180</v>
      </c>
      <c r="B65">
        <v>36.950001</v>
      </c>
      <c r="C65">
        <v>38.32</v>
      </c>
      <c r="D65">
        <v>36.830002</v>
      </c>
      <c r="E65">
        <v>37.959999000000003</v>
      </c>
      <c r="F65">
        <v>37.959999000000003</v>
      </c>
      <c r="G65">
        <v>53790000</v>
      </c>
    </row>
    <row r="66" spans="1:7">
      <c r="A66" s="70">
        <v>20210</v>
      </c>
      <c r="B66">
        <v>38.040000999999997</v>
      </c>
      <c r="C66">
        <v>38.040000999999997</v>
      </c>
      <c r="D66">
        <v>36.970001000000003</v>
      </c>
      <c r="E66">
        <v>37.909999999999997</v>
      </c>
      <c r="F66">
        <v>37.909999999999997</v>
      </c>
      <c r="G66">
        <v>45450000</v>
      </c>
    </row>
    <row r="67" spans="1:7">
      <c r="A67" s="70">
        <v>20241</v>
      </c>
      <c r="B67">
        <v>37.959999000000003</v>
      </c>
      <c r="C67">
        <v>41.029998999999997</v>
      </c>
      <c r="D67">
        <v>37.959999000000003</v>
      </c>
      <c r="E67">
        <v>41.029998999999997</v>
      </c>
      <c r="F67">
        <v>41.029998999999997</v>
      </c>
      <c r="G67">
        <v>58120000</v>
      </c>
    </row>
    <row r="68" spans="1:7">
      <c r="A68" s="70">
        <v>20271</v>
      </c>
      <c r="B68">
        <v>41.189999</v>
      </c>
      <c r="C68">
        <v>43.759998000000003</v>
      </c>
      <c r="D68">
        <v>41.189999</v>
      </c>
      <c r="E68">
        <v>43.52</v>
      </c>
      <c r="F68">
        <v>43.52</v>
      </c>
      <c r="G68">
        <v>48470000</v>
      </c>
    </row>
    <row r="69" spans="1:7">
      <c r="A69" s="70">
        <v>20302</v>
      </c>
      <c r="B69">
        <v>42.93</v>
      </c>
      <c r="C69">
        <v>43.18</v>
      </c>
      <c r="D69">
        <v>41.740001999999997</v>
      </c>
      <c r="E69">
        <v>43.18</v>
      </c>
      <c r="F69">
        <v>43.18</v>
      </c>
      <c r="G69">
        <v>41800000</v>
      </c>
    </row>
    <row r="70" spans="1:7">
      <c r="A70" s="70">
        <v>20333</v>
      </c>
      <c r="B70">
        <v>43.369999</v>
      </c>
      <c r="C70">
        <v>45.630001</v>
      </c>
      <c r="D70">
        <v>42.610000999999997</v>
      </c>
      <c r="E70">
        <v>43.669998</v>
      </c>
      <c r="F70">
        <v>43.669998</v>
      </c>
      <c r="G70">
        <v>60080000</v>
      </c>
    </row>
    <row r="71" spans="1:7">
      <c r="A71" s="70">
        <v>20363</v>
      </c>
      <c r="B71">
        <v>42.490001999999997</v>
      </c>
      <c r="C71">
        <v>42.990001999999997</v>
      </c>
      <c r="D71">
        <v>40.799999</v>
      </c>
      <c r="E71">
        <v>42.34</v>
      </c>
      <c r="F71">
        <v>42.34</v>
      </c>
      <c r="G71">
        <v>42150000</v>
      </c>
    </row>
    <row r="72" spans="1:7">
      <c r="A72" s="70">
        <v>20394</v>
      </c>
      <c r="B72">
        <v>42.279998999999997</v>
      </c>
      <c r="C72">
        <v>46.41</v>
      </c>
      <c r="D72">
        <v>42.279998999999997</v>
      </c>
      <c r="E72">
        <v>45.509998000000003</v>
      </c>
      <c r="F72">
        <v>45.509998000000003</v>
      </c>
      <c r="G72">
        <v>46360000</v>
      </c>
    </row>
    <row r="73" spans="1:7">
      <c r="A73" s="70">
        <v>20424</v>
      </c>
      <c r="B73">
        <v>45.349997999999999</v>
      </c>
      <c r="C73">
        <v>45.889999000000003</v>
      </c>
      <c r="D73">
        <v>44.950001</v>
      </c>
      <c r="E73">
        <v>45.48</v>
      </c>
      <c r="F73">
        <v>45.48</v>
      </c>
      <c r="G73">
        <v>50990000</v>
      </c>
    </row>
    <row r="74" spans="1:7">
      <c r="A74" s="70">
        <v>20455</v>
      </c>
      <c r="B74">
        <v>45.16</v>
      </c>
      <c r="C74">
        <v>45.16</v>
      </c>
      <c r="D74">
        <v>43.110000999999997</v>
      </c>
      <c r="E74">
        <v>43.82</v>
      </c>
      <c r="F74">
        <v>43.82</v>
      </c>
      <c r="G74">
        <v>47160000</v>
      </c>
    </row>
    <row r="75" spans="1:7">
      <c r="A75" s="70">
        <v>20486</v>
      </c>
      <c r="B75">
        <v>44.029998999999997</v>
      </c>
      <c r="C75">
        <v>45.43</v>
      </c>
      <c r="D75">
        <v>43.419998</v>
      </c>
      <c r="E75">
        <v>45.34</v>
      </c>
      <c r="F75">
        <v>45.34</v>
      </c>
      <c r="G75">
        <v>46370000</v>
      </c>
    </row>
    <row r="76" spans="1:7">
      <c r="A76" s="70">
        <v>20515</v>
      </c>
      <c r="B76">
        <v>45.540000999999997</v>
      </c>
      <c r="C76">
        <v>48.869999</v>
      </c>
      <c r="D76">
        <v>45.540000999999997</v>
      </c>
      <c r="E76">
        <v>48.48</v>
      </c>
      <c r="F76">
        <v>48.48</v>
      </c>
      <c r="G76">
        <v>60310000</v>
      </c>
    </row>
    <row r="77" spans="1:7">
      <c r="A77" s="70">
        <v>20546</v>
      </c>
      <c r="B77">
        <v>48.700001</v>
      </c>
      <c r="C77">
        <v>48.849997999999999</v>
      </c>
      <c r="D77">
        <v>47.09</v>
      </c>
      <c r="E77">
        <v>48.380001</v>
      </c>
      <c r="F77">
        <v>48.380001</v>
      </c>
      <c r="G77">
        <v>54100000</v>
      </c>
    </row>
    <row r="78" spans="1:7">
      <c r="A78" s="70">
        <v>20576</v>
      </c>
      <c r="B78">
        <v>48.16</v>
      </c>
      <c r="C78">
        <v>48.509998000000003</v>
      </c>
      <c r="D78">
        <v>44.099997999999999</v>
      </c>
      <c r="E78">
        <v>45.200001</v>
      </c>
      <c r="F78">
        <v>45.200001</v>
      </c>
      <c r="G78">
        <v>53210000</v>
      </c>
    </row>
    <row r="79" spans="1:7">
      <c r="A79" s="70">
        <v>20607</v>
      </c>
      <c r="B79">
        <v>45.580002</v>
      </c>
      <c r="C79">
        <v>47.130001</v>
      </c>
      <c r="D79">
        <v>45.139999000000003</v>
      </c>
      <c r="E79">
        <v>46.970001000000003</v>
      </c>
      <c r="F79">
        <v>46.970001000000003</v>
      </c>
      <c r="G79">
        <v>37180000</v>
      </c>
    </row>
    <row r="80" spans="1:7">
      <c r="A80" s="70">
        <v>20637</v>
      </c>
      <c r="B80">
        <v>46.93</v>
      </c>
      <c r="C80">
        <v>49.48</v>
      </c>
      <c r="D80">
        <v>46.93</v>
      </c>
      <c r="E80">
        <v>49.389999000000003</v>
      </c>
      <c r="F80">
        <v>49.389999000000003</v>
      </c>
      <c r="G80">
        <v>45650000</v>
      </c>
    </row>
    <row r="81" spans="1:7">
      <c r="A81" s="70">
        <v>20668</v>
      </c>
      <c r="B81">
        <v>49.619999</v>
      </c>
      <c r="C81">
        <v>49.639999000000003</v>
      </c>
      <c r="D81">
        <v>46.939999</v>
      </c>
      <c r="E81">
        <v>47.509998000000003</v>
      </c>
      <c r="F81">
        <v>47.509998000000003</v>
      </c>
      <c r="G81">
        <v>44450000</v>
      </c>
    </row>
    <row r="82" spans="1:7">
      <c r="A82" s="70">
        <v>20699</v>
      </c>
      <c r="B82">
        <v>47.889999000000003</v>
      </c>
      <c r="C82">
        <v>48.099997999999999</v>
      </c>
      <c r="D82">
        <v>45.349997999999999</v>
      </c>
      <c r="E82">
        <v>45.349997999999999</v>
      </c>
      <c r="F82">
        <v>45.349997999999999</v>
      </c>
      <c r="G82">
        <v>37220000</v>
      </c>
    </row>
    <row r="83" spans="1:7">
      <c r="A83" s="70">
        <v>20729</v>
      </c>
      <c r="B83">
        <v>44.700001</v>
      </c>
      <c r="C83">
        <v>47</v>
      </c>
      <c r="D83">
        <v>44.700001</v>
      </c>
      <c r="E83">
        <v>45.580002</v>
      </c>
      <c r="F83">
        <v>45.580002</v>
      </c>
      <c r="G83">
        <v>40300000</v>
      </c>
    </row>
    <row r="84" spans="1:7">
      <c r="A84" s="70">
        <v>20760</v>
      </c>
      <c r="B84">
        <v>46.52</v>
      </c>
      <c r="C84">
        <v>47.599997999999999</v>
      </c>
      <c r="D84">
        <v>44.380001</v>
      </c>
      <c r="E84">
        <v>45.080002</v>
      </c>
      <c r="F84">
        <v>45.080002</v>
      </c>
      <c r="G84">
        <v>43550000</v>
      </c>
    </row>
    <row r="85" spans="1:7">
      <c r="A85" s="70">
        <v>20790</v>
      </c>
      <c r="B85">
        <v>45.98</v>
      </c>
      <c r="C85">
        <v>47.040000999999997</v>
      </c>
      <c r="D85">
        <v>45.84</v>
      </c>
      <c r="E85">
        <v>46.669998</v>
      </c>
      <c r="F85">
        <v>46.669998</v>
      </c>
      <c r="G85">
        <v>46330000</v>
      </c>
    </row>
    <row r="86" spans="1:7">
      <c r="A86" s="70">
        <v>20821</v>
      </c>
      <c r="B86">
        <v>46.200001</v>
      </c>
      <c r="C86">
        <v>46.66</v>
      </c>
      <c r="D86">
        <v>44.400002000000001</v>
      </c>
      <c r="E86">
        <v>44.720001000000003</v>
      </c>
      <c r="F86">
        <v>44.720001000000003</v>
      </c>
      <c r="G86">
        <v>48140000</v>
      </c>
    </row>
    <row r="87" spans="1:7">
      <c r="A87" s="70">
        <v>20852</v>
      </c>
      <c r="B87">
        <v>44.619999</v>
      </c>
      <c r="C87">
        <v>44.619999</v>
      </c>
      <c r="D87">
        <v>42.389999000000003</v>
      </c>
      <c r="E87">
        <v>43.259998000000003</v>
      </c>
      <c r="F87">
        <v>43.259998000000003</v>
      </c>
      <c r="G87">
        <v>37530000</v>
      </c>
    </row>
    <row r="88" spans="1:7">
      <c r="A88" s="70">
        <v>20880</v>
      </c>
      <c r="B88">
        <v>43.740001999999997</v>
      </c>
      <c r="C88">
        <v>44.23</v>
      </c>
      <c r="D88">
        <v>43.740001999999997</v>
      </c>
      <c r="E88">
        <v>44.110000999999997</v>
      </c>
      <c r="F88">
        <v>44.110000999999997</v>
      </c>
      <c r="G88">
        <v>35620000</v>
      </c>
    </row>
    <row r="89" spans="1:7">
      <c r="A89" s="70">
        <v>20911</v>
      </c>
      <c r="B89">
        <v>44.139999000000003</v>
      </c>
      <c r="C89">
        <v>45.740001999999997</v>
      </c>
      <c r="D89">
        <v>44.139999000000003</v>
      </c>
      <c r="E89">
        <v>45.740001999999997</v>
      </c>
      <c r="F89">
        <v>45.740001999999997</v>
      </c>
      <c r="G89">
        <v>48290000</v>
      </c>
    </row>
    <row r="90" spans="1:7">
      <c r="A90" s="70">
        <v>20941</v>
      </c>
      <c r="B90">
        <v>46.02</v>
      </c>
      <c r="C90">
        <v>47.43</v>
      </c>
      <c r="D90">
        <v>46.02</v>
      </c>
      <c r="E90">
        <v>47.43</v>
      </c>
      <c r="F90">
        <v>47.43</v>
      </c>
      <c r="G90">
        <v>52560000</v>
      </c>
    </row>
    <row r="91" spans="1:7">
      <c r="A91" s="70">
        <v>20972</v>
      </c>
      <c r="B91">
        <v>47.369999</v>
      </c>
      <c r="C91">
        <v>48.240001999999997</v>
      </c>
      <c r="D91">
        <v>46.779998999999997</v>
      </c>
      <c r="E91">
        <v>47.369999</v>
      </c>
      <c r="F91">
        <v>47.369999</v>
      </c>
      <c r="G91">
        <v>43470000</v>
      </c>
    </row>
    <row r="92" spans="1:7">
      <c r="A92" s="70">
        <v>21002</v>
      </c>
      <c r="B92">
        <v>47.43</v>
      </c>
      <c r="C92">
        <v>49.130001</v>
      </c>
      <c r="D92">
        <v>47.43</v>
      </c>
      <c r="E92">
        <v>47.91</v>
      </c>
      <c r="F92">
        <v>47.91</v>
      </c>
      <c r="G92">
        <v>48230000</v>
      </c>
    </row>
    <row r="93" spans="1:7">
      <c r="A93" s="70">
        <v>21033</v>
      </c>
      <c r="B93">
        <v>47.790000999999997</v>
      </c>
      <c r="C93">
        <v>47.790000999999997</v>
      </c>
      <c r="D93">
        <v>43.889999000000003</v>
      </c>
      <c r="E93">
        <v>45.220001000000003</v>
      </c>
      <c r="F93">
        <v>45.220001000000003</v>
      </c>
      <c r="G93">
        <v>41390000</v>
      </c>
    </row>
    <row r="94" spans="1:7">
      <c r="A94" s="70">
        <v>21064</v>
      </c>
      <c r="B94">
        <v>45.439999</v>
      </c>
      <c r="C94">
        <v>45.439999</v>
      </c>
      <c r="D94">
        <v>42.419998</v>
      </c>
      <c r="E94">
        <v>42.419998</v>
      </c>
      <c r="F94">
        <v>42.419998</v>
      </c>
      <c r="G94">
        <v>36890000</v>
      </c>
    </row>
    <row r="95" spans="1:7">
      <c r="A95" s="70">
        <v>21094</v>
      </c>
      <c r="B95">
        <v>42.759998000000003</v>
      </c>
      <c r="C95">
        <v>43.139999000000003</v>
      </c>
      <c r="D95">
        <v>38.979999999999997</v>
      </c>
      <c r="E95">
        <v>41.060001</v>
      </c>
      <c r="F95">
        <v>41.060001</v>
      </c>
      <c r="G95">
        <v>63960000</v>
      </c>
    </row>
    <row r="96" spans="1:7">
      <c r="A96" s="70">
        <v>21125</v>
      </c>
      <c r="B96">
        <v>40.439999</v>
      </c>
      <c r="C96">
        <v>41.720001000000003</v>
      </c>
      <c r="D96">
        <v>39.439999</v>
      </c>
      <c r="E96">
        <v>41.720001000000003</v>
      </c>
      <c r="F96">
        <v>41.720001000000003</v>
      </c>
      <c r="G96">
        <v>48200000</v>
      </c>
    </row>
    <row r="97" spans="1:7">
      <c r="A97" s="70">
        <v>21155</v>
      </c>
      <c r="B97">
        <v>41.360000999999997</v>
      </c>
      <c r="C97">
        <v>41.540000999999997</v>
      </c>
      <c r="D97">
        <v>39.380001</v>
      </c>
      <c r="E97">
        <v>39.990001999999997</v>
      </c>
      <c r="F97">
        <v>39.990001999999997</v>
      </c>
      <c r="G97">
        <v>54440000</v>
      </c>
    </row>
    <row r="98" spans="1:7">
      <c r="A98" s="70">
        <v>21186</v>
      </c>
      <c r="B98">
        <v>40.330002</v>
      </c>
      <c r="C98">
        <v>41.880001</v>
      </c>
      <c r="D98">
        <v>40.330002</v>
      </c>
      <c r="E98">
        <v>41.700001</v>
      </c>
      <c r="F98">
        <v>41.700001</v>
      </c>
      <c r="G98">
        <v>49830000</v>
      </c>
    </row>
    <row r="99" spans="1:7">
      <c r="A99" s="70">
        <v>21217</v>
      </c>
      <c r="B99">
        <v>42.040000999999997</v>
      </c>
      <c r="C99">
        <v>42.459999000000003</v>
      </c>
      <c r="D99">
        <v>40.610000999999997</v>
      </c>
      <c r="E99">
        <v>40.840000000000003</v>
      </c>
      <c r="F99">
        <v>40.840000000000003</v>
      </c>
      <c r="G99">
        <v>40190000</v>
      </c>
    </row>
    <row r="100" spans="1:7">
      <c r="A100" s="70">
        <v>21245</v>
      </c>
      <c r="B100">
        <v>41.130001</v>
      </c>
      <c r="C100">
        <v>42.580002</v>
      </c>
      <c r="D100">
        <v>41.130001</v>
      </c>
      <c r="E100">
        <v>42.099997999999999</v>
      </c>
      <c r="F100">
        <v>42.099997999999999</v>
      </c>
      <c r="G100">
        <v>46680000</v>
      </c>
    </row>
    <row r="101" spans="1:7">
      <c r="A101" s="70">
        <v>21276</v>
      </c>
      <c r="B101">
        <v>41.93</v>
      </c>
      <c r="C101">
        <v>43.439999</v>
      </c>
      <c r="D101">
        <v>41.330002</v>
      </c>
      <c r="E101">
        <v>43.439999</v>
      </c>
      <c r="F101">
        <v>43.439999</v>
      </c>
      <c r="G101">
        <v>50270000</v>
      </c>
    </row>
    <row r="102" spans="1:7">
      <c r="A102" s="70">
        <v>21306</v>
      </c>
      <c r="B102">
        <v>43.540000999999997</v>
      </c>
      <c r="C102">
        <v>44.09</v>
      </c>
      <c r="D102">
        <v>43.119999</v>
      </c>
      <c r="E102">
        <v>44.09</v>
      </c>
      <c r="F102">
        <v>44.09</v>
      </c>
      <c r="G102">
        <v>54100000</v>
      </c>
    </row>
    <row r="103" spans="1:7">
      <c r="A103" s="70">
        <v>21337</v>
      </c>
      <c r="B103">
        <v>44.310001</v>
      </c>
      <c r="C103">
        <v>45.34</v>
      </c>
      <c r="D103">
        <v>44.310001</v>
      </c>
      <c r="E103">
        <v>45.240001999999997</v>
      </c>
      <c r="F103">
        <v>45.240001999999997</v>
      </c>
      <c r="G103">
        <v>56610000</v>
      </c>
    </row>
    <row r="104" spans="1:7">
      <c r="A104" s="70">
        <v>21367</v>
      </c>
      <c r="B104">
        <v>45.279998999999997</v>
      </c>
      <c r="C104">
        <v>47.189999</v>
      </c>
      <c r="D104">
        <v>45.110000999999997</v>
      </c>
      <c r="E104">
        <v>47.189999</v>
      </c>
      <c r="F104">
        <v>47.189999</v>
      </c>
      <c r="G104">
        <v>69430000</v>
      </c>
    </row>
    <row r="105" spans="1:7">
      <c r="A105" s="70">
        <v>21398</v>
      </c>
      <c r="B105">
        <v>47.490001999999997</v>
      </c>
      <c r="C105">
        <v>48.16</v>
      </c>
      <c r="D105">
        <v>47.220001000000003</v>
      </c>
      <c r="E105">
        <v>47.75</v>
      </c>
      <c r="F105">
        <v>47.75</v>
      </c>
      <c r="G105">
        <v>62300000</v>
      </c>
    </row>
    <row r="106" spans="1:7">
      <c r="A106" s="70">
        <v>21429</v>
      </c>
      <c r="B106">
        <v>48</v>
      </c>
      <c r="C106">
        <v>50.060001</v>
      </c>
      <c r="D106">
        <v>47.970001000000003</v>
      </c>
      <c r="E106">
        <v>50.060001</v>
      </c>
      <c r="F106">
        <v>50.060001</v>
      </c>
      <c r="G106">
        <v>71940000</v>
      </c>
    </row>
    <row r="107" spans="1:7">
      <c r="A107" s="70">
        <v>21459</v>
      </c>
      <c r="B107">
        <v>49.98</v>
      </c>
      <c r="C107">
        <v>51.619999</v>
      </c>
      <c r="D107">
        <v>49.98</v>
      </c>
      <c r="E107">
        <v>51.330002</v>
      </c>
      <c r="F107">
        <v>51.330002</v>
      </c>
      <c r="G107">
        <v>95020000</v>
      </c>
    </row>
    <row r="108" spans="1:7">
      <c r="A108" s="70">
        <v>21490</v>
      </c>
      <c r="B108">
        <v>51.560001</v>
      </c>
      <c r="C108">
        <v>53.240001999999997</v>
      </c>
      <c r="D108">
        <v>51.02</v>
      </c>
      <c r="E108">
        <v>52.48</v>
      </c>
      <c r="F108">
        <v>52.48</v>
      </c>
      <c r="G108">
        <v>74350000</v>
      </c>
    </row>
    <row r="109" spans="1:7">
      <c r="A109" s="70">
        <v>21520</v>
      </c>
      <c r="B109">
        <v>52.689999</v>
      </c>
      <c r="C109">
        <v>55.209999000000003</v>
      </c>
      <c r="D109">
        <v>52.459999000000003</v>
      </c>
      <c r="E109">
        <v>55.209999000000003</v>
      </c>
      <c r="F109">
        <v>55.209999000000003</v>
      </c>
      <c r="G109">
        <v>75940000</v>
      </c>
    </row>
    <row r="110" spans="1:7">
      <c r="A110" s="70">
        <v>21551</v>
      </c>
      <c r="B110">
        <v>55.439999</v>
      </c>
      <c r="C110">
        <v>56.040000999999997</v>
      </c>
      <c r="D110">
        <v>54.889999000000003</v>
      </c>
      <c r="E110">
        <v>55.450001</v>
      </c>
      <c r="F110">
        <v>55.450001</v>
      </c>
      <c r="G110">
        <v>83240000</v>
      </c>
    </row>
    <row r="111" spans="1:7">
      <c r="A111" s="70">
        <v>21582</v>
      </c>
      <c r="B111">
        <v>55.209999000000003</v>
      </c>
      <c r="C111">
        <v>55.52</v>
      </c>
      <c r="D111">
        <v>53.580002</v>
      </c>
      <c r="E111">
        <v>55.41</v>
      </c>
      <c r="F111">
        <v>55.41</v>
      </c>
      <c r="G111">
        <v>65790000</v>
      </c>
    </row>
    <row r="112" spans="1:7">
      <c r="A112" s="70">
        <v>21610</v>
      </c>
      <c r="B112">
        <v>55.73</v>
      </c>
      <c r="C112">
        <v>56.669998</v>
      </c>
      <c r="D112">
        <v>55.439999</v>
      </c>
      <c r="E112">
        <v>55.439999</v>
      </c>
      <c r="F112">
        <v>55.439999</v>
      </c>
      <c r="G112">
        <v>82430000</v>
      </c>
    </row>
    <row r="113" spans="1:7">
      <c r="A113" s="70">
        <v>21641</v>
      </c>
      <c r="B113">
        <v>55.689999</v>
      </c>
      <c r="C113">
        <v>58.169998</v>
      </c>
      <c r="D113">
        <v>55.689999</v>
      </c>
      <c r="E113">
        <v>57.59</v>
      </c>
      <c r="F113">
        <v>57.59</v>
      </c>
      <c r="G113">
        <v>75840000</v>
      </c>
    </row>
    <row r="114" spans="1:7">
      <c r="A114" s="70">
        <v>21671</v>
      </c>
      <c r="B114">
        <v>57.650002000000001</v>
      </c>
      <c r="C114">
        <v>58.68</v>
      </c>
      <c r="D114">
        <v>56.880001</v>
      </c>
      <c r="E114">
        <v>58.68</v>
      </c>
      <c r="F114">
        <v>58.68</v>
      </c>
      <c r="G114">
        <v>70950000</v>
      </c>
    </row>
    <row r="115" spans="1:7">
      <c r="A115" s="70">
        <v>21702</v>
      </c>
      <c r="B115">
        <v>58.630001</v>
      </c>
      <c r="C115">
        <v>58.630001</v>
      </c>
      <c r="D115">
        <v>56.360000999999997</v>
      </c>
      <c r="E115">
        <v>58.470001000000003</v>
      </c>
      <c r="F115">
        <v>58.470001000000003</v>
      </c>
      <c r="G115">
        <v>64310000</v>
      </c>
    </row>
    <row r="116" spans="1:7">
      <c r="A116" s="70">
        <v>21732</v>
      </c>
      <c r="B116">
        <v>58.970001000000003</v>
      </c>
      <c r="C116">
        <v>60.619999</v>
      </c>
      <c r="D116">
        <v>58.91</v>
      </c>
      <c r="E116">
        <v>60.509998000000003</v>
      </c>
      <c r="F116">
        <v>60.509998000000003</v>
      </c>
      <c r="G116">
        <v>70900000</v>
      </c>
    </row>
    <row r="117" spans="1:7">
      <c r="A117" s="70">
        <v>21763</v>
      </c>
      <c r="B117">
        <v>60.709999000000003</v>
      </c>
      <c r="C117">
        <v>60.709999000000003</v>
      </c>
      <c r="D117">
        <v>58.27</v>
      </c>
      <c r="E117">
        <v>59.599997999999999</v>
      </c>
      <c r="F117">
        <v>59.599997999999999</v>
      </c>
      <c r="G117">
        <v>51050000</v>
      </c>
    </row>
    <row r="118" spans="1:7">
      <c r="A118" s="70">
        <v>21794</v>
      </c>
      <c r="B118">
        <v>58.869999</v>
      </c>
      <c r="C118">
        <v>58.919998</v>
      </c>
      <c r="D118">
        <v>55.139999000000003</v>
      </c>
      <c r="E118">
        <v>56.880001</v>
      </c>
      <c r="F118">
        <v>56.880001</v>
      </c>
      <c r="G118">
        <v>57500000</v>
      </c>
    </row>
    <row r="119" spans="1:7">
      <c r="A119" s="70">
        <v>21824</v>
      </c>
      <c r="B119">
        <v>56.939999</v>
      </c>
      <c r="C119">
        <v>57.52</v>
      </c>
      <c r="D119">
        <v>56</v>
      </c>
      <c r="E119">
        <v>57.52</v>
      </c>
      <c r="F119">
        <v>57.52</v>
      </c>
      <c r="G119">
        <v>61330000</v>
      </c>
    </row>
    <row r="120" spans="1:7">
      <c r="A120" s="70">
        <v>21855</v>
      </c>
      <c r="B120">
        <v>57.41</v>
      </c>
      <c r="C120">
        <v>58.279998999999997</v>
      </c>
      <c r="D120">
        <v>56.220001000000003</v>
      </c>
      <c r="E120">
        <v>58.279998999999997</v>
      </c>
      <c r="F120">
        <v>58.279998999999997</v>
      </c>
      <c r="G120">
        <v>64500000</v>
      </c>
    </row>
    <row r="121" spans="1:7">
      <c r="A121" s="70">
        <v>21885</v>
      </c>
      <c r="B121">
        <v>58.700001</v>
      </c>
      <c r="C121">
        <v>59.889999000000003</v>
      </c>
      <c r="D121">
        <v>58.599997999999999</v>
      </c>
      <c r="E121">
        <v>59.889999000000003</v>
      </c>
      <c r="F121">
        <v>59.889999000000003</v>
      </c>
      <c r="G121">
        <v>72210000</v>
      </c>
    </row>
    <row r="122" spans="1:7">
      <c r="A122" s="70">
        <v>21916</v>
      </c>
      <c r="B122">
        <v>59.91</v>
      </c>
      <c r="C122">
        <v>60.389999000000003</v>
      </c>
      <c r="D122">
        <v>55.610000999999997</v>
      </c>
      <c r="E122">
        <v>55.610000999999997</v>
      </c>
      <c r="F122">
        <v>55.610000999999997</v>
      </c>
      <c r="G122">
        <v>63920000</v>
      </c>
    </row>
    <row r="123" spans="1:7">
      <c r="A123" s="70">
        <v>21947</v>
      </c>
      <c r="B123">
        <v>55.959999000000003</v>
      </c>
      <c r="C123">
        <v>56.82</v>
      </c>
      <c r="D123">
        <v>54.73</v>
      </c>
      <c r="E123">
        <v>56.119999</v>
      </c>
      <c r="F123">
        <v>56.119999</v>
      </c>
      <c r="G123">
        <v>60500000</v>
      </c>
    </row>
    <row r="124" spans="1:7">
      <c r="A124" s="70">
        <v>21976</v>
      </c>
      <c r="B124">
        <v>56.009998000000003</v>
      </c>
      <c r="C124">
        <v>56.009998000000003</v>
      </c>
      <c r="D124">
        <v>53.470001000000003</v>
      </c>
      <c r="E124">
        <v>55.34</v>
      </c>
      <c r="F124">
        <v>55.34</v>
      </c>
      <c r="G124">
        <v>65710000</v>
      </c>
    </row>
    <row r="125" spans="1:7">
      <c r="A125" s="70">
        <v>22007</v>
      </c>
      <c r="B125">
        <v>55.43</v>
      </c>
      <c r="C125">
        <v>56.59</v>
      </c>
      <c r="D125">
        <v>54.369999</v>
      </c>
      <c r="E125">
        <v>54.369999</v>
      </c>
      <c r="F125">
        <v>54.369999</v>
      </c>
      <c r="G125">
        <v>57300000</v>
      </c>
    </row>
    <row r="126" spans="1:7">
      <c r="A126" s="70">
        <v>22037</v>
      </c>
      <c r="B126">
        <v>54.130001</v>
      </c>
      <c r="C126">
        <v>55.830002</v>
      </c>
      <c r="D126">
        <v>54.130001</v>
      </c>
      <c r="E126">
        <v>55.830002</v>
      </c>
      <c r="F126">
        <v>55.830002</v>
      </c>
      <c r="G126">
        <v>68790000</v>
      </c>
    </row>
    <row r="127" spans="1:7">
      <c r="A127" s="70">
        <v>22068</v>
      </c>
      <c r="B127">
        <v>55.889999000000003</v>
      </c>
      <c r="C127">
        <v>58</v>
      </c>
      <c r="D127">
        <v>55.889999000000003</v>
      </c>
      <c r="E127">
        <v>56.919998</v>
      </c>
      <c r="F127">
        <v>56.919998</v>
      </c>
      <c r="G127">
        <v>76480000</v>
      </c>
    </row>
    <row r="128" spans="1:7">
      <c r="A128" s="70">
        <v>22098</v>
      </c>
      <c r="B128">
        <v>57.060001</v>
      </c>
      <c r="C128">
        <v>57.380001</v>
      </c>
      <c r="D128">
        <v>54.169998</v>
      </c>
      <c r="E128">
        <v>55.509998000000003</v>
      </c>
      <c r="F128">
        <v>55.509998000000003</v>
      </c>
      <c r="G128">
        <v>53860000</v>
      </c>
    </row>
    <row r="129" spans="1:7">
      <c r="A129" s="70">
        <v>22129</v>
      </c>
      <c r="B129">
        <v>55.529998999999997</v>
      </c>
      <c r="C129">
        <v>58.07</v>
      </c>
      <c r="D129">
        <v>54.720001000000003</v>
      </c>
      <c r="E129">
        <v>56.959999000000003</v>
      </c>
      <c r="F129">
        <v>56.959999000000003</v>
      </c>
      <c r="G129">
        <v>65330000</v>
      </c>
    </row>
    <row r="130" spans="1:7">
      <c r="A130" s="70">
        <v>22160</v>
      </c>
      <c r="B130">
        <v>57.09</v>
      </c>
      <c r="C130">
        <v>57.09</v>
      </c>
      <c r="D130">
        <v>52.48</v>
      </c>
      <c r="E130">
        <v>53.52</v>
      </c>
      <c r="F130">
        <v>53.52</v>
      </c>
      <c r="G130">
        <v>60840000</v>
      </c>
    </row>
    <row r="131" spans="1:7">
      <c r="A131" s="70">
        <v>22190</v>
      </c>
      <c r="B131">
        <v>53.360000999999997</v>
      </c>
      <c r="C131">
        <v>54.860000999999997</v>
      </c>
      <c r="D131">
        <v>52.200001</v>
      </c>
      <c r="E131">
        <v>53.389999000000003</v>
      </c>
      <c r="F131">
        <v>53.389999000000003</v>
      </c>
      <c r="G131">
        <v>54370000</v>
      </c>
    </row>
    <row r="132" spans="1:7">
      <c r="A132" s="70">
        <v>22221</v>
      </c>
      <c r="B132">
        <v>53.939999</v>
      </c>
      <c r="C132">
        <v>56.43</v>
      </c>
      <c r="D132">
        <v>53.939999</v>
      </c>
      <c r="E132">
        <v>55.540000999999997</v>
      </c>
      <c r="F132">
        <v>55.540000999999997</v>
      </c>
      <c r="G132">
        <v>62010000</v>
      </c>
    </row>
    <row r="133" spans="1:7">
      <c r="A133" s="70">
        <v>22251</v>
      </c>
      <c r="B133">
        <v>55.299999</v>
      </c>
      <c r="C133">
        <v>58.110000999999997</v>
      </c>
      <c r="D133">
        <v>55.299999</v>
      </c>
      <c r="E133">
        <v>58.110000999999997</v>
      </c>
      <c r="F133">
        <v>58.110000999999997</v>
      </c>
      <c r="G133">
        <v>77330000</v>
      </c>
    </row>
    <row r="134" spans="1:7">
      <c r="A134" s="70">
        <v>22282</v>
      </c>
      <c r="B134">
        <v>57.57</v>
      </c>
      <c r="C134">
        <v>61.970001000000003</v>
      </c>
      <c r="D134">
        <v>57.57</v>
      </c>
      <c r="E134">
        <v>61.779998999999997</v>
      </c>
      <c r="F134">
        <v>61.779998999999997</v>
      </c>
      <c r="G134">
        <v>89010000</v>
      </c>
    </row>
    <row r="135" spans="1:7">
      <c r="A135" s="70">
        <v>22313</v>
      </c>
      <c r="B135">
        <v>61.900002000000001</v>
      </c>
      <c r="C135">
        <v>63.439999</v>
      </c>
      <c r="D135">
        <v>61.139999000000003</v>
      </c>
      <c r="E135">
        <v>63.439999</v>
      </c>
      <c r="F135">
        <v>63.439999</v>
      </c>
      <c r="G135">
        <v>92730000</v>
      </c>
    </row>
    <row r="136" spans="1:7">
      <c r="A136" s="70">
        <v>22341</v>
      </c>
      <c r="B136">
        <v>63.43</v>
      </c>
      <c r="C136">
        <v>65.059997999999993</v>
      </c>
      <c r="D136">
        <v>63.380001</v>
      </c>
      <c r="E136">
        <v>65.059997999999993</v>
      </c>
      <c r="F136">
        <v>65.059997999999993</v>
      </c>
      <c r="G136">
        <v>115050000</v>
      </c>
    </row>
    <row r="137" spans="1:7">
      <c r="A137" s="70">
        <v>22372</v>
      </c>
      <c r="B137">
        <v>65.599997999999999</v>
      </c>
      <c r="C137">
        <v>68.680000000000007</v>
      </c>
      <c r="D137">
        <v>64.400002000000001</v>
      </c>
      <c r="E137">
        <v>65.309997999999993</v>
      </c>
      <c r="F137">
        <v>65.309997999999993</v>
      </c>
      <c r="G137">
        <v>101760000</v>
      </c>
    </row>
    <row r="138" spans="1:7">
      <c r="A138" s="70">
        <v>22402</v>
      </c>
      <c r="B138">
        <v>65.169998000000007</v>
      </c>
      <c r="C138">
        <v>67.389999000000003</v>
      </c>
      <c r="D138">
        <v>65.169998000000007</v>
      </c>
      <c r="E138">
        <v>66.559997999999993</v>
      </c>
      <c r="F138">
        <v>66.559997999999993</v>
      </c>
      <c r="G138">
        <v>96940000</v>
      </c>
    </row>
    <row r="139" spans="1:7">
      <c r="A139" s="70">
        <v>22433</v>
      </c>
      <c r="B139">
        <v>66.559997999999993</v>
      </c>
      <c r="C139">
        <v>67.080001999999993</v>
      </c>
      <c r="D139">
        <v>64.470000999999996</v>
      </c>
      <c r="E139">
        <v>64.639999000000003</v>
      </c>
      <c r="F139">
        <v>64.639999000000003</v>
      </c>
      <c r="G139">
        <v>73090000</v>
      </c>
    </row>
    <row r="140" spans="1:7">
      <c r="A140" s="70">
        <v>22463</v>
      </c>
      <c r="B140">
        <v>65.209998999999996</v>
      </c>
      <c r="C140">
        <v>66.760002</v>
      </c>
      <c r="D140">
        <v>64.410004000000001</v>
      </c>
      <c r="E140">
        <v>66.760002</v>
      </c>
      <c r="F140">
        <v>66.760002</v>
      </c>
      <c r="G140">
        <v>60840000</v>
      </c>
    </row>
    <row r="141" spans="1:7">
      <c r="A141" s="70">
        <v>22494</v>
      </c>
      <c r="B141">
        <v>67.370002999999997</v>
      </c>
      <c r="C141">
        <v>68.440002000000007</v>
      </c>
      <c r="D141">
        <v>66.940002000000007</v>
      </c>
      <c r="E141">
        <v>68.069999999999993</v>
      </c>
      <c r="F141">
        <v>68.069999999999993</v>
      </c>
      <c r="G141">
        <v>81490000</v>
      </c>
    </row>
    <row r="142" spans="1:7">
      <c r="A142" s="70">
        <v>22525</v>
      </c>
      <c r="B142">
        <v>68.190002000000007</v>
      </c>
      <c r="C142">
        <v>68.459998999999996</v>
      </c>
      <c r="D142">
        <v>65.769997000000004</v>
      </c>
      <c r="E142">
        <v>66.730002999999996</v>
      </c>
      <c r="F142">
        <v>66.730002999999996</v>
      </c>
      <c r="G142">
        <v>63820000</v>
      </c>
    </row>
    <row r="143" spans="1:7">
      <c r="A143" s="70">
        <v>22555</v>
      </c>
      <c r="B143">
        <v>66.769997000000004</v>
      </c>
      <c r="C143">
        <v>68.620002999999997</v>
      </c>
      <c r="D143">
        <v>66.730002999999996</v>
      </c>
      <c r="E143">
        <v>68.620002999999997</v>
      </c>
      <c r="F143">
        <v>68.620002999999997</v>
      </c>
      <c r="G143">
        <v>72980000</v>
      </c>
    </row>
    <row r="144" spans="1:7">
      <c r="A144" s="70">
        <v>22586</v>
      </c>
      <c r="B144">
        <v>68.730002999999996</v>
      </c>
      <c r="C144">
        <v>71.849997999999999</v>
      </c>
      <c r="D144">
        <v>68.730002999999996</v>
      </c>
      <c r="E144">
        <v>71.319999999999993</v>
      </c>
      <c r="F144">
        <v>71.319999999999993</v>
      </c>
      <c r="G144">
        <v>87770000</v>
      </c>
    </row>
    <row r="145" spans="1:7">
      <c r="A145" s="70">
        <v>22616</v>
      </c>
      <c r="B145">
        <v>71.779999000000004</v>
      </c>
      <c r="C145">
        <v>72.639999000000003</v>
      </c>
      <c r="D145">
        <v>70.860000999999997</v>
      </c>
      <c r="E145">
        <v>71.550003000000004</v>
      </c>
      <c r="F145">
        <v>71.550003000000004</v>
      </c>
      <c r="G145">
        <v>82380000</v>
      </c>
    </row>
    <row r="146" spans="1:7">
      <c r="A146" s="70">
        <v>22647</v>
      </c>
      <c r="B146">
        <v>71.550003000000004</v>
      </c>
      <c r="C146">
        <v>71.959998999999996</v>
      </c>
      <c r="D146">
        <v>67.550003000000004</v>
      </c>
      <c r="E146">
        <v>68.839995999999999</v>
      </c>
      <c r="F146">
        <v>68.839995999999999</v>
      </c>
      <c r="G146">
        <v>80790000</v>
      </c>
    </row>
    <row r="147" spans="1:7">
      <c r="A147" s="70">
        <v>22678</v>
      </c>
      <c r="B147">
        <v>68.839995999999999</v>
      </c>
      <c r="C147">
        <v>71.129997000000003</v>
      </c>
      <c r="D147">
        <v>68.559997999999993</v>
      </c>
      <c r="E147">
        <v>69.959998999999996</v>
      </c>
      <c r="F147">
        <v>69.959998999999996</v>
      </c>
      <c r="G147">
        <v>66130000</v>
      </c>
    </row>
    <row r="148" spans="1:7">
      <c r="A148" s="70">
        <v>22706</v>
      </c>
      <c r="B148">
        <v>69.959998999999996</v>
      </c>
      <c r="C148">
        <v>71.440002000000007</v>
      </c>
      <c r="D148">
        <v>69.160004000000001</v>
      </c>
      <c r="E148">
        <v>69.550003000000004</v>
      </c>
      <c r="F148">
        <v>69.550003000000004</v>
      </c>
      <c r="G148">
        <v>68440000</v>
      </c>
    </row>
    <row r="149" spans="1:7">
      <c r="A149" s="70">
        <v>22737</v>
      </c>
      <c r="B149">
        <v>69.550003000000004</v>
      </c>
      <c r="C149">
        <v>69.819999999999993</v>
      </c>
      <c r="D149">
        <v>64.949996999999996</v>
      </c>
      <c r="E149">
        <v>65.239998</v>
      </c>
      <c r="F149">
        <v>65.239998</v>
      </c>
      <c r="G149">
        <v>65240000</v>
      </c>
    </row>
    <row r="150" spans="1:7">
      <c r="A150" s="70">
        <v>22767</v>
      </c>
      <c r="B150">
        <v>65.239998</v>
      </c>
      <c r="C150">
        <v>66.930000000000007</v>
      </c>
      <c r="D150">
        <v>53.130001</v>
      </c>
      <c r="E150">
        <v>59.630001</v>
      </c>
      <c r="F150">
        <v>59.630001</v>
      </c>
      <c r="G150">
        <v>111030000</v>
      </c>
    </row>
    <row r="151" spans="1:7">
      <c r="A151" s="70">
        <v>22798</v>
      </c>
      <c r="B151">
        <v>59.630001</v>
      </c>
      <c r="C151">
        <v>59.959999000000003</v>
      </c>
      <c r="D151">
        <v>51.349997999999999</v>
      </c>
      <c r="E151">
        <v>54.75</v>
      </c>
      <c r="F151">
        <v>54.75</v>
      </c>
      <c r="G151">
        <v>100160000</v>
      </c>
    </row>
    <row r="152" spans="1:7">
      <c r="A152" s="70">
        <v>22828</v>
      </c>
      <c r="B152">
        <v>54.75</v>
      </c>
      <c r="C152">
        <v>58.669998</v>
      </c>
      <c r="D152">
        <v>54.470001000000003</v>
      </c>
      <c r="E152">
        <v>58.23</v>
      </c>
      <c r="F152">
        <v>58.23</v>
      </c>
      <c r="G152">
        <v>74160000</v>
      </c>
    </row>
    <row r="153" spans="1:7">
      <c r="A153" s="70">
        <v>22859</v>
      </c>
      <c r="B153">
        <v>58.23</v>
      </c>
      <c r="C153">
        <v>60.330002</v>
      </c>
      <c r="D153">
        <v>56.759998000000003</v>
      </c>
      <c r="E153">
        <v>59.119999</v>
      </c>
      <c r="F153">
        <v>59.119999</v>
      </c>
      <c r="G153">
        <v>80400000</v>
      </c>
    </row>
    <row r="154" spans="1:7">
      <c r="A154" s="70">
        <v>22890</v>
      </c>
      <c r="B154">
        <v>59.119999</v>
      </c>
      <c r="C154">
        <v>59.540000999999997</v>
      </c>
      <c r="D154">
        <v>55.529998999999997</v>
      </c>
      <c r="E154">
        <v>56.27</v>
      </c>
      <c r="F154">
        <v>56.27</v>
      </c>
      <c r="G154">
        <v>62890000</v>
      </c>
    </row>
    <row r="155" spans="1:7">
      <c r="A155" s="70">
        <v>22920</v>
      </c>
      <c r="B155">
        <v>56.27</v>
      </c>
      <c r="C155">
        <v>57.830002</v>
      </c>
      <c r="D155">
        <v>52.549999</v>
      </c>
      <c r="E155">
        <v>56.52</v>
      </c>
      <c r="F155">
        <v>56.52</v>
      </c>
      <c r="G155">
        <v>78690000</v>
      </c>
    </row>
    <row r="156" spans="1:7">
      <c r="A156" s="70">
        <v>22951</v>
      </c>
      <c r="B156">
        <v>56.52</v>
      </c>
      <c r="C156">
        <v>62.779998999999997</v>
      </c>
      <c r="D156">
        <v>55.900002000000001</v>
      </c>
      <c r="E156">
        <v>62.259998000000003</v>
      </c>
      <c r="F156">
        <v>62.259998000000003</v>
      </c>
      <c r="G156">
        <v>96020000</v>
      </c>
    </row>
    <row r="157" spans="1:7">
      <c r="A157" s="70">
        <v>22981</v>
      </c>
      <c r="B157">
        <v>62.259998000000003</v>
      </c>
      <c r="C157">
        <v>63.5</v>
      </c>
      <c r="D157">
        <v>61.279998999999997</v>
      </c>
      <c r="E157">
        <v>63.099997999999999</v>
      </c>
      <c r="F157">
        <v>63.099997999999999</v>
      </c>
      <c r="G157">
        <v>80870000</v>
      </c>
    </row>
    <row r="158" spans="1:7">
      <c r="A158" s="70">
        <v>23012</v>
      </c>
      <c r="B158">
        <v>63.099997999999999</v>
      </c>
      <c r="C158">
        <v>66.589995999999999</v>
      </c>
      <c r="D158">
        <v>62.32</v>
      </c>
      <c r="E158">
        <v>66.199996999999996</v>
      </c>
      <c r="F158">
        <v>66.199996999999996</v>
      </c>
      <c r="G158">
        <v>101970000</v>
      </c>
    </row>
    <row r="159" spans="1:7">
      <c r="A159" s="70">
        <v>23043</v>
      </c>
      <c r="B159">
        <v>66.309997999999993</v>
      </c>
      <c r="C159">
        <v>66.959998999999996</v>
      </c>
      <c r="D159">
        <v>64.080001999999993</v>
      </c>
      <c r="E159">
        <v>64.290001000000004</v>
      </c>
      <c r="F159">
        <v>64.290001000000004</v>
      </c>
      <c r="G159">
        <v>79120000</v>
      </c>
    </row>
    <row r="160" spans="1:7">
      <c r="A160" s="70">
        <v>23071</v>
      </c>
      <c r="B160">
        <v>64.290001000000004</v>
      </c>
      <c r="C160">
        <v>67.010002</v>
      </c>
      <c r="D160">
        <v>63.799999</v>
      </c>
      <c r="E160">
        <v>66.569999999999993</v>
      </c>
      <c r="F160">
        <v>66.569999999999993</v>
      </c>
      <c r="G160">
        <v>74760000</v>
      </c>
    </row>
    <row r="161" spans="1:7">
      <c r="A161" s="70">
        <v>23102</v>
      </c>
      <c r="B161">
        <v>66.569999999999993</v>
      </c>
      <c r="C161">
        <v>70.180000000000007</v>
      </c>
      <c r="D161">
        <v>66.230002999999996</v>
      </c>
      <c r="E161">
        <v>69.800003000000004</v>
      </c>
      <c r="F161">
        <v>69.800003000000004</v>
      </c>
      <c r="G161">
        <v>106290000</v>
      </c>
    </row>
    <row r="162" spans="1:7">
      <c r="A162" s="70">
        <v>23132</v>
      </c>
      <c r="B162">
        <v>69.800003000000004</v>
      </c>
      <c r="C162">
        <v>71.139999000000003</v>
      </c>
      <c r="D162">
        <v>69.029999000000004</v>
      </c>
      <c r="E162">
        <v>70.800003000000004</v>
      </c>
      <c r="F162">
        <v>70.800003000000004</v>
      </c>
      <c r="G162">
        <v>105070000</v>
      </c>
    </row>
    <row r="163" spans="1:7">
      <c r="A163" s="70">
        <v>23163</v>
      </c>
      <c r="B163">
        <v>70.800003000000004</v>
      </c>
      <c r="C163">
        <v>71.239998</v>
      </c>
      <c r="D163">
        <v>68.779999000000004</v>
      </c>
      <c r="E163">
        <v>69.370002999999997</v>
      </c>
      <c r="F163">
        <v>69.370002999999997</v>
      </c>
      <c r="G163">
        <v>90580000</v>
      </c>
    </row>
    <row r="164" spans="1:7">
      <c r="A164" s="70">
        <v>23193</v>
      </c>
      <c r="B164">
        <v>69.370002999999997</v>
      </c>
      <c r="C164">
        <v>70.480002999999996</v>
      </c>
      <c r="D164">
        <v>67.540001000000004</v>
      </c>
      <c r="E164">
        <v>69.129997000000003</v>
      </c>
      <c r="F164">
        <v>69.129997000000003</v>
      </c>
      <c r="G164">
        <v>76310000</v>
      </c>
    </row>
    <row r="165" spans="1:7">
      <c r="A165" s="70">
        <v>23224</v>
      </c>
      <c r="B165">
        <v>69.129997000000003</v>
      </c>
      <c r="C165">
        <v>72.709998999999996</v>
      </c>
      <c r="D165">
        <v>68.639999000000003</v>
      </c>
      <c r="E165">
        <v>72.5</v>
      </c>
      <c r="F165">
        <v>72.5</v>
      </c>
      <c r="G165">
        <v>91650000</v>
      </c>
    </row>
    <row r="166" spans="1:7">
      <c r="A166" s="70">
        <v>23255</v>
      </c>
      <c r="B166">
        <v>72.5</v>
      </c>
      <c r="C166">
        <v>73.870002999999997</v>
      </c>
      <c r="D166">
        <v>71.279999000000004</v>
      </c>
      <c r="E166">
        <v>71.699996999999996</v>
      </c>
      <c r="F166">
        <v>71.699996999999996</v>
      </c>
      <c r="G166">
        <v>106620000</v>
      </c>
    </row>
    <row r="167" spans="1:7">
      <c r="A167" s="70">
        <v>23285</v>
      </c>
      <c r="B167">
        <v>71.699996999999996</v>
      </c>
      <c r="C167">
        <v>75.180000000000007</v>
      </c>
      <c r="D167">
        <v>71.569999999999993</v>
      </c>
      <c r="E167">
        <v>74.010002</v>
      </c>
      <c r="F167">
        <v>74.010002</v>
      </c>
      <c r="G167">
        <v>122360000</v>
      </c>
    </row>
    <row r="168" spans="1:7">
      <c r="A168" s="70">
        <v>23316</v>
      </c>
      <c r="B168">
        <v>74.010002</v>
      </c>
      <c r="C168">
        <v>74.440002000000007</v>
      </c>
      <c r="D168">
        <v>69.480002999999996</v>
      </c>
      <c r="E168">
        <v>73.230002999999996</v>
      </c>
      <c r="F168">
        <v>73.230002999999996</v>
      </c>
      <c r="G168">
        <v>93990000</v>
      </c>
    </row>
    <row r="169" spans="1:7">
      <c r="A169" s="70">
        <v>23346</v>
      </c>
      <c r="B169">
        <v>73.230002999999996</v>
      </c>
      <c r="C169">
        <v>75.360000999999997</v>
      </c>
      <c r="D169">
        <v>73.019997000000004</v>
      </c>
      <c r="E169">
        <v>75.019997000000004</v>
      </c>
      <c r="F169">
        <v>75.019997000000004</v>
      </c>
      <c r="G169">
        <v>98660000</v>
      </c>
    </row>
    <row r="170" spans="1:7">
      <c r="A170" s="70">
        <v>23377</v>
      </c>
      <c r="B170">
        <v>75.019997000000004</v>
      </c>
      <c r="C170">
        <v>77.779999000000004</v>
      </c>
      <c r="D170">
        <v>74.819999999999993</v>
      </c>
      <c r="E170">
        <v>77.040001000000004</v>
      </c>
      <c r="F170">
        <v>77.040001000000004</v>
      </c>
      <c r="G170">
        <v>116620000</v>
      </c>
    </row>
    <row r="171" spans="1:7">
      <c r="A171" s="70">
        <v>23408</v>
      </c>
      <c r="B171">
        <v>77.040001000000004</v>
      </c>
      <c r="C171">
        <v>78.309997999999993</v>
      </c>
      <c r="D171">
        <v>76.360000999999997</v>
      </c>
      <c r="E171">
        <v>77.800003000000004</v>
      </c>
      <c r="F171">
        <v>77.800003000000004</v>
      </c>
      <c r="G171">
        <v>88110000</v>
      </c>
    </row>
    <row r="172" spans="1:7">
      <c r="A172" s="70">
        <v>23437</v>
      </c>
      <c r="B172">
        <v>77.800003000000004</v>
      </c>
      <c r="C172">
        <v>79.889999000000003</v>
      </c>
      <c r="D172">
        <v>77.5</v>
      </c>
      <c r="E172">
        <v>78.980002999999996</v>
      </c>
      <c r="F172">
        <v>78.980002999999996</v>
      </c>
      <c r="G172">
        <v>113760000</v>
      </c>
    </row>
    <row r="173" spans="1:7">
      <c r="A173" s="70">
        <v>23468</v>
      </c>
      <c r="B173">
        <v>78.980002999999996</v>
      </c>
      <c r="C173">
        <v>81.199996999999996</v>
      </c>
      <c r="D173">
        <v>78.669998000000007</v>
      </c>
      <c r="E173">
        <v>79.459998999999996</v>
      </c>
      <c r="F173">
        <v>79.459998999999996</v>
      </c>
      <c r="G173">
        <v>123490000</v>
      </c>
    </row>
    <row r="174" spans="1:7">
      <c r="A174" s="70">
        <v>23498</v>
      </c>
      <c r="B174">
        <v>79.459998999999996</v>
      </c>
      <c r="C174">
        <v>81.809997999999993</v>
      </c>
      <c r="D174">
        <v>79.459998999999996</v>
      </c>
      <c r="E174">
        <v>80.370002999999997</v>
      </c>
      <c r="F174">
        <v>80.370002999999997</v>
      </c>
      <c r="G174">
        <v>99150000</v>
      </c>
    </row>
    <row r="175" spans="1:7">
      <c r="A175" s="70">
        <v>23529</v>
      </c>
      <c r="B175">
        <v>80.370002999999997</v>
      </c>
      <c r="C175">
        <v>82.099997999999999</v>
      </c>
      <c r="D175">
        <v>78.150002000000001</v>
      </c>
      <c r="E175">
        <v>81.690002000000007</v>
      </c>
      <c r="F175">
        <v>81.690002000000007</v>
      </c>
      <c r="G175">
        <v>96150000</v>
      </c>
    </row>
    <row r="176" spans="1:7">
      <c r="A176" s="70">
        <v>23559</v>
      </c>
      <c r="B176">
        <v>81.690002000000007</v>
      </c>
      <c r="C176">
        <v>84.330001999999993</v>
      </c>
      <c r="D176">
        <v>81.459998999999996</v>
      </c>
      <c r="E176">
        <v>83.18</v>
      </c>
      <c r="F176">
        <v>83.18</v>
      </c>
      <c r="G176">
        <v>102590000</v>
      </c>
    </row>
    <row r="177" spans="1:7">
      <c r="A177" s="70">
        <v>23590</v>
      </c>
      <c r="B177">
        <v>83.18</v>
      </c>
      <c r="C177">
        <v>83.489998</v>
      </c>
      <c r="D177">
        <v>80.800003000000004</v>
      </c>
      <c r="E177">
        <v>81.830001999999993</v>
      </c>
      <c r="F177">
        <v>81.830001999999993</v>
      </c>
      <c r="G177">
        <v>82280000</v>
      </c>
    </row>
    <row r="178" spans="1:7">
      <c r="A178" s="70">
        <v>23621</v>
      </c>
      <c r="B178">
        <v>81.830001999999993</v>
      </c>
      <c r="C178">
        <v>84.800003000000004</v>
      </c>
      <c r="D178">
        <v>81.569999999999993</v>
      </c>
      <c r="E178">
        <v>84.18</v>
      </c>
      <c r="F178">
        <v>84.18</v>
      </c>
      <c r="G178">
        <v>109770000</v>
      </c>
    </row>
    <row r="179" spans="1:7">
      <c r="A179" s="70">
        <v>23651</v>
      </c>
      <c r="B179">
        <v>84.18</v>
      </c>
      <c r="C179">
        <v>85.699996999999996</v>
      </c>
      <c r="D179">
        <v>83.650002000000001</v>
      </c>
      <c r="E179">
        <v>84.860000999999997</v>
      </c>
      <c r="F179">
        <v>84.860000999999997</v>
      </c>
      <c r="G179">
        <v>106550000</v>
      </c>
    </row>
    <row r="180" spans="1:7">
      <c r="A180" s="70">
        <v>23682</v>
      </c>
      <c r="B180">
        <v>84.860000999999997</v>
      </c>
      <c r="C180">
        <v>86.800003000000004</v>
      </c>
      <c r="D180">
        <v>84.099997999999999</v>
      </c>
      <c r="E180">
        <v>84.419998000000007</v>
      </c>
      <c r="F180">
        <v>84.419998000000007</v>
      </c>
      <c r="G180">
        <v>93640000</v>
      </c>
    </row>
    <row r="181" spans="1:7">
      <c r="A181" s="70">
        <v>23712</v>
      </c>
      <c r="B181">
        <v>84.419998000000007</v>
      </c>
      <c r="C181">
        <v>85.18</v>
      </c>
      <c r="D181">
        <v>82.650002000000001</v>
      </c>
      <c r="E181">
        <v>84.75</v>
      </c>
      <c r="F181">
        <v>84.75</v>
      </c>
      <c r="G181">
        <v>104010000</v>
      </c>
    </row>
    <row r="182" spans="1:7">
      <c r="A182" s="70">
        <v>23743</v>
      </c>
      <c r="B182">
        <v>84.75</v>
      </c>
      <c r="C182">
        <v>88.190002000000007</v>
      </c>
      <c r="D182">
        <v>83.769997000000004</v>
      </c>
      <c r="E182">
        <v>87.559997999999993</v>
      </c>
      <c r="F182">
        <v>87.559997999999993</v>
      </c>
      <c r="G182">
        <v>109130000</v>
      </c>
    </row>
    <row r="183" spans="1:7">
      <c r="A183" s="70">
        <v>23774</v>
      </c>
      <c r="B183">
        <v>87.559997999999993</v>
      </c>
      <c r="C183">
        <v>88.059997999999993</v>
      </c>
      <c r="D183">
        <v>85.25</v>
      </c>
      <c r="E183">
        <v>87.43</v>
      </c>
      <c r="F183">
        <v>87.43</v>
      </c>
      <c r="G183">
        <v>112280000</v>
      </c>
    </row>
    <row r="184" spans="1:7">
      <c r="A184" s="70">
        <v>23802</v>
      </c>
      <c r="B184">
        <v>87.43</v>
      </c>
      <c r="C184">
        <v>87.93</v>
      </c>
      <c r="D184">
        <v>85.650002000000001</v>
      </c>
      <c r="E184">
        <v>86.160004000000001</v>
      </c>
      <c r="F184">
        <v>86.160004000000001</v>
      </c>
      <c r="G184">
        <v>124830000</v>
      </c>
    </row>
    <row r="185" spans="1:7">
      <c r="A185" s="70">
        <v>23833</v>
      </c>
      <c r="B185">
        <v>86.160004000000001</v>
      </c>
      <c r="C185">
        <v>89.639999000000003</v>
      </c>
      <c r="D185">
        <v>85.870002999999997</v>
      </c>
      <c r="E185">
        <v>89.110000999999997</v>
      </c>
      <c r="F185">
        <v>89.110000999999997</v>
      </c>
      <c r="G185">
        <v>119120000</v>
      </c>
    </row>
    <row r="186" spans="1:7">
      <c r="A186" s="70">
        <v>23863</v>
      </c>
      <c r="B186">
        <v>89.110000999999997</v>
      </c>
      <c r="C186">
        <v>90.68</v>
      </c>
      <c r="D186">
        <v>87.239998</v>
      </c>
      <c r="E186">
        <v>88.419998000000007</v>
      </c>
      <c r="F186">
        <v>88.419998000000007</v>
      </c>
      <c r="G186">
        <v>110190000</v>
      </c>
    </row>
    <row r="187" spans="1:7">
      <c r="A187" s="70">
        <v>23894</v>
      </c>
      <c r="B187">
        <v>88.419998000000007</v>
      </c>
      <c r="C187">
        <v>88.800003000000004</v>
      </c>
      <c r="D187">
        <v>80.730002999999996</v>
      </c>
      <c r="E187">
        <v>84.120002999999997</v>
      </c>
      <c r="F187">
        <v>84.120002999999997</v>
      </c>
      <c r="G187">
        <v>128160000</v>
      </c>
    </row>
    <row r="188" spans="1:7">
      <c r="A188" s="70">
        <v>23924</v>
      </c>
      <c r="B188">
        <v>84.120002999999997</v>
      </c>
      <c r="C188">
        <v>86.470000999999996</v>
      </c>
      <c r="D188">
        <v>83.300003000000004</v>
      </c>
      <c r="E188">
        <v>85.25</v>
      </c>
      <c r="F188">
        <v>85.25</v>
      </c>
      <c r="G188">
        <v>85150000</v>
      </c>
    </row>
    <row r="189" spans="1:7">
      <c r="A189" s="70">
        <v>23955</v>
      </c>
      <c r="B189">
        <v>85.25</v>
      </c>
      <c r="C189">
        <v>87.790001000000004</v>
      </c>
      <c r="D189">
        <v>84.800003000000004</v>
      </c>
      <c r="E189">
        <v>87.169998000000007</v>
      </c>
      <c r="F189">
        <v>87.169998000000007</v>
      </c>
      <c r="G189">
        <v>109070000</v>
      </c>
    </row>
    <row r="190" spans="1:7">
      <c r="A190" s="70">
        <v>23986</v>
      </c>
      <c r="B190">
        <v>87.169998000000007</v>
      </c>
      <c r="C190">
        <v>91.129997000000003</v>
      </c>
      <c r="D190">
        <v>86.690002000000007</v>
      </c>
      <c r="E190">
        <v>89.959998999999996</v>
      </c>
      <c r="F190">
        <v>89.959998999999996</v>
      </c>
      <c r="G190">
        <v>155180000</v>
      </c>
    </row>
    <row r="191" spans="1:7">
      <c r="A191" s="70">
        <v>24016</v>
      </c>
      <c r="B191">
        <v>89.959998999999996</v>
      </c>
      <c r="C191">
        <v>93.190002000000007</v>
      </c>
      <c r="D191">
        <v>89.300003000000004</v>
      </c>
      <c r="E191">
        <v>92.419998000000007</v>
      </c>
      <c r="F191">
        <v>92.419998000000007</v>
      </c>
      <c r="G191">
        <v>164090000</v>
      </c>
    </row>
    <row r="192" spans="1:7">
      <c r="A192" s="70">
        <v>24047</v>
      </c>
      <c r="B192">
        <v>92.419998000000007</v>
      </c>
      <c r="C192">
        <v>93.300003000000004</v>
      </c>
      <c r="D192">
        <v>90.809997999999993</v>
      </c>
      <c r="E192">
        <v>91.610000999999997</v>
      </c>
      <c r="F192">
        <v>91.610000999999997</v>
      </c>
      <c r="G192">
        <v>147110000</v>
      </c>
    </row>
    <row r="193" spans="1:7">
      <c r="A193" s="70">
        <v>24077</v>
      </c>
      <c r="B193">
        <v>91.610000999999997</v>
      </c>
      <c r="C193">
        <v>93.07</v>
      </c>
      <c r="D193">
        <v>89.199996999999996</v>
      </c>
      <c r="E193">
        <v>92.43</v>
      </c>
      <c r="F193">
        <v>92.43</v>
      </c>
      <c r="G193">
        <v>191050000</v>
      </c>
    </row>
    <row r="194" spans="1:7">
      <c r="A194" s="70">
        <v>24108</v>
      </c>
      <c r="B194">
        <v>92.43</v>
      </c>
      <c r="C194">
        <v>94.639999000000003</v>
      </c>
      <c r="D194">
        <v>91.629997000000003</v>
      </c>
      <c r="E194">
        <v>92.879997000000003</v>
      </c>
      <c r="F194">
        <v>92.879997000000003</v>
      </c>
      <c r="G194">
        <v>182910000</v>
      </c>
    </row>
    <row r="195" spans="1:7">
      <c r="A195" s="70">
        <v>24139</v>
      </c>
      <c r="B195">
        <v>92.879997000000003</v>
      </c>
      <c r="C195">
        <v>94.720000999999996</v>
      </c>
      <c r="D195">
        <v>90.43</v>
      </c>
      <c r="E195">
        <v>91.220000999999996</v>
      </c>
      <c r="F195">
        <v>91.220000999999996</v>
      </c>
      <c r="G195">
        <v>165790000</v>
      </c>
    </row>
    <row r="196" spans="1:7">
      <c r="A196" s="70">
        <v>24167</v>
      </c>
      <c r="B196">
        <v>91.220000999999996</v>
      </c>
      <c r="C196">
        <v>91.650002000000001</v>
      </c>
      <c r="D196">
        <v>86.690002000000007</v>
      </c>
      <c r="E196">
        <v>89.230002999999996</v>
      </c>
      <c r="F196">
        <v>89.230002999999996</v>
      </c>
      <c r="G196">
        <v>191360000</v>
      </c>
    </row>
    <row r="197" spans="1:7">
      <c r="A197" s="70">
        <v>24198</v>
      </c>
      <c r="B197">
        <v>89.230002999999996</v>
      </c>
      <c r="C197">
        <v>93.019997000000004</v>
      </c>
      <c r="D197">
        <v>88.959998999999996</v>
      </c>
      <c r="E197">
        <v>91.059997999999993</v>
      </c>
      <c r="F197">
        <v>91.059997999999993</v>
      </c>
      <c r="G197">
        <v>186160000</v>
      </c>
    </row>
    <row r="198" spans="1:7">
      <c r="A198" s="70">
        <v>24228</v>
      </c>
      <c r="B198">
        <v>91.059997999999993</v>
      </c>
      <c r="C198">
        <v>91.75</v>
      </c>
      <c r="D198">
        <v>83.18</v>
      </c>
      <c r="E198">
        <v>86.129997000000003</v>
      </c>
      <c r="F198">
        <v>86.129997000000003</v>
      </c>
      <c r="G198">
        <v>171290000</v>
      </c>
    </row>
    <row r="199" spans="1:7">
      <c r="A199" s="70">
        <v>24259</v>
      </c>
      <c r="B199">
        <v>86.129997000000003</v>
      </c>
      <c r="C199">
        <v>87.739998</v>
      </c>
      <c r="D199">
        <v>83.75</v>
      </c>
      <c r="E199">
        <v>84.739998</v>
      </c>
      <c r="F199">
        <v>84.739998</v>
      </c>
      <c r="G199">
        <v>140450000</v>
      </c>
    </row>
    <row r="200" spans="1:7">
      <c r="A200" s="70">
        <v>24289</v>
      </c>
      <c r="B200">
        <v>84.739998</v>
      </c>
      <c r="C200">
        <v>88.190002000000007</v>
      </c>
      <c r="D200">
        <v>83.050003000000004</v>
      </c>
      <c r="E200">
        <v>83.599997999999999</v>
      </c>
      <c r="F200">
        <v>83.599997999999999</v>
      </c>
      <c r="G200">
        <v>119810000</v>
      </c>
    </row>
    <row r="201" spans="1:7">
      <c r="A201" s="70">
        <v>24320</v>
      </c>
      <c r="B201">
        <v>83.5</v>
      </c>
      <c r="C201">
        <v>84.699996999999996</v>
      </c>
      <c r="D201">
        <v>73.910004000000001</v>
      </c>
      <c r="E201">
        <v>77.099997999999999</v>
      </c>
      <c r="F201">
        <v>77.099997999999999</v>
      </c>
      <c r="G201">
        <v>162430000</v>
      </c>
    </row>
    <row r="202" spans="1:7">
      <c r="A202" s="70">
        <v>24351</v>
      </c>
      <c r="B202">
        <v>77.099997999999999</v>
      </c>
      <c r="C202">
        <v>80.809997999999993</v>
      </c>
      <c r="D202">
        <v>75.029999000000004</v>
      </c>
      <c r="E202">
        <v>76.559997999999993</v>
      </c>
      <c r="F202">
        <v>76.559997999999993</v>
      </c>
      <c r="G202">
        <v>120030000</v>
      </c>
    </row>
    <row r="203" spans="1:7">
      <c r="A203" s="70">
        <v>24381</v>
      </c>
      <c r="B203">
        <v>76.559997999999993</v>
      </c>
      <c r="C203">
        <v>80.910004000000001</v>
      </c>
      <c r="D203">
        <v>72.279999000000004</v>
      </c>
      <c r="E203">
        <v>80.199996999999996</v>
      </c>
      <c r="F203">
        <v>80.199996999999996</v>
      </c>
      <c r="G203">
        <v>146210000</v>
      </c>
    </row>
    <row r="204" spans="1:7">
      <c r="A204" s="70">
        <v>24412</v>
      </c>
      <c r="B204">
        <v>80.199996999999996</v>
      </c>
      <c r="C204">
        <v>83.010002</v>
      </c>
      <c r="D204">
        <v>78.889999000000003</v>
      </c>
      <c r="E204">
        <v>80.449996999999996</v>
      </c>
      <c r="F204">
        <v>80.449996999999996</v>
      </c>
      <c r="G204">
        <v>145780000</v>
      </c>
    </row>
    <row r="205" spans="1:7">
      <c r="A205" s="70">
        <v>24442</v>
      </c>
      <c r="B205">
        <v>80.449996999999996</v>
      </c>
      <c r="C205">
        <v>83.879997000000003</v>
      </c>
      <c r="D205">
        <v>79.489998</v>
      </c>
      <c r="E205">
        <v>80.330001999999993</v>
      </c>
      <c r="F205">
        <v>80.330001999999993</v>
      </c>
      <c r="G205">
        <v>165070000</v>
      </c>
    </row>
    <row r="206" spans="1:7">
      <c r="A206" s="70">
        <v>24473</v>
      </c>
      <c r="B206">
        <v>80.330001999999993</v>
      </c>
      <c r="C206">
        <v>88.169998000000007</v>
      </c>
      <c r="D206">
        <v>79.430000000000007</v>
      </c>
      <c r="E206">
        <v>86.610000999999997</v>
      </c>
      <c r="F206">
        <v>86.610000999999997</v>
      </c>
      <c r="G206">
        <v>207410000</v>
      </c>
    </row>
    <row r="207" spans="1:7">
      <c r="A207" s="70">
        <v>24504</v>
      </c>
      <c r="B207">
        <v>86.610000999999997</v>
      </c>
      <c r="C207">
        <v>89</v>
      </c>
      <c r="D207">
        <v>85.610000999999997</v>
      </c>
      <c r="E207">
        <v>86.779999000000004</v>
      </c>
      <c r="F207">
        <v>86.779999000000004</v>
      </c>
      <c r="G207">
        <v>182950000</v>
      </c>
    </row>
    <row r="208" spans="1:7">
      <c r="A208" s="70">
        <v>24532</v>
      </c>
      <c r="B208">
        <v>86.779999000000004</v>
      </c>
      <c r="C208">
        <v>91.720000999999996</v>
      </c>
      <c r="D208">
        <v>86.669998000000007</v>
      </c>
      <c r="E208">
        <v>90.199996999999996</v>
      </c>
      <c r="F208">
        <v>90.199996999999996</v>
      </c>
      <c r="G208">
        <v>224640000</v>
      </c>
    </row>
    <row r="209" spans="1:7">
      <c r="A209" s="70">
        <v>24563</v>
      </c>
      <c r="B209">
        <v>90.199996999999996</v>
      </c>
      <c r="C209">
        <v>94.769997000000004</v>
      </c>
      <c r="D209">
        <v>87.860000999999997</v>
      </c>
      <c r="E209">
        <v>94.010002</v>
      </c>
      <c r="F209">
        <v>94.010002</v>
      </c>
      <c r="G209">
        <v>187650000</v>
      </c>
    </row>
    <row r="210" spans="1:7">
      <c r="A210" s="70">
        <v>24593</v>
      </c>
      <c r="B210">
        <v>94.010002</v>
      </c>
      <c r="C210">
        <v>95.25</v>
      </c>
      <c r="D210">
        <v>88.709998999999996</v>
      </c>
      <c r="E210">
        <v>89.080001999999993</v>
      </c>
      <c r="F210">
        <v>89.080001999999993</v>
      </c>
      <c r="G210">
        <v>218420000</v>
      </c>
    </row>
    <row r="211" spans="1:7">
      <c r="A211" s="70">
        <v>24624</v>
      </c>
      <c r="B211">
        <v>89.080001999999993</v>
      </c>
      <c r="C211">
        <v>93.279999000000004</v>
      </c>
      <c r="D211">
        <v>87.190002000000007</v>
      </c>
      <c r="E211">
        <v>90.639999000000003</v>
      </c>
      <c r="F211">
        <v>90.639999000000003</v>
      </c>
      <c r="G211">
        <v>212590000</v>
      </c>
    </row>
    <row r="212" spans="1:7">
      <c r="A212" s="70">
        <v>24654</v>
      </c>
      <c r="B212">
        <v>90.639999000000003</v>
      </c>
      <c r="C212">
        <v>95.510002</v>
      </c>
      <c r="D212">
        <v>90.120002999999997</v>
      </c>
      <c r="E212">
        <v>94.75</v>
      </c>
      <c r="F212">
        <v>94.75</v>
      </c>
      <c r="G212">
        <v>216730000</v>
      </c>
    </row>
    <row r="213" spans="1:7">
      <c r="A213" s="70">
        <v>24685</v>
      </c>
      <c r="B213">
        <v>94.75</v>
      </c>
      <c r="C213">
        <v>96.669998000000007</v>
      </c>
      <c r="D213">
        <v>92.010002</v>
      </c>
      <c r="E213">
        <v>93.639999000000003</v>
      </c>
      <c r="F213">
        <v>93.639999000000003</v>
      </c>
      <c r="G213">
        <v>207800000</v>
      </c>
    </row>
    <row r="214" spans="1:7">
      <c r="A214" s="70">
        <v>24716</v>
      </c>
      <c r="B214">
        <v>93.639999000000003</v>
      </c>
      <c r="C214">
        <v>98.309997999999993</v>
      </c>
      <c r="D214">
        <v>93</v>
      </c>
      <c r="E214">
        <v>96.709998999999996</v>
      </c>
      <c r="F214">
        <v>96.709998999999996</v>
      </c>
      <c r="G214">
        <v>204960000</v>
      </c>
    </row>
    <row r="215" spans="1:7">
      <c r="A215" s="70">
        <v>24746</v>
      </c>
      <c r="B215">
        <v>96.709998999999996</v>
      </c>
      <c r="C215">
        <v>98.25</v>
      </c>
      <c r="D215">
        <v>93.290001000000004</v>
      </c>
      <c r="E215">
        <v>93.300003000000004</v>
      </c>
      <c r="F215">
        <v>93.300003000000004</v>
      </c>
      <c r="G215">
        <v>224780000</v>
      </c>
    </row>
    <row r="216" spans="1:7">
      <c r="A216" s="70">
        <v>24777</v>
      </c>
      <c r="B216">
        <v>93.300003000000004</v>
      </c>
      <c r="C216">
        <v>95.510002</v>
      </c>
      <c r="D216">
        <v>90.089995999999999</v>
      </c>
      <c r="E216">
        <v>94</v>
      </c>
      <c r="F216">
        <v>94</v>
      </c>
      <c r="G216">
        <v>211430000</v>
      </c>
    </row>
    <row r="217" spans="1:7">
      <c r="A217" s="70">
        <v>24807</v>
      </c>
      <c r="B217">
        <v>94</v>
      </c>
      <c r="C217">
        <v>96.900002000000001</v>
      </c>
      <c r="D217">
        <v>93.410004000000001</v>
      </c>
      <c r="E217">
        <v>96.470000999999996</v>
      </c>
      <c r="F217">
        <v>96.470000999999996</v>
      </c>
      <c r="G217">
        <v>229460000</v>
      </c>
    </row>
    <row r="218" spans="1:7">
      <c r="A218" s="70">
        <v>24838</v>
      </c>
      <c r="B218">
        <v>96.470000999999996</v>
      </c>
      <c r="C218">
        <v>97.839995999999999</v>
      </c>
      <c r="D218">
        <v>91.269997000000004</v>
      </c>
      <c r="E218">
        <v>92.239998</v>
      </c>
      <c r="F218">
        <v>92.239998</v>
      </c>
      <c r="G218">
        <v>262770000</v>
      </c>
    </row>
    <row r="219" spans="1:7">
      <c r="A219" s="70">
        <v>24869</v>
      </c>
      <c r="B219">
        <v>92.239998</v>
      </c>
      <c r="C219">
        <v>93.440002000000007</v>
      </c>
      <c r="D219">
        <v>86.730002999999996</v>
      </c>
      <c r="E219">
        <v>89.360000999999997</v>
      </c>
      <c r="F219">
        <v>89.360000999999997</v>
      </c>
      <c r="G219">
        <v>174380000</v>
      </c>
    </row>
    <row r="220" spans="1:7">
      <c r="A220" s="70">
        <v>24898</v>
      </c>
      <c r="B220">
        <v>89.360000999999997</v>
      </c>
      <c r="C220">
        <v>91.089995999999999</v>
      </c>
      <c r="D220">
        <v>86.989998</v>
      </c>
      <c r="E220">
        <v>90.199996999999996</v>
      </c>
      <c r="F220">
        <v>90.199996999999996</v>
      </c>
      <c r="G220">
        <v>192610000</v>
      </c>
    </row>
    <row r="221" spans="1:7">
      <c r="A221" s="70">
        <v>24929</v>
      </c>
      <c r="B221">
        <v>91.110000999999997</v>
      </c>
      <c r="C221">
        <v>98.610000999999997</v>
      </c>
      <c r="D221">
        <v>91.110000999999997</v>
      </c>
      <c r="E221">
        <v>97.459998999999996</v>
      </c>
      <c r="F221">
        <v>97.459998999999996</v>
      </c>
      <c r="G221">
        <v>295420000</v>
      </c>
    </row>
    <row r="222" spans="1:7">
      <c r="A222" s="70">
        <v>24959</v>
      </c>
      <c r="B222">
        <v>97.459998999999996</v>
      </c>
      <c r="C222">
        <v>100.19000200000001</v>
      </c>
      <c r="D222">
        <v>95.800003000000004</v>
      </c>
      <c r="E222">
        <v>98.68</v>
      </c>
      <c r="F222">
        <v>98.68</v>
      </c>
      <c r="G222">
        <v>291980000</v>
      </c>
    </row>
    <row r="223" spans="1:7">
      <c r="A223" s="70">
        <v>24990</v>
      </c>
      <c r="B223">
        <v>98.720000999999996</v>
      </c>
      <c r="C223">
        <v>102.839996</v>
      </c>
      <c r="D223">
        <v>98.720000999999996</v>
      </c>
      <c r="E223">
        <v>99.580001999999993</v>
      </c>
      <c r="F223">
        <v>99.580001999999993</v>
      </c>
      <c r="G223">
        <v>257290000</v>
      </c>
    </row>
    <row r="224" spans="1:7">
      <c r="A224" s="70">
        <v>25020</v>
      </c>
      <c r="B224">
        <v>99.580001999999993</v>
      </c>
      <c r="C224">
        <v>103.66999800000001</v>
      </c>
      <c r="D224">
        <v>96.839995999999999</v>
      </c>
      <c r="E224">
        <v>97.739998</v>
      </c>
      <c r="F224">
        <v>97.739998</v>
      </c>
      <c r="G224">
        <v>242450000</v>
      </c>
    </row>
    <row r="225" spans="1:7">
      <c r="A225" s="70">
        <v>25051</v>
      </c>
      <c r="B225">
        <v>97.739998</v>
      </c>
      <c r="C225">
        <v>99.669998000000007</v>
      </c>
      <c r="D225">
        <v>95.790001000000004</v>
      </c>
      <c r="E225">
        <v>98.860000999999997</v>
      </c>
      <c r="F225">
        <v>98.860000999999997</v>
      </c>
      <c r="G225">
        <v>193970000</v>
      </c>
    </row>
    <row r="226" spans="1:7">
      <c r="A226" s="70">
        <v>25082</v>
      </c>
      <c r="B226">
        <v>98.860000999999997</v>
      </c>
      <c r="C226">
        <v>103.629997</v>
      </c>
      <c r="D226">
        <v>98.309997999999993</v>
      </c>
      <c r="E226">
        <v>102.66999800000001</v>
      </c>
      <c r="F226">
        <v>102.66999800000001</v>
      </c>
      <c r="G226">
        <v>228300000</v>
      </c>
    </row>
    <row r="227" spans="1:7">
      <c r="A227" s="70">
        <v>25112</v>
      </c>
      <c r="B227">
        <v>102.66999800000001</v>
      </c>
      <c r="C227">
        <v>105.779999</v>
      </c>
      <c r="D227">
        <v>101.800003</v>
      </c>
      <c r="E227">
        <v>103.410004</v>
      </c>
      <c r="F227">
        <v>103.410004</v>
      </c>
      <c r="G227">
        <v>272200000</v>
      </c>
    </row>
    <row r="228" spans="1:7">
      <c r="A228" s="70">
        <v>25143</v>
      </c>
      <c r="B228">
        <v>103.410004</v>
      </c>
      <c r="C228">
        <v>109.089996</v>
      </c>
      <c r="D228">
        <v>101.849998</v>
      </c>
      <c r="E228">
        <v>108.370003</v>
      </c>
      <c r="F228">
        <v>108.370003</v>
      </c>
      <c r="G228">
        <v>251850000</v>
      </c>
    </row>
    <row r="229" spans="1:7">
      <c r="A229" s="70">
        <v>25173</v>
      </c>
      <c r="B229">
        <v>108.370003</v>
      </c>
      <c r="C229">
        <v>109.370003</v>
      </c>
      <c r="D229">
        <v>102.980003</v>
      </c>
      <c r="E229">
        <v>103.860001</v>
      </c>
      <c r="F229">
        <v>103.860001</v>
      </c>
      <c r="G229">
        <v>267480000</v>
      </c>
    </row>
    <row r="230" spans="1:7">
      <c r="A230" s="70">
        <v>25204</v>
      </c>
      <c r="B230">
        <v>103.860001</v>
      </c>
      <c r="C230">
        <v>104.870003</v>
      </c>
      <c r="D230">
        <v>96.629997000000003</v>
      </c>
      <c r="E230">
        <v>103.010002</v>
      </c>
      <c r="F230">
        <v>103.010002</v>
      </c>
      <c r="G230">
        <v>266600000</v>
      </c>
    </row>
    <row r="231" spans="1:7">
      <c r="A231" s="70">
        <v>25235</v>
      </c>
      <c r="B231">
        <v>103.010002</v>
      </c>
      <c r="C231">
        <v>104.610001</v>
      </c>
      <c r="D231">
        <v>97.360000999999997</v>
      </c>
      <c r="E231">
        <v>98.129997000000003</v>
      </c>
      <c r="F231">
        <v>98.129997000000003</v>
      </c>
      <c r="G231">
        <v>207490000</v>
      </c>
    </row>
    <row r="232" spans="1:7">
      <c r="A232" s="70">
        <v>25263</v>
      </c>
      <c r="B232">
        <v>98.129997000000003</v>
      </c>
      <c r="C232">
        <v>102.349998</v>
      </c>
      <c r="D232">
        <v>97.059997999999993</v>
      </c>
      <c r="E232">
        <v>101.510002</v>
      </c>
      <c r="F232">
        <v>101.510002</v>
      </c>
      <c r="G232">
        <v>199110000</v>
      </c>
    </row>
    <row r="233" spans="1:7">
      <c r="A233" s="70">
        <v>25294</v>
      </c>
      <c r="B233">
        <v>101.510002</v>
      </c>
      <c r="C233">
        <v>104.55999799999999</v>
      </c>
      <c r="D233">
        <v>99.080001999999993</v>
      </c>
      <c r="E233">
        <v>103.69000200000001</v>
      </c>
      <c r="F233">
        <v>103.69000200000001</v>
      </c>
      <c r="G233">
        <v>236930000</v>
      </c>
    </row>
    <row r="234" spans="1:7">
      <c r="A234" s="70">
        <v>25324</v>
      </c>
      <c r="B234">
        <v>103.69000200000001</v>
      </c>
      <c r="C234">
        <v>106.739998</v>
      </c>
      <c r="D234">
        <v>102.290001</v>
      </c>
      <c r="E234">
        <v>103.459999</v>
      </c>
      <c r="F234">
        <v>103.459999</v>
      </c>
      <c r="G234">
        <v>256580000</v>
      </c>
    </row>
    <row r="235" spans="1:7">
      <c r="A235" s="70">
        <v>25355</v>
      </c>
      <c r="B235">
        <v>103.459999</v>
      </c>
      <c r="C235">
        <v>103.75</v>
      </c>
      <c r="D235">
        <v>95.209998999999996</v>
      </c>
      <c r="E235">
        <v>97.709998999999996</v>
      </c>
      <c r="F235">
        <v>97.709998999999996</v>
      </c>
      <c r="G235">
        <v>235130000</v>
      </c>
    </row>
    <row r="236" spans="1:7">
      <c r="A236" s="70">
        <v>25385</v>
      </c>
      <c r="B236">
        <v>97.709998999999996</v>
      </c>
      <c r="C236">
        <v>100.33000199999999</v>
      </c>
      <c r="D236">
        <v>88.040001000000004</v>
      </c>
      <c r="E236">
        <v>91.830001999999993</v>
      </c>
      <c r="F236">
        <v>91.830001999999993</v>
      </c>
      <c r="G236">
        <v>228250000</v>
      </c>
    </row>
    <row r="237" spans="1:7">
      <c r="A237" s="70">
        <v>25416</v>
      </c>
      <c r="B237">
        <v>91.919998000000007</v>
      </c>
      <c r="C237">
        <v>96.43</v>
      </c>
      <c r="D237">
        <v>91.480002999999996</v>
      </c>
      <c r="E237">
        <v>95.510002</v>
      </c>
      <c r="F237">
        <v>95.510002</v>
      </c>
      <c r="G237">
        <v>201680000</v>
      </c>
    </row>
    <row r="238" spans="1:7">
      <c r="A238" s="70">
        <v>25447</v>
      </c>
      <c r="B238">
        <v>95.510002</v>
      </c>
      <c r="C238">
        <v>96.620002999999997</v>
      </c>
      <c r="D238">
        <v>91.769997000000004</v>
      </c>
      <c r="E238">
        <v>93.120002999999997</v>
      </c>
      <c r="F238">
        <v>93.120002999999997</v>
      </c>
      <c r="G238">
        <v>219150000</v>
      </c>
    </row>
    <row r="239" spans="1:7">
      <c r="A239" s="70">
        <v>25477</v>
      </c>
      <c r="B239">
        <v>93.120002999999997</v>
      </c>
      <c r="C239">
        <v>98.830001999999993</v>
      </c>
      <c r="D239">
        <v>91.660004000000001</v>
      </c>
      <c r="E239">
        <v>97.120002999999997</v>
      </c>
      <c r="F239">
        <v>97.120002999999997</v>
      </c>
      <c r="G239">
        <v>310110000</v>
      </c>
    </row>
    <row r="240" spans="1:7">
      <c r="A240" s="70">
        <v>25508</v>
      </c>
      <c r="B240">
        <v>97.120002999999997</v>
      </c>
      <c r="C240">
        <v>99.230002999999996</v>
      </c>
      <c r="D240">
        <v>92.239998</v>
      </c>
      <c r="E240">
        <v>93.809997999999993</v>
      </c>
      <c r="F240">
        <v>93.809997999999993</v>
      </c>
      <c r="G240">
        <v>213600000</v>
      </c>
    </row>
    <row r="241" spans="1:7">
      <c r="A241" s="70">
        <v>25538</v>
      </c>
      <c r="B241">
        <v>93.809997999999993</v>
      </c>
      <c r="C241">
        <v>94.470000999999996</v>
      </c>
      <c r="D241">
        <v>88.620002999999997</v>
      </c>
      <c r="E241">
        <v>92.059997999999993</v>
      </c>
      <c r="F241">
        <v>92.059997999999993</v>
      </c>
      <c r="G241">
        <v>272350000</v>
      </c>
    </row>
    <row r="242" spans="1:7">
      <c r="A242" s="70">
        <v>25569</v>
      </c>
      <c r="B242">
        <v>92.059997999999993</v>
      </c>
      <c r="C242">
        <v>94.25</v>
      </c>
      <c r="D242">
        <v>84.419998000000007</v>
      </c>
      <c r="E242">
        <v>85.019997000000004</v>
      </c>
      <c r="F242">
        <v>85.019997000000004</v>
      </c>
      <c r="G242">
        <v>221090000</v>
      </c>
    </row>
    <row r="243" spans="1:7">
      <c r="A243" s="70">
        <v>25600</v>
      </c>
      <c r="B243">
        <v>85.019997000000004</v>
      </c>
      <c r="C243">
        <v>90.330001999999993</v>
      </c>
      <c r="D243">
        <v>84.639999000000003</v>
      </c>
      <c r="E243">
        <v>89.5</v>
      </c>
      <c r="F243">
        <v>89.5</v>
      </c>
      <c r="G243">
        <v>228380000</v>
      </c>
    </row>
    <row r="244" spans="1:7">
      <c r="A244" s="70">
        <v>25628</v>
      </c>
      <c r="B244">
        <v>89.5</v>
      </c>
      <c r="C244">
        <v>91.07</v>
      </c>
      <c r="D244">
        <v>86.190002000000007</v>
      </c>
      <c r="E244">
        <v>89.629997000000003</v>
      </c>
      <c r="F244">
        <v>89.629997000000003</v>
      </c>
      <c r="G244">
        <v>212880000</v>
      </c>
    </row>
    <row r="245" spans="1:7">
      <c r="A245" s="70">
        <v>25659</v>
      </c>
      <c r="B245">
        <v>89.629997000000003</v>
      </c>
      <c r="C245">
        <v>90.699996999999996</v>
      </c>
      <c r="D245">
        <v>79.309997999999993</v>
      </c>
      <c r="E245">
        <v>81.519997000000004</v>
      </c>
      <c r="F245">
        <v>81.519997000000004</v>
      </c>
      <c r="G245">
        <v>223120000</v>
      </c>
    </row>
    <row r="246" spans="1:7">
      <c r="A246" s="70">
        <v>25689</v>
      </c>
      <c r="B246">
        <v>81.519997000000004</v>
      </c>
      <c r="C246">
        <v>82.32</v>
      </c>
      <c r="D246">
        <v>68.610000999999997</v>
      </c>
      <c r="E246">
        <v>76.550003000000004</v>
      </c>
      <c r="F246">
        <v>76.550003000000004</v>
      </c>
      <c r="G246">
        <v>258220000</v>
      </c>
    </row>
    <row r="247" spans="1:7">
      <c r="A247" s="70">
        <v>25720</v>
      </c>
      <c r="B247">
        <v>76.550003000000004</v>
      </c>
      <c r="C247">
        <v>79.959998999999996</v>
      </c>
      <c r="D247">
        <v>72.25</v>
      </c>
      <c r="E247">
        <v>72.720000999999996</v>
      </c>
      <c r="F247">
        <v>72.720000999999996</v>
      </c>
      <c r="G247">
        <v>226420000</v>
      </c>
    </row>
    <row r="248" spans="1:7">
      <c r="A248" s="70">
        <v>25750</v>
      </c>
      <c r="B248">
        <v>72.720000999999996</v>
      </c>
      <c r="C248">
        <v>79.029999000000004</v>
      </c>
      <c r="D248">
        <v>70.690002000000007</v>
      </c>
      <c r="E248">
        <v>78.050003000000004</v>
      </c>
      <c r="F248">
        <v>78.050003000000004</v>
      </c>
      <c r="G248">
        <v>227740000</v>
      </c>
    </row>
    <row r="249" spans="1:7">
      <c r="A249" s="70">
        <v>25781</v>
      </c>
      <c r="B249">
        <v>78.050003000000004</v>
      </c>
      <c r="C249">
        <v>82.470000999999996</v>
      </c>
      <c r="D249">
        <v>74.129997000000003</v>
      </c>
      <c r="E249">
        <v>81.519997000000004</v>
      </c>
      <c r="F249">
        <v>81.519997000000004</v>
      </c>
      <c r="G249">
        <v>218690000</v>
      </c>
    </row>
    <row r="250" spans="1:7">
      <c r="A250" s="70">
        <v>25812</v>
      </c>
      <c r="B250">
        <v>81.519997000000004</v>
      </c>
      <c r="C250">
        <v>84.989998</v>
      </c>
      <c r="D250">
        <v>79.949996999999996</v>
      </c>
      <c r="E250">
        <v>84.300003000000004</v>
      </c>
      <c r="F250">
        <v>84.300003000000004</v>
      </c>
      <c r="G250">
        <v>303290000</v>
      </c>
    </row>
    <row r="251" spans="1:7">
      <c r="A251" s="70">
        <v>25842</v>
      </c>
      <c r="B251">
        <v>84.300003000000004</v>
      </c>
      <c r="C251">
        <v>87.75</v>
      </c>
      <c r="D251">
        <v>82.290001000000004</v>
      </c>
      <c r="E251">
        <v>83.25</v>
      </c>
      <c r="F251">
        <v>83.25</v>
      </c>
      <c r="G251">
        <v>261370000</v>
      </c>
    </row>
    <row r="252" spans="1:7">
      <c r="A252" s="70">
        <v>25873</v>
      </c>
      <c r="B252">
        <v>83.25</v>
      </c>
      <c r="C252">
        <v>87.599997999999999</v>
      </c>
      <c r="D252">
        <v>82.230002999999996</v>
      </c>
      <c r="E252">
        <v>87.199996999999996</v>
      </c>
      <c r="F252">
        <v>87.199996999999996</v>
      </c>
      <c r="G252">
        <v>230290000</v>
      </c>
    </row>
    <row r="253" spans="1:7">
      <c r="A253" s="70">
        <v>25903</v>
      </c>
      <c r="B253">
        <v>87.199996999999996</v>
      </c>
      <c r="C253">
        <v>92.989998</v>
      </c>
      <c r="D253">
        <v>86.110000999999997</v>
      </c>
      <c r="E253">
        <v>92.150002000000001</v>
      </c>
      <c r="F253">
        <v>92.150002000000001</v>
      </c>
      <c r="G253">
        <v>335240000</v>
      </c>
    </row>
    <row r="254" spans="1:7">
      <c r="A254" s="70">
        <v>25934</v>
      </c>
      <c r="B254">
        <v>92.150002000000001</v>
      </c>
      <c r="C254">
        <v>96.489998</v>
      </c>
      <c r="D254">
        <v>90.639999000000003</v>
      </c>
      <c r="E254">
        <v>95.879997000000003</v>
      </c>
      <c r="F254">
        <v>95.879997000000003</v>
      </c>
      <c r="G254">
        <v>348490000</v>
      </c>
    </row>
    <row r="255" spans="1:7">
      <c r="A255" s="70">
        <v>25965</v>
      </c>
      <c r="B255">
        <v>95.879997000000003</v>
      </c>
      <c r="C255">
        <v>99.589995999999999</v>
      </c>
      <c r="D255">
        <v>94.919998000000007</v>
      </c>
      <c r="E255">
        <v>96.75</v>
      </c>
      <c r="F255">
        <v>96.75</v>
      </c>
      <c r="G255">
        <v>371190000</v>
      </c>
    </row>
    <row r="256" spans="1:7">
      <c r="A256" s="70">
        <v>25993</v>
      </c>
      <c r="B256">
        <v>96.75</v>
      </c>
      <c r="C256">
        <v>102.029999</v>
      </c>
      <c r="D256">
        <v>96.110000999999997</v>
      </c>
      <c r="E256">
        <v>100.30999799999999</v>
      </c>
      <c r="F256">
        <v>100.30999799999999</v>
      </c>
      <c r="G256">
        <v>389880000</v>
      </c>
    </row>
    <row r="257" spans="1:7">
      <c r="A257" s="70">
        <v>26024</v>
      </c>
      <c r="B257">
        <v>100.30999799999999</v>
      </c>
      <c r="C257">
        <v>105.599998</v>
      </c>
      <c r="D257">
        <v>99.629997000000003</v>
      </c>
      <c r="E257">
        <v>103.949997</v>
      </c>
      <c r="F257">
        <v>103.949997</v>
      </c>
      <c r="G257">
        <v>401580000</v>
      </c>
    </row>
    <row r="258" spans="1:7">
      <c r="A258" s="70">
        <v>26054</v>
      </c>
      <c r="B258">
        <v>103.949997</v>
      </c>
      <c r="C258">
        <v>104.41999800000001</v>
      </c>
      <c r="D258">
        <v>98.68</v>
      </c>
      <c r="E258">
        <v>99.629997000000003</v>
      </c>
      <c r="F258">
        <v>99.629997000000003</v>
      </c>
      <c r="G258">
        <v>307360000</v>
      </c>
    </row>
    <row r="259" spans="1:7">
      <c r="A259" s="70">
        <v>26085</v>
      </c>
      <c r="B259">
        <v>99.629997000000003</v>
      </c>
      <c r="C259">
        <v>102.07</v>
      </c>
      <c r="D259">
        <v>96.919998000000007</v>
      </c>
      <c r="E259">
        <v>98.699996999999996</v>
      </c>
      <c r="F259">
        <v>98.699996999999996</v>
      </c>
      <c r="G259">
        <v>303590000</v>
      </c>
    </row>
    <row r="260" spans="1:7">
      <c r="A260" s="70">
        <v>26115</v>
      </c>
      <c r="B260">
        <v>99.160004000000001</v>
      </c>
      <c r="C260">
        <v>101.519997</v>
      </c>
      <c r="D260">
        <v>95.080001999999993</v>
      </c>
      <c r="E260">
        <v>95.580001999999993</v>
      </c>
      <c r="F260">
        <v>95.580001999999993</v>
      </c>
      <c r="G260">
        <v>265240000</v>
      </c>
    </row>
    <row r="261" spans="1:7">
      <c r="A261" s="70">
        <v>26146</v>
      </c>
      <c r="B261">
        <v>95.580001999999993</v>
      </c>
      <c r="C261">
        <v>101.510002</v>
      </c>
      <c r="D261">
        <v>92.809997999999993</v>
      </c>
      <c r="E261">
        <v>99.029999000000004</v>
      </c>
      <c r="F261">
        <v>99.029999000000004</v>
      </c>
      <c r="G261">
        <v>320520000</v>
      </c>
    </row>
    <row r="262" spans="1:7">
      <c r="A262" s="70">
        <v>26177</v>
      </c>
      <c r="B262">
        <v>99.029999000000004</v>
      </c>
      <c r="C262">
        <v>102.25</v>
      </c>
      <c r="D262">
        <v>96.970000999999996</v>
      </c>
      <c r="E262">
        <v>98.339995999999999</v>
      </c>
      <c r="F262">
        <v>98.339995999999999</v>
      </c>
      <c r="G262">
        <v>252720000</v>
      </c>
    </row>
    <row r="263" spans="1:7">
      <c r="A263" s="70">
        <v>26207</v>
      </c>
      <c r="B263">
        <v>98.339995999999999</v>
      </c>
      <c r="C263">
        <v>100.959999</v>
      </c>
      <c r="D263">
        <v>92.959998999999996</v>
      </c>
      <c r="E263">
        <v>94.230002999999996</v>
      </c>
      <c r="F263">
        <v>94.230002999999996</v>
      </c>
      <c r="G263">
        <v>280080000</v>
      </c>
    </row>
    <row r="264" spans="1:7">
      <c r="A264" s="70">
        <v>26238</v>
      </c>
      <c r="B264">
        <v>94.230002999999996</v>
      </c>
      <c r="C264">
        <v>96.080001999999993</v>
      </c>
      <c r="D264">
        <v>89.339995999999999</v>
      </c>
      <c r="E264">
        <v>93.989998</v>
      </c>
      <c r="F264">
        <v>93.989998</v>
      </c>
      <c r="G264">
        <v>276410000</v>
      </c>
    </row>
    <row r="265" spans="1:7">
      <c r="A265" s="70">
        <v>26268</v>
      </c>
      <c r="B265">
        <v>93.989998</v>
      </c>
      <c r="C265">
        <v>102.209999</v>
      </c>
      <c r="D265">
        <v>93.949996999999996</v>
      </c>
      <c r="E265">
        <v>102.089996</v>
      </c>
      <c r="F265">
        <v>102.089996</v>
      </c>
      <c r="G265">
        <v>377680000</v>
      </c>
    </row>
    <row r="266" spans="1:7">
      <c r="A266" s="70">
        <v>26299</v>
      </c>
      <c r="B266">
        <v>102.089996</v>
      </c>
      <c r="C266">
        <v>105</v>
      </c>
      <c r="D266">
        <v>100.870003</v>
      </c>
      <c r="E266">
        <v>103.94000200000001</v>
      </c>
      <c r="F266">
        <v>103.94000200000001</v>
      </c>
      <c r="G266">
        <v>379490000</v>
      </c>
    </row>
    <row r="267" spans="1:7">
      <c r="A267" s="70">
        <v>26330</v>
      </c>
      <c r="B267">
        <v>103.94000200000001</v>
      </c>
      <c r="C267">
        <v>107.160004</v>
      </c>
      <c r="D267">
        <v>103.099998</v>
      </c>
      <c r="E267">
        <v>106.57</v>
      </c>
      <c r="F267">
        <v>106.57</v>
      </c>
      <c r="G267">
        <v>376260000</v>
      </c>
    </row>
    <row r="268" spans="1:7">
      <c r="A268" s="70">
        <v>26359</v>
      </c>
      <c r="B268">
        <v>106.57</v>
      </c>
      <c r="C268">
        <v>109.75</v>
      </c>
      <c r="D268">
        <v>105.860001</v>
      </c>
      <c r="E268">
        <v>107.199997</v>
      </c>
      <c r="F268">
        <v>107.199997</v>
      </c>
      <c r="G268">
        <v>403650000</v>
      </c>
    </row>
    <row r="269" spans="1:7">
      <c r="A269" s="70">
        <v>26390</v>
      </c>
      <c r="B269">
        <v>107.199997</v>
      </c>
      <c r="C269">
        <v>111.110001</v>
      </c>
      <c r="D269">
        <v>106.18</v>
      </c>
      <c r="E269">
        <v>107.66999800000001</v>
      </c>
      <c r="F269">
        <v>107.66999800000001</v>
      </c>
      <c r="G269">
        <v>367990000</v>
      </c>
    </row>
    <row r="270" spans="1:7">
      <c r="A270" s="70">
        <v>26420</v>
      </c>
      <c r="B270">
        <v>107.66999800000001</v>
      </c>
      <c r="C270">
        <v>111.480003</v>
      </c>
      <c r="D270">
        <v>103.83000199999999</v>
      </c>
      <c r="E270">
        <v>109.529999</v>
      </c>
      <c r="F270">
        <v>109.529999</v>
      </c>
      <c r="G270">
        <v>335850000</v>
      </c>
    </row>
    <row r="271" spans="1:7">
      <c r="A271" s="70">
        <v>26451</v>
      </c>
      <c r="B271">
        <v>109.529999</v>
      </c>
      <c r="C271">
        <v>110.510002</v>
      </c>
      <c r="D271">
        <v>105.94000200000001</v>
      </c>
      <c r="E271">
        <v>107.139999</v>
      </c>
      <c r="F271">
        <v>107.139999</v>
      </c>
      <c r="G271">
        <v>314510000</v>
      </c>
    </row>
    <row r="272" spans="1:7">
      <c r="A272" s="70">
        <v>26481</v>
      </c>
      <c r="B272">
        <v>107.139999</v>
      </c>
      <c r="C272">
        <v>110.269997</v>
      </c>
      <c r="D272">
        <v>104.43</v>
      </c>
      <c r="E272">
        <v>107.389999</v>
      </c>
      <c r="F272">
        <v>107.389999</v>
      </c>
      <c r="G272">
        <v>288900000</v>
      </c>
    </row>
    <row r="273" spans="1:7">
      <c r="A273" s="70">
        <v>26512</v>
      </c>
      <c r="B273">
        <v>107.389999</v>
      </c>
      <c r="C273">
        <v>113.449997</v>
      </c>
      <c r="D273">
        <v>107.05999799999999</v>
      </c>
      <c r="E273">
        <v>111.089996</v>
      </c>
      <c r="F273">
        <v>111.089996</v>
      </c>
      <c r="G273">
        <v>356930000</v>
      </c>
    </row>
    <row r="274" spans="1:7">
      <c r="A274" s="70">
        <v>26543</v>
      </c>
      <c r="B274">
        <v>111.089996</v>
      </c>
      <c r="C274">
        <v>112.120003</v>
      </c>
      <c r="D274">
        <v>107.349998</v>
      </c>
      <c r="E274">
        <v>110.550003</v>
      </c>
      <c r="F274">
        <v>110.550003</v>
      </c>
      <c r="G274">
        <v>246190000</v>
      </c>
    </row>
    <row r="275" spans="1:7">
      <c r="A275" s="70">
        <v>26573</v>
      </c>
      <c r="B275">
        <v>110.550003</v>
      </c>
      <c r="C275">
        <v>112.260002</v>
      </c>
      <c r="D275">
        <v>106.269997</v>
      </c>
      <c r="E275">
        <v>111.58000199999999</v>
      </c>
      <c r="F275">
        <v>111.58000199999999</v>
      </c>
      <c r="G275">
        <v>317300000</v>
      </c>
    </row>
    <row r="276" spans="1:7">
      <c r="A276" s="70">
        <v>26604</v>
      </c>
      <c r="B276">
        <v>111.58000199999999</v>
      </c>
      <c r="C276">
        <v>117.910004</v>
      </c>
      <c r="D276">
        <v>111.32</v>
      </c>
      <c r="E276">
        <v>116.66999800000001</v>
      </c>
      <c r="F276">
        <v>116.66999800000001</v>
      </c>
      <c r="G276">
        <v>405570000</v>
      </c>
    </row>
    <row r="277" spans="1:7">
      <c r="A277" s="70">
        <v>26634</v>
      </c>
      <c r="B277">
        <v>116.66999800000001</v>
      </c>
      <c r="C277">
        <v>119.790001</v>
      </c>
      <c r="D277">
        <v>114.629997</v>
      </c>
      <c r="E277">
        <v>118.050003</v>
      </c>
      <c r="F277">
        <v>118.050003</v>
      </c>
      <c r="G277">
        <v>344730000</v>
      </c>
    </row>
    <row r="278" spans="1:7">
      <c r="A278" s="70">
        <v>26665</v>
      </c>
      <c r="B278">
        <v>118.05999799999999</v>
      </c>
      <c r="C278">
        <v>121.739998</v>
      </c>
      <c r="D278">
        <v>114.970001</v>
      </c>
      <c r="E278">
        <v>116.029999</v>
      </c>
      <c r="F278">
        <v>116.029999</v>
      </c>
      <c r="G278">
        <v>393750000</v>
      </c>
    </row>
    <row r="279" spans="1:7">
      <c r="A279" s="70">
        <v>26696</v>
      </c>
      <c r="B279">
        <v>116.029999</v>
      </c>
      <c r="C279">
        <v>118.980003</v>
      </c>
      <c r="D279">
        <v>109.800003</v>
      </c>
      <c r="E279">
        <v>111.68</v>
      </c>
      <c r="F279">
        <v>111.68</v>
      </c>
      <c r="G279">
        <v>318190000</v>
      </c>
    </row>
    <row r="280" spans="1:7">
      <c r="A280" s="70">
        <v>26724</v>
      </c>
      <c r="B280">
        <v>111.68</v>
      </c>
      <c r="C280">
        <v>115.610001</v>
      </c>
      <c r="D280">
        <v>107.410004</v>
      </c>
      <c r="E280">
        <v>111.519997</v>
      </c>
      <c r="F280">
        <v>111.519997</v>
      </c>
      <c r="G280">
        <v>343400000</v>
      </c>
    </row>
    <row r="281" spans="1:7">
      <c r="A281" s="70">
        <v>26755</v>
      </c>
      <c r="B281">
        <v>111.519997</v>
      </c>
      <c r="C281">
        <v>113.650002</v>
      </c>
      <c r="D281">
        <v>105.44000200000001</v>
      </c>
      <c r="E281">
        <v>106.970001</v>
      </c>
      <c r="F281">
        <v>106.970001</v>
      </c>
      <c r="G281">
        <v>277990000</v>
      </c>
    </row>
    <row r="282" spans="1:7">
      <c r="A282" s="70">
        <v>26785</v>
      </c>
      <c r="B282">
        <v>106.970001</v>
      </c>
      <c r="C282">
        <v>112.25</v>
      </c>
      <c r="D282">
        <v>101.360001</v>
      </c>
      <c r="E282">
        <v>104.949997</v>
      </c>
      <c r="F282">
        <v>104.949997</v>
      </c>
      <c r="G282">
        <v>337260000</v>
      </c>
    </row>
    <row r="283" spans="1:7">
      <c r="A283" s="70">
        <v>26816</v>
      </c>
      <c r="B283">
        <v>104.949997</v>
      </c>
      <c r="C283">
        <v>109.519997</v>
      </c>
      <c r="D283">
        <v>101.449997</v>
      </c>
      <c r="E283">
        <v>104.260002</v>
      </c>
      <c r="F283">
        <v>104.260002</v>
      </c>
      <c r="G283">
        <v>268700000</v>
      </c>
    </row>
    <row r="284" spans="1:7">
      <c r="A284" s="70">
        <v>26846</v>
      </c>
      <c r="B284">
        <v>104.099998</v>
      </c>
      <c r="C284">
        <v>111.040001</v>
      </c>
      <c r="D284">
        <v>100.44000200000001</v>
      </c>
      <c r="E284">
        <v>108.220001</v>
      </c>
      <c r="F284">
        <v>108.220001</v>
      </c>
      <c r="G284">
        <v>307780000</v>
      </c>
    </row>
    <row r="285" spans="1:7">
      <c r="A285" s="70">
        <v>26877</v>
      </c>
      <c r="B285">
        <v>108.16999800000001</v>
      </c>
      <c r="C285">
        <v>108.16999800000001</v>
      </c>
      <c r="D285">
        <v>99.739998</v>
      </c>
      <c r="E285">
        <v>104.25</v>
      </c>
      <c r="F285">
        <v>104.25</v>
      </c>
      <c r="G285">
        <v>274460000</v>
      </c>
    </row>
    <row r="286" spans="1:7">
      <c r="A286" s="70">
        <v>26908</v>
      </c>
      <c r="B286">
        <v>104.25</v>
      </c>
      <c r="C286">
        <v>110.449997</v>
      </c>
      <c r="D286">
        <v>102.129997</v>
      </c>
      <c r="E286">
        <v>108.43</v>
      </c>
      <c r="F286">
        <v>108.43</v>
      </c>
      <c r="G286">
        <v>329070000</v>
      </c>
    </row>
    <row r="287" spans="1:7">
      <c r="A287" s="70">
        <v>26938</v>
      </c>
      <c r="B287">
        <v>108.43</v>
      </c>
      <c r="C287">
        <v>112.82</v>
      </c>
      <c r="D287">
        <v>107.08000199999999</v>
      </c>
      <c r="E287">
        <v>108.290001</v>
      </c>
      <c r="F287">
        <v>108.290001</v>
      </c>
      <c r="G287">
        <v>422900000</v>
      </c>
    </row>
    <row r="288" spans="1:7">
      <c r="A288" s="70">
        <v>26969</v>
      </c>
      <c r="B288">
        <v>108.290001</v>
      </c>
      <c r="C288">
        <v>109.199997</v>
      </c>
      <c r="D288">
        <v>94.879997000000003</v>
      </c>
      <c r="E288">
        <v>95.959998999999996</v>
      </c>
      <c r="F288">
        <v>95.959998999999996</v>
      </c>
      <c r="G288">
        <v>399900000</v>
      </c>
    </row>
    <row r="289" spans="1:7">
      <c r="A289" s="70">
        <v>26999</v>
      </c>
      <c r="B289">
        <v>95.830001999999993</v>
      </c>
      <c r="C289">
        <v>99.089995999999999</v>
      </c>
      <c r="D289">
        <v>91.050003000000004</v>
      </c>
      <c r="E289">
        <v>97.550003000000004</v>
      </c>
      <c r="F289">
        <v>97.550003000000004</v>
      </c>
      <c r="G289">
        <v>384380000</v>
      </c>
    </row>
    <row r="290" spans="1:7">
      <c r="A290" s="70">
        <v>27030</v>
      </c>
      <c r="B290">
        <v>97.550003000000004</v>
      </c>
      <c r="C290">
        <v>100.94000200000001</v>
      </c>
      <c r="D290">
        <v>91.620002999999997</v>
      </c>
      <c r="E290">
        <v>96.57</v>
      </c>
      <c r="F290">
        <v>96.57</v>
      </c>
      <c r="G290">
        <v>363150000</v>
      </c>
    </row>
    <row r="291" spans="1:7">
      <c r="A291" s="70">
        <v>27061</v>
      </c>
      <c r="B291">
        <v>96.57</v>
      </c>
      <c r="C291">
        <v>97.43</v>
      </c>
      <c r="D291">
        <v>89.529999000000004</v>
      </c>
      <c r="E291">
        <v>96.220000999999996</v>
      </c>
      <c r="F291">
        <v>96.220000999999996</v>
      </c>
      <c r="G291">
        <v>256810000</v>
      </c>
    </row>
    <row r="292" spans="1:7">
      <c r="A292" s="70">
        <v>27089</v>
      </c>
      <c r="B292">
        <v>96.220000999999996</v>
      </c>
      <c r="C292">
        <v>101.050003</v>
      </c>
      <c r="D292">
        <v>93.440002000000007</v>
      </c>
      <c r="E292">
        <v>93.980002999999996</v>
      </c>
      <c r="F292">
        <v>93.980002999999996</v>
      </c>
      <c r="G292">
        <v>309600000</v>
      </c>
    </row>
    <row r="293" spans="1:7">
      <c r="A293" s="70">
        <v>27120</v>
      </c>
      <c r="B293">
        <v>93.980002999999996</v>
      </c>
      <c r="C293">
        <v>95.419998000000007</v>
      </c>
      <c r="D293">
        <v>88.620002999999997</v>
      </c>
      <c r="E293">
        <v>90.309997999999993</v>
      </c>
      <c r="F293">
        <v>90.309997999999993</v>
      </c>
      <c r="G293">
        <v>254270000</v>
      </c>
    </row>
    <row r="294" spans="1:7">
      <c r="A294" s="70">
        <v>27150</v>
      </c>
      <c r="B294">
        <v>90.309997999999993</v>
      </c>
      <c r="C294">
        <v>93.589995999999999</v>
      </c>
      <c r="D294">
        <v>85.870002999999997</v>
      </c>
      <c r="E294">
        <v>87.279999000000004</v>
      </c>
      <c r="F294">
        <v>87.279999000000004</v>
      </c>
      <c r="G294">
        <v>275150000</v>
      </c>
    </row>
    <row r="295" spans="1:7">
      <c r="A295" s="70">
        <v>27181</v>
      </c>
      <c r="B295">
        <v>87.279999000000004</v>
      </c>
      <c r="C295">
        <v>93.760002</v>
      </c>
      <c r="D295">
        <v>85.129997000000003</v>
      </c>
      <c r="E295">
        <v>86</v>
      </c>
      <c r="F295">
        <v>86</v>
      </c>
      <c r="G295">
        <v>245340000</v>
      </c>
    </row>
    <row r="296" spans="1:7">
      <c r="A296" s="70">
        <v>27211</v>
      </c>
      <c r="B296">
        <v>86</v>
      </c>
      <c r="C296">
        <v>86.889999000000003</v>
      </c>
      <c r="D296">
        <v>78.959998999999996</v>
      </c>
      <c r="E296">
        <v>79.309997999999993</v>
      </c>
      <c r="F296">
        <v>79.309997999999993</v>
      </c>
      <c r="G296">
        <v>274090000</v>
      </c>
    </row>
    <row r="297" spans="1:7">
      <c r="A297" s="70">
        <v>27242</v>
      </c>
      <c r="B297">
        <v>79.309997999999993</v>
      </c>
      <c r="C297">
        <v>83.529999000000004</v>
      </c>
      <c r="D297">
        <v>69.370002999999997</v>
      </c>
      <c r="E297">
        <v>72.150002000000001</v>
      </c>
      <c r="F297">
        <v>72.150002000000001</v>
      </c>
      <c r="G297">
        <v>280100000</v>
      </c>
    </row>
    <row r="298" spans="1:7">
      <c r="A298" s="70">
        <v>27273</v>
      </c>
      <c r="B298">
        <v>72.150002000000001</v>
      </c>
      <c r="C298">
        <v>73.010002</v>
      </c>
      <c r="D298">
        <v>62.52</v>
      </c>
      <c r="E298">
        <v>63.540000999999997</v>
      </c>
      <c r="F298">
        <v>63.540000999999997</v>
      </c>
      <c r="G298">
        <v>280050000</v>
      </c>
    </row>
    <row r="299" spans="1:7">
      <c r="A299" s="70">
        <v>27303</v>
      </c>
      <c r="B299">
        <v>63.540000999999997</v>
      </c>
      <c r="C299">
        <v>75.900002000000001</v>
      </c>
      <c r="D299">
        <v>60.959999000000003</v>
      </c>
      <c r="E299">
        <v>73.900002000000001</v>
      </c>
      <c r="F299">
        <v>73.900002000000001</v>
      </c>
      <c r="G299">
        <v>377100000</v>
      </c>
    </row>
    <row r="300" spans="1:7">
      <c r="A300" s="70">
        <v>27334</v>
      </c>
      <c r="B300">
        <v>73.900002000000001</v>
      </c>
      <c r="C300">
        <v>77.410004000000001</v>
      </c>
      <c r="D300">
        <v>66.849997999999999</v>
      </c>
      <c r="E300">
        <v>69.970000999999996</v>
      </c>
      <c r="F300">
        <v>69.970000999999996</v>
      </c>
      <c r="G300">
        <v>286790000</v>
      </c>
    </row>
    <row r="301" spans="1:7">
      <c r="A301" s="70">
        <v>27364</v>
      </c>
      <c r="B301">
        <v>69.800003000000004</v>
      </c>
      <c r="C301">
        <v>69.800003000000004</v>
      </c>
      <c r="D301">
        <v>64.129997000000003</v>
      </c>
      <c r="E301">
        <v>68.559997999999993</v>
      </c>
      <c r="F301">
        <v>68.559997999999993</v>
      </c>
      <c r="G301">
        <v>315150000</v>
      </c>
    </row>
    <row r="302" spans="1:7">
      <c r="A302" s="70">
        <v>27395</v>
      </c>
      <c r="B302">
        <v>68.650002000000001</v>
      </c>
      <c r="C302">
        <v>78.690002000000007</v>
      </c>
      <c r="D302">
        <v>68.650002000000001</v>
      </c>
      <c r="E302">
        <v>76.980002999999996</v>
      </c>
      <c r="F302">
        <v>76.980002999999996</v>
      </c>
      <c r="G302">
        <v>432550000</v>
      </c>
    </row>
    <row r="303" spans="1:7">
      <c r="A303" s="70">
        <v>27426</v>
      </c>
      <c r="B303">
        <v>76.980002999999996</v>
      </c>
      <c r="C303">
        <v>83.559997999999993</v>
      </c>
      <c r="D303">
        <v>76</v>
      </c>
      <c r="E303">
        <v>81.589995999999999</v>
      </c>
      <c r="F303">
        <v>81.589995999999999</v>
      </c>
      <c r="G303">
        <v>423640000</v>
      </c>
    </row>
    <row r="304" spans="1:7">
      <c r="A304" s="70">
        <v>27454</v>
      </c>
      <c r="B304">
        <v>81.589995999999999</v>
      </c>
      <c r="C304">
        <v>87.080001999999993</v>
      </c>
      <c r="D304">
        <v>80.080001999999993</v>
      </c>
      <c r="E304">
        <v>83.360000999999997</v>
      </c>
      <c r="F304">
        <v>83.360000999999997</v>
      </c>
      <c r="G304">
        <v>453610000</v>
      </c>
    </row>
    <row r="305" spans="1:7">
      <c r="A305" s="70">
        <v>27485</v>
      </c>
      <c r="B305">
        <v>83.360000999999997</v>
      </c>
      <c r="C305">
        <v>88.790001000000004</v>
      </c>
      <c r="D305">
        <v>79.660004000000001</v>
      </c>
      <c r="E305">
        <v>87.300003000000004</v>
      </c>
      <c r="F305">
        <v>87.300003000000004</v>
      </c>
      <c r="G305">
        <v>451350000</v>
      </c>
    </row>
    <row r="306" spans="1:7">
      <c r="A306" s="70">
        <v>27515</v>
      </c>
      <c r="B306">
        <v>87.300003000000004</v>
      </c>
      <c r="C306">
        <v>93.510002</v>
      </c>
      <c r="D306">
        <v>86.940002000000007</v>
      </c>
      <c r="E306">
        <v>91.150002000000001</v>
      </c>
      <c r="F306">
        <v>91.150002000000001</v>
      </c>
      <c r="G306">
        <v>457490000</v>
      </c>
    </row>
    <row r="307" spans="1:7">
      <c r="A307" s="70">
        <v>27546</v>
      </c>
      <c r="B307">
        <v>91.32</v>
      </c>
      <c r="C307">
        <v>95.849997999999999</v>
      </c>
      <c r="D307">
        <v>89.300003000000004</v>
      </c>
      <c r="E307">
        <v>95.190002000000007</v>
      </c>
      <c r="F307">
        <v>95.190002000000007</v>
      </c>
      <c r="G307">
        <v>447000000</v>
      </c>
    </row>
    <row r="308" spans="1:7">
      <c r="A308" s="70">
        <v>27576</v>
      </c>
      <c r="B308">
        <v>95.190002000000007</v>
      </c>
      <c r="C308">
        <v>96.580001999999993</v>
      </c>
      <c r="D308">
        <v>87.68</v>
      </c>
      <c r="E308">
        <v>88.75</v>
      </c>
      <c r="F308">
        <v>88.75</v>
      </c>
      <c r="G308">
        <v>441680000</v>
      </c>
    </row>
    <row r="309" spans="1:7">
      <c r="A309" s="70">
        <v>27607</v>
      </c>
      <c r="B309">
        <v>88.75</v>
      </c>
      <c r="C309">
        <v>89.040001000000004</v>
      </c>
      <c r="D309">
        <v>82.209998999999996</v>
      </c>
      <c r="E309">
        <v>86.879997000000003</v>
      </c>
      <c r="F309">
        <v>86.879997000000003</v>
      </c>
      <c r="G309">
        <v>281470000</v>
      </c>
    </row>
    <row r="310" spans="1:7">
      <c r="A310" s="70">
        <v>27638</v>
      </c>
      <c r="B310">
        <v>86.879997000000003</v>
      </c>
      <c r="C310">
        <v>87.419998000000007</v>
      </c>
      <c r="D310">
        <v>81.569999999999993</v>
      </c>
      <c r="E310">
        <v>83.870002999999997</v>
      </c>
      <c r="F310">
        <v>83.870002999999997</v>
      </c>
      <c r="G310">
        <v>275120000</v>
      </c>
    </row>
    <row r="311" spans="1:7">
      <c r="A311" s="70">
        <v>27668</v>
      </c>
      <c r="B311">
        <v>83.870002999999997</v>
      </c>
      <c r="C311">
        <v>91.75</v>
      </c>
      <c r="D311">
        <v>82.57</v>
      </c>
      <c r="E311">
        <v>89.040001000000004</v>
      </c>
      <c r="F311">
        <v>89.040001000000004</v>
      </c>
      <c r="G311">
        <v>365540000</v>
      </c>
    </row>
    <row r="312" spans="1:7">
      <c r="A312" s="70">
        <v>27699</v>
      </c>
      <c r="B312">
        <v>89.040001000000004</v>
      </c>
      <c r="C312">
        <v>92.330001999999993</v>
      </c>
      <c r="D312">
        <v>87.629997000000003</v>
      </c>
      <c r="E312">
        <v>91.239998</v>
      </c>
      <c r="F312">
        <v>91.239998</v>
      </c>
      <c r="G312">
        <v>318810000</v>
      </c>
    </row>
    <row r="313" spans="1:7">
      <c r="A313" s="70">
        <v>27729</v>
      </c>
      <c r="B313">
        <v>91.239998</v>
      </c>
      <c r="C313">
        <v>91.900002000000001</v>
      </c>
      <c r="D313">
        <v>86.150002000000001</v>
      </c>
      <c r="E313">
        <v>90.190002000000007</v>
      </c>
      <c r="F313">
        <v>90.190002000000007</v>
      </c>
      <c r="G313">
        <v>348970000</v>
      </c>
    </row>
    <row r="314" spans="1:7">
      <c r="A314" s="70">
        <v>27760</v>
      </c>
      <c r="B314">
        <v>90.190002000000007</v>
      </c>
      <c r="C314">
        <v>101.989998</v>
      </c>
      <c r="D314">
        <v>89.809997999999993</v>
      </c>
      <c r="E314">
        <v>100.860001</v>
      </c>
      <c r="F314">
        <v>100.860001</v>
      </c>
      <c r="G314">
        <v>635830000</v>
      </c>
    </row>
    <row r="315" spans="1:7">
      <c r="A315" s="70">
        <v>27791</v>
      </c>
      <c r="B315">
        <v>100.860001</v>
      </c>
      <c r="C315">
        <v>103.07</v>
      </c>
      <c r="D315">
        <v>98.5</v>
      </c>
      <c r="E315">
        <v>99.709998999999996</v>
      </c>
      <c r="F315">
        <v>99.709998999999996</v>
      </c>
      <c r="G315">
        <v>596130000</v>
      </c>
    </row>
    <row r="316" spans="1:7">
      <c r="A316" s="70">
        <v>27820</v>
      </c>
      <c r="B316">
        <v>99.709998999999996</v>
      </c>
      <c r="C316">
        <v>104.389999</v>
      </c>
      <c r="D316">
        <v>98.230002999999996</v>
      </c>
      <c r="E316">
        <v>102.769997</v>
      </c>
      <c r="F316">
        <v>102.769997</v>
      </c>
      <c r="G316">
        <v>529600000</v>
      </c>
    </row>
    <row r="317" spans="1:7">
      <c r="A317" s="70">
        <v>27851</v>
      </c>
      <c r="B317">
        <v>102.769997</v>
      </c>
      <c r="C317">
        <v>104.629997</v>
      </c>
      <c r="D317">
        <v>99.57</v>
      </c>
      <c r="E317">
        <v>101.639999</v>
      </c>
      <c r="F317">
        <v>101.639999</v>
      </c>
      <c r="G317">
        <v>392260000</v>
      </c>
    </row>
    <row r="318" spans="1:7">
      <c r="A318" s="70">
        <v>27881</v>
      </c>
      <c r="B318">
        <v>101.639999</v>
      </c>
      <c r="C318">
        <v>103.989998</v>
      </c>
      <c r="D318">
        <v>98.260002</v>
      </c>
      <c r="E318">
        <v>100.18</v>
      </c>
      <c r="F318">
        <v>100.18</v>
      </c>
      <c r="G318">
        <v>355910000</v>
      </c>
    </row>
    <row r="319" spans="1:7">
      <c r="A319" s="70">
        <v>27912</v>
      </c>
      <c r="B319">
        <v>100.18</v>
      </c>
      <c r="C319">
        <v>105.07</v>
      </c>
      <c r="D319">
        <v>97.970000999999996</v>
      </c>
      <c r="E319">
        <v>104.279999</v>
      </c>
      <c r="F319">
        <v>104.279999</v>
      </c>
      <c r="G319">
        <v>417230000</v>
      </c>
    </row>
    <row r="320" spans="1:7">
      <c r="A320" s="70">
        <v>27942</v>
      </c>
      <c r="B320">
        <v>104.279999</v>
      </c>
      <c r="C320">
        <v>106.779999</v>
      </c>
      <c r="D320">
        <v>102.30999799999999</v>
      </c>
      <c r="E320">
        <v>103.44000200000001</v>
      </c>
      <c r="F320">
        <v>103.44000200000001</v>
      </c>
      <c r="G320">
        <v>393760000</v>
      </c>
    </row>
    <row r="321" spans="1:7">
      <c r="A321" s="70">
        <v>27973</v>
      </c>
      <c r="B321">
        <v>103.44000200000001</v>
      </c>
      <c r="C321">
        <v>105.410004</v>
      </c>
      <c r="D321">
        <v>100.43</v>
      </c>
      <c r="E321">
        <v>102.910004</v>
      </c>
      <c r="F321">
        <v>102.910004</v>
      </c>
      <c r="G321">
        <v>346680000</v>
      </c>
    </row>
    <row r="322" spans="1:7">
      <c r="A322" s="70">
        <v>28004</v>
      </c>
      <c r="B322">
        <v>102.910004</v>
      </c>
      <c r="C322">
        <v>108.720001</v>
      </c>
      <c r="D322">
        <v>102.599998</v>
      </c>
      <c r="E322">
        <v>105.239998</v>
      </c>
      <c r="F322">
        <v>105.239998</v>
      </c>
      <c r="G322">
        <v>414750000</v>
      </c>
    </row>
    <row r="323" spans="1:7">
      <c r="A323" s="70">
        <v>28034</v>
      </c>
      <c r="B323">
        <v>105.239998</v>
      </c>
      <c r="C323">
        <v>105.75</v>
      </c>
      <c r="D323">
        <v>99.209998999999996</v>
      </c>
      <c r="E323">
        <v>102.900002</v>
      </c>
      <c r="F323">
        <v>102.900002</v>
      </c>
      <c r="G323">
        <v>361390000</v>
      </c>
    </row>
    <row r="324" spans="1:7">
      <c r="A324" s="70">
        <v>28065</v>
      </c>
      <c r="B324">
        <v>102.900002</v>
      </c>
      <c r="C324">
        <v>103.779999</v>
      </c>
      <c r="D324">
        <v>98.18</v>
      </c>
      <c r="E324">
        <v>102.099998</v>
      </c>
      <c r="F324">
        <v>102.099998</v>
      </c>
      <c r="G324">
        <v>381020000</v>
      </c>
    </row>
    <row r="325" spans="1:7">
      <c r="A325" s="70">
        <v>28095</v>
      </c>
      <c r="B325">
        <v>102.099998</v>
      </c>
      <c r="C325">
        <v>107.82</v>
      </c>
      <c r="D325">
        <v>101.620003</v>
      </c>
      <c r="E325">
        <v>107.459999</v>
      </c>
      <c r="F325">
        <v>107.459999</v>
      </c>
      <c r="G325">
        <v>534550000</v>
      </c>
    </row>
    <row r="326" spans="1:7">
      <c r="A326" s="70">
        <v>28126</v>
      </c>
      <c r="B326">
        <v>107.459999</v>
      </c>
      <c r="C326">
        <v>107.970001</v>
      </c>
      <c r="D326">
        <v>100.910004</v>
      </c>
      <c r="E326">
        <v>102.029999</v>
      </c>
      <c r="F326">
        <v>102.029999</v>
      </c>
      <c r="G326">
        <v>501620000</v>
      </c>
    </row>
    <row r="327" spans="1:7">
      <c r="A327" s="70">
        <v>28157</v>
      </c>
      <c r="B327">
        <v>102.029999</v>
      </c>
      <c r="C327">
        <v>103.32</v>
      </c>
      <c r="D327">
        <v>98.82</v>
      </c>
      <c r="E327">
        <v>99.82</v>
      </c>
      <c r="F327">
        <v>99.82</v>
      </c>
      <c r="G327">
        <v>398440000</v>
      </c>
    </row>
    <row r="328" spans="1:7">
      <c r="A328" s="70">
        <v>28185</v>
      </c>
      <c r="B328">
        <v>99.82</v>
      </c>
      <c r="C328">
        <v>102.699997</v>
      </c>
      <c r="D328">
        <v>97.800003000000004</v>
      </c>
      <c r="E328">
        <v>98.419998000000007</v>
      </c>
      <c r="F328">
        <v>98.419998000000007</v>
      </c>
      <c r="G328">
        <v>434690000</v>
      </c>
    </row>
    <row r="329" spans="1:7">
      <c r="A329" s="70">
        <v>28216</v>
      </c>
      <c r="B329">
        <v>98.419998000000007</v>
      </c>
      <c r="C329">
        <v>102.07</v>
      </c>
      <c r="D329">
        <v>96.529999000000004</v>
      </c>
      <c r="E329">
        <v>98.440002000000007</v>
      </c>
      <c r="F329">
        <v>98.440002000000007</v>
      </c>
      <c r="G329">
        <v>403060000</v>
      </c>
    </row>
    <row r="330" spans="1:7">
      <c r="A330" s="70">
        <v>28246</v>
      </c>
      <c r="B330">
        <v>98.440002000000007</v>
      </c>
      <c r="C330">
        <v>100.93</v>
      </c>
      <c r="D330">
        <v>95.519997000000004</v>
      </c>
      <c r="E330">
        <v>96.120002999999997</v>
      </c>
      <c r="F330">
        <v>96.120002999999997</v>
      </c>
      <c r="G330">
        <v>425820000</v>
      </c>
    </row>
    <row r="331" spans="1:7">
      <c r="A331" s="70">
        <v>28277</v>
      </c>
      <c r="B331">
        <v>96.120002999999997</v>
      </c>
      <c r="C331">
        <v>101.650002</v>
      </c>
      <c r="D331">
        <v>95.889999000000003</v>
      </c>
      <c r="E331">
        <v>100.480003</v>
      </c>
      <c r="F331">
        <v>100.480003</v>
      </c>
      <c r="G331">
        <v>485150000</v>
      </c>
    </row>
    <row r="332" spans="1:7">
      <c r="A332" s="70">
        <v>28307</v>
      </c>
      <c r="B332">
        <v>100.480003</v>
      </c>
      <c r="C332">
        <v>102.57</v>
      </c>
      <c r="D332">
        <v>97.709998999999996</v>
      </c>
      <c r="E332">
        <v>98.849997999999999</v>
      </c>
      <c r="F332">
        <v>98.849997999999999</v>
      </c>
      <c r="G332">
        <v>452480000</v>
      </c>
    </row>
    <row r="333" spans="1:7">
      <c r="A333" s="70">
        <v>28338</v>
      </c>
      <c r="B333">
        <v>98.849997999999999</v>
      </c>
      <c r="C333">
        <v>99.839995999999999</v>
      </c>
      <c r="D333">
        <v>95.040001000000004</v>
      </c>
      <c r="E333">
        <v>96.769997000000004</v>
      </c>
      <c r="F333">
        <v>96.769997000000004</v>
      </c>
      <c r="G333">
        <v>433650000</v>
      </c>
    </row>
    <row r="334" spans="1:7">
      <c r="A334" s="70">
        <v>28369</v>
      </c>
      <c r="B334">
        <v>96.769997000000004</v>
      </c>
      <c r="C334">
        <v>98.43</v>
      </c>
      <c r="D334">
        <v>94.440002000000007</v>
      </c>
      <c r="E334">
        <v>96.529999000000004</v>
      </c>
      <c r="F334">
        <v>96.529999000000004</v>
      </c>
      <c r="G334">
        <v>383670000</v>
      </c>
    </row>
    <row r="335" spans="1:7">
      <c r="A335" s="70">
        <v>28399</v>
      </c>
      <c r="B335">
        <v>96.529999000000004</v>
      </c>
      <c r="C335">
        <v>97.269997000000004</v>
      </c>
      <c r="D335">
        <v>90.199996999999996</v>
      </c>
      <c r="E335">
        <v>92.339995999999999</v>
      </c>
      <c r="F335">
        <v>92.339995999999999</v>
      </c>
      <c r="G335">
        <v>413470000</v>
      </c>
    </row>
    <row r="336" spans="1:7">
      <c r="A336" s="70">
        <v>28430</v>
      </c>
      <c r="B336">
        <v>92.190002000000007</v>
      </c>
      <c r="C336">
        <v>97.110000999999997</v>
      </c>
      <c r="D336">
        <v>90.010002</v>
      </c>
      <c r="E336">
        <v>94.830001999999993</v>
      </c>
      <c r="F336">
        <v>94.830001999999993</v>
      </c>
      <c r="G336">
        <v>494680000</v>
      </c>
    </row>
    <row r="337" spans="1:7">
      <c r="A337" s="70">
        <v>28460</v>
      </c>
      <c r="B337">
        <v>94.830001999999993</v>
      </c>
      <c r="C337">
        <v>95.669998000000007</v>
      </c>
      <c r="D337">
        <v>91.760002</v>
      </c>
      <c r="E337">
        <v>95.099997999999999</v>
      </c>
      <c r="F337">
        <v>95.099997999999999</v>
      </c>
      <c r="G337">
        <v>450970000</v>
      </c>
    </row>
    <row r="338" spans="1:7">
      <c r="A338" s="70">
        <v>28491</v>
      </c>
      <c r="B338">
        <v>95.099997999999999</v>
      </c>
      <c r="C338">
        <v>95.150002000000001</v>
      </c>
      <c r="D338">
        <v>88.019997000000004</v>
      </c>
      <c r="E338">
        <v>89.25</v>
      </c>
      <c r="F338">
        <v>89.25</v>
      </c>
      <c r="G338">
        <v>428140000</v>
      </c>
    </row>
    <row r="339" spans="1:7">
      <c r="A339" s="70">
        <v>28522</v>
      </c>
      <c r="B339">
        <v>89.25</v>
      </c>
      <c r="C339">
        <v>91.32</v>
      </c>
      <c r="D339">
        <v>86.580001999999993</v>
      </c>
      <c r="E339">
        <v>87.040001000000004</v>
      </c>
      <c r="F339">
        <v>87.040001000000004</v>
      </c>
      <c r="G339">
        <v>368600000</v>
      </c>
    </row>
    <row r="340" spans="1:7">
      <c r="A340" s="70">
        <v>28550</v>
      </c>
      <c r="B340">
        <v>87.040001000000004</v>
      </c>
      <c r="C340">
        <v>91.349997999999999</v>
      </c>
      <c r="D340">
        <v>86.449996999999996</v>
      </c>
      <c r="E340">
        <v>89.209998999999996</v>
      </c>
      <c r="F340">
        <v>89.209998999999996</v>
      </c>
      <c r="G340">
        <v>497580000</v>
      </c>
    </row>
    <row r="341" spans="1:7">
      <c r="A341" s="70">
        <v>28581</v>
      </c>
      <c r="B341">
        <v>89.199996999999996</v>
      </c>
      <c r="C341">
        <v>97.910004000000001</v>
      </c>
      <c r="D341">
        <v>88.07</v>
      </c>
      <c r="E341">
        <v>96.830001999999993</v>
      </c>
      <c r="F341">
        <v>96.830001999999993</v>
      </c>
      <c r="G341">
        <v>695600000</v>
      </c>
    </row>
    <row r="342" spans="1:7">
      <c r="A342" s="70">
        <v>28611</v>
      </c>
      <c r="B342">
        <v>96.830001999999993</v>
      </c>
      <c r="C342">
        <v>100.32</v>
      </c>
      <c r="D342">
        <v>94.57</v>
      </c>
      <c r="E342">
        <v>97.239998</v>
      </c>
      <c r="F342">
        <v>97.239998</v>
      </c>
      <c r="G342">
        <v>775750000</v>
      </c>
    </row>
    <row r="343" spans="1:7">
      <c r="A343" s="70">
        <v>28642</v>
      </c>
      <c r="B343">
        <v>97.239998</v>
      </c>
      <c r="C343">
        <v>101.839996</v>
      </c>
      <c r="D343">
        <v>93.989998</v>
      </c>
      <c r="E343">
        <v>95.529999000000004</v>
      </c>
      <c r="F343">
        <v>95.529999000000004</v>
      </c>
      <c r="G343">
        <v>666290000</v>
      </c>
    </row>
    <row r="344" spans="1:7">
      <c r="A344" s="70">
        <v>28672</v>
      </c>
      <c r="B344">
        <v>95.529999000000004</v>
      </c>
      <c r="C344">
        <v>101.18</v>
      </c>
      <c r="D344">
        <v>93.589995999999999</v>
      </c>
      <c r="E344">
        <v>100.68</v>
      </c>
      <c r="F344">
        <v>100.68</v>
      </c>
      <c r="G344">
        <v>541490000</v>
      </c>
    </row>
    <row r="345" spans="1:7">
      <c r="A345" s="70">
        <v>28703</v>
      </c>
      <c r="B345">
        <v>100.68</v>
      </c>
      <c r="C345">
        <v>106.269997</v>
      </c>
      <c r="D345">
        <v>99.949996999999996</v>
      </c>
      <c r="E345">
        <v>103.290001</v>
      </c>
      <c r="F345">
        <v>103.290001</v>
      </c>
      <c r="G345">
        <v>864950000</v>
      </c>
    </row>
    <row r="346" spans="1:7">
      <c r="A346" s="70">
        <v>28734</v>
      </c>
      <c r="B346">
        <v>103.290001</v>
      </c>
      <c r="C346">
        <v>108.050003</v>
      </c>
      <c r="D346">
        <v>100.660004</v>
      </c>
      <c r="E346">
        <v>102.540001</v>
      </c>
      <c r="F346">
        <v>102.540001</v>
      </c>
      <c r="G346">
        <v>672290000</v>
      </c>
    </row>
    <row r="347" spans="1:7">
      <c r="A347" s="70">
        <v>28764</v>
      </c>
      <c r="B347">
        <v>102.540001</v>
      </c>
      <c r="C347">
        <v>106.230003</v>
      </c>
      <c r="D347">
        <v>91.650002000000001</v>
      </c>
      <c r="E347">
        <v>93.150002000000001</v>
      </c>
      <c r="F347">
        <v>93.150002000000001</v>
      </c>
      <c r="G347">
        <v>682340000</v>
      </c>
    </row>
    <row r="348" spans="1:7">
      <c r="A348" s="70">
        <v>28795</v>
      </c>
      <c r="B348">
        <v>94.129997000000003</v>
      </c>
      <c r="C348">
        <v>97.410004000000001</v>
      </c>
      <c r="D348">
        <v>91.769997000000004</v>
      </c>
      <c r="E348">
        <v>94.699996999999996</v>
      </c>
      <c r="F348">
        <v>94.699996999999996</v>
      </c>
      <c r="G348">
        <v>514610000</v>
      </c>
    </row>
    <row r="349" spans="1:7">
      <c r="A349" s="70">
        <v>28825</v>
      </c>
      <c r="B349">
        <v>95.010002</v>
      </c>
      <c r="C349">
        <v>98.580001999999993</v>
      </c>
      <c r="D349">
        <v>92.639999000000003</v>
      </c>
      <c r="E349">
        <v>96.110000999999997</v>
      </c>
      <c r="F349">
        <v>96.110000999999997</v>
      </c>
      <c r="G349">
        <v>492440000</v>
      </c>
    </row>
    <row r="350" spans="1:7">
      <c r="A350" s="70">
        <v>28856</v>
      </c>
      <c r="B350">
        <v>96.110000999999997</v>
      </c>
      <c r="C350">
        <v>102.589996</v>
      </c>
      <c r="D350">
        <v>95.220000999999996</v>
      </c>
      <c r="E350">
        <v>99.93</v>
      </c>
      <c r="F350">
        <v>99.93</v>
      </c>
      <c r="G350">
        <v>615730000</v>
      </c>
    </row>
    <row r="351" spans="1:7">
      <c r="A351" s="70">
        <v>28887</v>
      </c>
      <c r="B351">
        <v>99.93</v>
      </c>
      <c r="C351">
        <v>100.519997</v>
      </c>
      <c r="D351">
        <v>95.379997000000003</v>
      </c>
      <c r="E351">
        <v>96.279999000000004</v>
      </c>
      <c r="F351">
        <v>96.279999000000004</v>
      </c>
      <c r="G351">
        <v>475710000</v>
      </c>
    </row>
    <row r="352" spans="1:7">
      <c r="A352" s="70">
        <v>28915</v>
      </c>
      <c r="B352">
        <v>96.279999000000004</v>
      </c>
      <c r="C352">
        <v>103.30999799999999</v>
      </c>
      <c r="D352">
        <v>95.980002999999996</v>
      </c>
      <c r="E352">
        <v>101.589996</v>
      </c>
      <c r="F352">
        <v>101.589996</v>
      </c>
      <c r="G352">
        <v>649800000</v>
      </c>
    </row>
    <row r="353" spans="1:7">
      <c r="A353" s="70">
        <v>28946</v>
      </c>
      <c r="B353">
        <v>101.55999799999999</v>
      </c>
      <c r="C353">
        <v>103.949997</v>
      </c>
      <c r="D353">
        <v>100.139999</v>
      </c>
      <c r="E353">
        <v>101.760002</v>
      </c>
      <c r="F353">
        <v>101.760002</v>
      </c>
      <c r="G353">
        <v>620650000</v>
      </c>
    </row>
    <row r="354" spans="1:7">
      <c r="A354" s="70">
        <v>28976</v>
      </c>
      <c r="B354">
        <v>101.760002</v>
      </c>
      <c r="C354">
        <v>102.57</v>
      </c>
      <c r="D354">
        <v>97.489998</v>
      </c>
      <c r="E354">
        <v>99.080001999999993</v>
      </c>
      <c r="F354">
        <v>99.080001999999993</v>
      </c>
      <c r="G354">
        <v>623740000</v>
      </c>
    </row>
    <row r="355" spans="1:7">
      <c r="A355" s="70">
        <v>29007</v>
      </c>
      <c r="B355">
        <v>99.080001999999993</v>
      </c>
      <c r="C355">
        <v>103.66999800000001</v>
      </c>
      <c r="D355">
        <v>98.57</v>
      </c>
      <c r="E355">
        <v>102.910004</v>
      </c>
      <c r="F355">
        <v>102.910004</v>
      </c>
      <c r="G355">
        <v>735710000</v>
      </c>
    </row>
    <row r="356" spans="1:7">
      <c r="A356" s="70">
        <v>29037</v>
      </c>
      <c r="B356">
        <v>102.910004</v>
      </c>
      <c r="C356">
        <v>105.16999800000001</v>
      </c>
      <c r="D356">
        <v>100.349998</v>
      </c>
      <c r="E356">
        <v>103.80999799999999</v>
      </c>
      <c r="F356">
        <v>103.80999799999999</v>
      </c>
      <c r="G356">
        <v>680740000</v>
      </c>
    </row>
    <row r="357" spans="1:7">
      <c r="A357" s="70">
        <v>29068</v>
      </c>
      <c r="B357">
        <v>103.80999799999999</v>
      </c>
      <c r="C357">
        <v>109.839996</v>
      </c>
      <c r="D357">
        <v>103.139999</v>
      </c>
      <c r="E357">
        <v>109.32</v>
      </c>
      <c r="F357">
        <v>109.32</v>
      </c>
      <c r="G357">
        <v>825050000</v>
      </c>
    </row>
    <row r="358" spans="1:7">
      <c r="A358" s="70">
        <v>29099</v>
      </c>
      <c r="B358">
        <v>109.32</v>
      </c>
      <c r="C358">
        <v>111.58000199999999</v>
      </c>
      <c r="D358">
        <v>105.379997</v>
      </c>
      <c r="E358">
        <v>109.32</v>
      </c>
      <c r="F358">
        <v>109.32</v>
      </c>
      <c r="G358">
        <v>713940000</v>
      </c>
    </row>
    <row r="359" spans="1:7">
      <c r="A359" s="70">
        <v>29129</v>
      </c>
      <c r="B359">
        <v>109.19000200000001</v>
      </c>
      <c r="C359">
        <v>112.160004</v>
      </c>
      <c r="D359">
        <v>99.059997999999993</v>
      </c>
      <c r="E359">
        <v>101.82</v>
      </c>
      <c r="F359">
        <v>101.82</v>
      </c>
      <c r="G359">
        <v>857930000</v>
      </c>
    </row>
    <row r="360" spans="1:7">
      <c r="A360" s="70">
        <v>29160</v>
      </c>
      <c r="B360">
        <v>101.82</v>
      </c>
      <c r="C360">
        <v>107.889999</v>
      </c>
      <c r="D360">
        <v>99.419998000000007</v>
      </c>
      <c r="E360">
        <v>106.160004</v>
      </c>
      <c r="F360">
        <v>106.160004</v>
      </c>
      <c r="G360">
        <v>653650000</v>
      </c>
    </row>
    <row r="361" spans="1:7">
      <c r="A361" s="70">
        <v>29190</v>
      </c>
      <c r="B361">
        <v>106.160004</v>
      </c>
      <c r="C361">
        <v>110.33000199999999</v>
      </c>
      <c r="D361">
        <v>105.07</v>
      </c>
      <c r="E361">
        <v>107.94000200000001</v>
      </c>
      <c r="F361">
        <v>107.94000200000001</v>
      </c>
      <c r="G361">
        <v>710210000</v>
      </c>
    </row>
    <row r="362" spans="1:7">
      <c r="A362" s="70">
        <v>29221</v>
      </c>
      <c r="B362">
        <v>107.94000200000001</v>
      </c>
      <c r="C362">
        <v>117.16999800000001</v>
      </c>
      <c r="D362">
        <v>103.260002</v>
      </c>
      <c r="E362">
        <v>114.160004</v>
      </c>
      <c r="F362">
        <v>114.160004</v>
      </c>
      <c r="G362">
        <v>1158240000</v>
      </c>
    </row>
    <row r="363" spans="1:7">
      <c r="A363" s="70">
        <v>29252</v>
      </c>
      <c r="B363">
        <v>114.160004</v>
      </c>
      <c r="C363">
        <v>120.220001</v>
      </c>
      <c r="D363">
        <v>111.33000199999999</v>
      </c>
      <c r="E363">
        <v>113.660004</v>
      </c>
      <c r="F363">
        <v>113.660004</v>
      </c>
      <c r="G363">
        <v>956530000</v>
      </c>
    </row>
    <row r="364" spans="1:7">
      <c r="A364" s="70">
        <v>29281</v>
      </c>
      <c r="B364">
        <v>113.660004</v>
      </c>
      <c r="C364">
        <v>114.339996</v>
      </c>
      <c r="D364">
        <v>94.230002999999996</v>
      </c>
      <c r="E364">
        <v>102.089996</v>
      </c>
      <c r="F364">
        <v>102.089996</v>
      </c>
      <c r="G364">
        <v>876450000</v>
      </c>
    </row>
    <row r="365" spans="1:7">
      <c r="A365" s="70">
        <v>29312</v>
      </c>
      <c r="B365">
        <v>102.089996</v>
      </c>
      <c r="C365">
        <v>106.790001</v>
      </c>
      <c r="D365">
        <v>98.949996999999996</v>
      </c>
      <c r="E365">
        <v>106.290001</v>
      </c>
      <c r="F365">
        <v>106.290001</v>
      </c>
      <c r="G365">
        <v>674140000</v>
      </c>
    </row>
    <row r="366" spans="1:7">
      <c r="A366" s="70">
        <v>29342</v>
      </c>
      <c r="B366">
        <v>106.290001</v>
      </c>
      <c r="C366">
        <v>112.720001</v>
      </c>
      <c r="D366">
        <v>103.5</v>
      </c>
      <c r="E366">
        <v>111.239998</v>
      </c>
      <c r="F366">
        <v>111.239998</v>
      </c>
      <c r="G366">
        <v>764920000</v>
      </c>
    </row>
    <row r="367" spans="1:7">
      <c r="A367" s="70">
        <v>29373</v>
      </c>
      <c r="B367">
        <v>111.239998</v>
      </c>
      <c r="C367">
        <v>117.980003</v>
      </c>
      <c r="D367">
        <v>109.769997</v>
      </c>
      <c r="E367">
        <v>114.239998</v>
      </c>
      <c r="F367">
        <v>114.239998</v>
      </c>
      <c r="G367">
        <v>829660000</v>
      </c>
    </row>
    <row r="368" spans="1:7">
      <c r="A368" s="70">
        <v>29403</v>
      </c>
      <c r="B368">
        <v>114.239998</v>
      </c>
      <c r="C368">
        <v>123.93</v>
      </c>
      <c r="D368">
        <v>113.540001</v>
      </c>
      <c r="E368">
        <v>121.66999800000001</v>
      </c>
      <c r="F368">
        <v>121.66999800000001</v>
      </c>
      <c r="G368">
        <v>1021770000</v>
      </c>
    </row>
    <row r="369" spans="1:7">
      <c r="A369" s="70">
        <v>29434</v>
      </c>
      <c r="B369">
        <v>121.66999800000001</v>
      </c>
      <c r="C369">
        <v>127.779999</v>
      </c>
      <c r="D369">
        <v>119.41999800000001</v>
      </c>
      <c r="E369">
        <v>122.379997</v>
      </c>
      <c r="F369">
        <v>122.379997</v>
      </c>
      <c r="G369">
        <v>965660000</v>
      </c>
    </row>
    <row r="370" spans="1:7">
      <c r="A370" s="70">
        <v>29465</v>
      </c>
      <c r="B370">
        <v>122.379997</v>
      </c>
      <c r="C370">
        <v>132.16999799999999</v>
      </c>
      <c r="D370">
        <v>121.790001</v>
      </c>
      <c r="E370">
        <v>125.459999</v>
      </c>
      <c r="F370">
        <v>125.459999</v>
      </c>
      <c r="G370">
        <v>1057710000</v>
      </c>
    </row>
    <row r="371" spans="1:7">
      <c r="A371" s="70">
        <v>29495</v>
      </c>
      <c r="B371">
        <v>125.459999</v>
      </c>
      <c r="C371">
        <v>135.88000500000001</v>
      </c>
      <c r="D371">
        <v>124.660004</v>
      </c>
      <c r="E371">
        <v>127.470001</v>
      </c>
      <c r="F371">
        <v>127.470001</v>
      </c>
      <c r="G371">
        <v>1031790000</v>
      </c>
    </row>
    <row r="372" spans="1:7">
      <c r="A372" s="70">
        <v>29526</v>
      </c>
      <c r="B372">
        <v>127.470001</v>
      </c>
      <c r="C372">
        <v>141.96000699999999</v>
      </c>
      <c r="D372">
        <v>127.230003</v>
      </c>
      <c r="E372">
        <v>140.520004</v>
      </c>
      <c r="F372">
        <v>140.520004</v>
      </c>
      <c r="G372">
        <v>988110000</v>
      </c>
    </row>
    <row r="373" spans="1:7">
      <c r="A373" s="70">
        <v>29556</v>
      </c>
      <c r="B373">
        <v>140.520004</v>
      </c>
      <c r="C373">
        <v>140.66000399999999</v>
      </c>
      <c r="D373">
        <v>125.32</v>
      </c>
      <c r="E373">
        <v>135.759995</v>
      </c>
      <c r="F373">
        <v>135.759995</v>
      </c>
      <c r="G373">
        <v>1025650000</v>
      </c>
    </row>
    <row r="374" spans="1:7">
      <c r="A374" s="70">
        <v>29587</v>
      </c>
      <c r="B374">
        <v>135.759995</v>
      </c>
      <c r="C374">
        <v>140.320007</v>
      </c>
      <c r="D374">
        <v>128.570007</v>
      </c>
      <c r="E374">
        <v>129.550003</v>
      </c>
      <c r="F374">
        <v>129.550003</v>
      </c>
      <c r="G374">
        <v>955520000</v>
      </c>
    </row>
    <row r="375" spans="1:7">
      <c r="A375" s="70">
        <v>29618</v>
      </c>
      <c r="B375">
        <v>129.479996</v>
      </c>
      <c r="C375">
        <v>132.020004</v>
      </c>
      <c r="D375">
        <v>124.660004</v>
      </c>
      <c r="E375">
        <v>131.270004</v>
      </c>
      <c r="F375">
        <v>131.270004</v>
      </c>
      <c r="G375">
        <v>816310000</v>
      </c>
    </row>
    <row r="376" spans="1:7">
      <c r="A376" s="70">
        <v>29646</v>
      </c>
      <c r="B376">
        <v>131.270004</v>
      </c>
      <c r="C376">
        <v>138.38000500000001</v>
      </c>
      <c r="D376">
        <v>128.55999800000001</v>
      </c>
      <c r="E376">
        <v>136</v>
      </c>
      <c r="F376">
        <v>136</v>
      </c>
      <c r="G376">
        <v>1174530000</v>
      </c>
    </row>
    <row r="377" spans="1:7">
      <c r="A377" s="70">
        <v>29677</v>
      </c>
      <c r="B377">
        <v>136</v>
      </c>
      <c r="C377">
        <v>137.720001</v>
      </c>
      <c r="D377">
        <v>131.58000200000001</v>
      </c>
      <c r="E377">
        <v>132.80999800000001</v>
      </c>
      <c r="F377">
        <v>132.80999800000001</v>
      </c>
      <c r="G377">
        <v>1123470000</v>
      </c>
    </row>
    <row r="378" spans="1:7">
      <c r="A378" s="70">
        <v>29707</v>
      </c>
      <c r="B378">
        <v>132.80999800000001</v>
      </c>
      <c r="C378">
        <v>134.91999799999999</v>
      </c>
      <c r="D378">
        <v>128.779999</v>
      </c>
      <c r="E378">
        <v>132.58999600000001</v>
      </c>
      <c r="F378">
        <v>132.58999600000001</v>
      </c>
      <c r="G378">
        <v>905430000</v>
      </c>
    </row>
    <row r="379" spans="1:7">
      <c r="A379" s="70">
        <v>29738</v>
      </c>
      <c r="B379">
        <v>132.58999600000001</v>
      </c>
      <c r="C379">
        <v>135.66999799999999</v>
      </c>
      <c r="D379">
        <v>128.770004</v>
      </c>
      <c r="E379">
        <v>131.21000699999999</v>
      </c>
      <c r="F379">
        <v>131.21000699999999</v>
      </c>
      <c r="G379">
        <v>1100970000</v>
      </c>
    </row>
    <row r="380" spans="1:7">
      <c r="A380" s="70">
        <v>29768</v>
      </c>
      <c r="B380">
        <v>131.21000699999999</v>
      </c>
      <c r="C380">
        <v>131.779999</v>
      </c>
      <c r="D380">
        <v>125.959999</v>
      </c>
      <c r="E380">
        <v>130.91999799999999</v>
      </c>
      <c r="F380">
        <v>130.91999799999999</v>
      </c>
      <c r="G380">
        <v>953970000</v>
      </c>
    </row>
    <row r="381" spans="1:7">
      <c r="A381" s="70">
        <v>29799</v>
      </c>
      <c r="B381">
        <v>130.91999799999999</v>
      </c>
      <c r="C381">
        <v>135.179993</v>
      </c>
      <c r="D381">
        <v>122.290001</v>
      </c>
      <c r="E381">
        <v>122.790001</v>
      </c>
      <c r="F381">
        <v>122.790001</v>
      </c>
      <c r="G381">
        <v>920550000</v>
      </c>
    </row>
    <row r="382" spans="1:7">
      <c r="A382" s="70">
        <v>29830</v>
      </c>
      <c r="B382">
        <v>122.790001</v>
      </c>
      <c r="C382">
        <v>124.58000199999999</v>
      </c>
      <c r="D382">
        <v>110.19000200000001</v>
      </c>
      <c r="E382">
        <v>116.18</v>
      </c>
      <c r="F382">
        <v>116.18</v>
      </c>
      <c r="G382">
        <v>959140000</v>
      </c>
    </row>
    <row r="383" spans="1:7">
      <c r="A383" s="70">
        <v>29860</v>
      </c>
      <c r="B383">
        <v>116.18</v>
      </c>
      <c r="C383">
        <v>123.279999</v>
      </c>
      <c r="D383">
        <v>115</v>
      </c>
      <c r="E383">
        <v>121.889999</v>
      </c>
      <c r="F383">
        <v>121.889999</v>
      </c>
      <c r="G383">
        <v>997560000</v>
      </c>
    </row>
    <row r="384" spans="1:7">
      <c r="A384" s="70">
        <v>29891</v>
      </c>
      <c r="B384">
        <v>122.349998</v>
      </c>
      <c r="C384">
        <v>126.970001</v>
      </c>
      <c r="D384">
        <v>119.129997</v>
      </c>
      <c r="E384">
        <v>126.349998</v>
      </c>
      <c r="F384">
        <v>126.349998</v>
      </c>
      <c r="G384">
        <v>987920000</v>
      </c>
    </row>
    <row r="385" spans="1:7">
      <c r="A385" s="70">
        <v>29921</v>
      </c>
      <c r="B385">
        <v>126.349998</v>
      </c>
      <c r="C385">
        <v>127.32</v>
      </c>
      <c r="D385">
        <v>121.040001</v>
      </c>
      <c r="E385">
        <v>122.550003</v>
      </c>
      <c r="F385">
        <v>122.550003</v>
      </c>
      <c r="G385">
        <v>959470000</v>
      </c>
    </row>
    <row r="386" spans="1:7">
      <c r="A386" s="70">
        <v>29952</v>
      </c>
      <c r="B386">
        <v>122.550003</v>
      </c>
      <c r="C386">
        <v>123.720001</v>
      </c>
      <c r="D386">
        <v>113.629997</v>
      </c>
      <c r="E386">
        <v>120.400002</v>
      </c>
      <c r="F386">
        <v>120.400002</v>
      </c>
      <c r="G386">
        <v>968340000</v>
      </c>
    </row>
    <row r="387" spans="1:7">
      <c r="A387" s="70">
        <v>29983</v>
      </c>
      <c r="B387">
        <v>119.80999799999999</v>
      </c>
      <c r="C387">
        <v>119.80999799999999</v>
      </c>
      <c r="D387">
        <v>110.029999</v>
      </c>
      <c r="E387">
        <v>113.110001</v>
      </c>
      <c r="F387">
        <v>113.110001</v>
      </c>
      <c r="G387">
        <v>972190000</v>
      </c>
    </row>
    <row r="388" spans="1:7">
      <c r="A388" s="70">
        <v>30011</v>
      </c>
      <c r="B388">
        <v>113.110001</v>
      </c>
      <c r="C388">
        <v>114.800003</v>
      </c>
      <c r="D388">
        <v>104.459999</v>
      </c>
      <c r="E388">
        <v>111.959999</v>
      </c>
      <c r="F388">
        <v>111.959999</v>
      </c>
      <c r="G388">
        <v>1268690000</v>
      </c>
    </row>
    <row r="389" spans="1:7">
      <c r="A389" s="70">
        <v>30042</v>
      </c>
      <c r="B389">
        <v>111.959999</v>
      </c>
      <c r="C389">
        <v>119.33000199999999</v>
      </c>
      <c r="D389">
        <v>111.480003</v>
      </c>
      <c r="E389">
        <v>116.44000200000001</v>
      </c>
      <c r="F389">
        <v>116.44000200000001</v>
      </c>
      <c r="G389">
        <v>1136490000</v>
      </c>
    </row>
    <row r="390" spans="1:7">
      <c r="A390" s="70">
        <v>30072</v>
      </c>
      <c r="B390">
        <v>115.959999</v>
      </c>
      <c r="C390">
        <v>119.91999800000001</v>
      </c>
      <c r="D390">
        <v>111.660004</v>
      </c>
      <c r="E390">
        <v>111.879997</v>
      </c>
      <c r="F390">
        <v>111.879997</v>
      </c>
      <c r="G390">
        <v>1026460000</v>
      </c>
    </row>
    <row r="391" spans="1:7">
      <c r="A391" s="70">
        <v>30103</v>
      </c>
      <c r="B391">
        <v>111.970001</v>
      </c>
      <c r="C391">
        <v>112.480003</v>
      </c>
      <c r="D391">
        <v>107.010002</v>
      </c>
      <c r="E391">
        <v>109.610001</v>
      </c>
      <c r="F391">
        <v>109.610001</v>
      </c>
      <c r="G391">
        <v>1110530000</v>
      </c>
    </row>
    <row r="392" spans="1:7">
      <c r="A392" s="70">
        <v>30133</v>
      </c>
      <c r="B392">
        <v>109.519997</v>
      </c>
      <c r="C392">
        <v>112.389999</v>
      </c>
      <c r="D392">
        <v>105.57</v>
      </c>
      <c r="E392">
        <v>107.089996</v>
      </c>
      <c r="F392">
        <v>107.089996</v>
      </c>
      <c r="G392">
        <v>1145190000</v>
      </c>
    </row>
    <row r="393" spans="1:7">
      <c r="A393" s="70">
        <v>30164</v>
      </c>
      <c r="B393">
        <v>107.709999</v>
      </c>
      <c r="C393">
        <v>120.260002</v>
      </c>
      <c r="D393">
        <v>102.199997</v>
      </c>
      <c r="E393">
        <v>119.510002</v>
      </c>
      <c r="F393">
        <v>119.510002</v>
      </c>
      <c r="G393">
        <v>1672770000</v>
      </c>
    </row>
    <row r="394" spans="1:7">
      <c r="A394" s="70">
        <v>30195</v>
      </c>
      <c r="B394">
        <v>119.519997</v>
      </c>
      <c r="C394">
        <v>126.43</v>
      </c>
      <c r="D394">
        <v>117.839996</v>
      </c>
      <c r="E394">
        <v>120.41999800000001</v>
      </c>
      <c r="F394">
        <v>120.41999800000001</v>
      </c>
      <c r="G394">
        <v>1548040000</v>
      </c>
    </row>
    <row r="395" spans="1:7">
      <c r="A395" s="70">
        <v>30225</v>
      </c>
      <c r="B395">
        <v>120.400002</v>
      </c>
      <c r="C395">
        <v>140.39999399999999</v>
      </c>
      <c r="D395">
        <v>120.150002</v>
      </c>
      <c r="E395">
        <v>133.720001</v>
      </c>
      <c r="F395">
        <v>133.720001</v>
      </c>
      <c r="G395">
        <v>2068560000</v>
      </c>
    </row>
    <row r="396" spans="1:7">
      <c r="A396" s="70">
        <v>30256</v>
      </c>
      <c r="B396">
        <v>133.720001</v>
      </c>
      <c r="C396">
        <v>144.36000100000001</v>
      </c>
      <c r="D396">
        <v>132.88999899999999</v>
      </c>
      <c r="E396">
        <v>138.529999</v>
      </c>
      <c r="F396">
        <v>138.529999</v>
      </c>
      <c r="G396">
        <v>1857040000</v>
      </c>
    </row>
    <row r="397" spans="1:7">
      <c r="A397" s="70">
        <v>30286</v>
      </c>
      <c r="B397">
        <v>138.55999800000001</v>
      </c>
      <c r="C397">
        <v>143.679993</v>
      </c>
      <c r="D397">
        <v>134.78999300000001</v>
      </c>
      <c r="E397">
        <v>140.63999899999999</v>
      </c>
      <c r="F397">
        <v>140.63999899999999</v>
      </c>
      <c r="G397">
        <v>1682080000</v>
      </c>
    </row>
    <row r="398" spans="1:7">
      <c r="A398" s="70">
        <v>30317</v>
      </c>
      <c r="B398">
        <v>140.64999399999999</v>
      </c>
      <c r="C398">
        <v>148.36000100000001</v>
      </c>
      <c r="D398">
        <v>138.08000200000001</v>
      </c>
      <c r="E398">
        <v>145.300003</v>
      </c>
      <c r="F398">
        <v>145.300003</v>
      </c>
      <c r="G398">
        <v>1857600000</v>
      </c>
    </row>
    <row r="399" spans="1:7">
      <c r="A399" s="70">
        <v>30348</v>
      </c>
      <c r="B399">
        <v>145.28999300000001</v>
      </c>
      <c r="C399">
        <v>150.88000500000001</v>
      </c>
      <c r="D399">
        <v>141.89999399999999</v>
      </c>
      <c r="E399">
        <v>148.05999800000001</v>
      </c>
      <c r="F399">
        <v>148.05999800000001</v>
      </c>
      <c r="G399">
        <v>1615450000</v>
      </c>
    </row>
    <row r="400" spans="1:7">
      <c r="A400" s="70">
        <v>30376</v>
      </c>
      <c r="B400">
        <v>148.070007</v>
      </c>
      <c r="C400">
        <v>155.020004</v>
      </c>
      <c r="D400">
        <v>148.070007</v>
      </c>
      <c r="E400">
        <v>152.96000699999999</v>
      </c>
      <c r="F400">
        <v>152.96000699999999</v>
      </c>
      <c r="G400">
        <v>1901920000</v>
      </c>
    </row>
    <row r="401" spans="1:7">
      <c r="A401" s="70">
        <v>30407</v>
      </c>
      <c r="B401">
        <v>152.91999799999999</v>
      </c>
      <c r="C401">
        <v>164.429993</v>
      </c>
      <c r="D401">
        <v>150.16999799999999</v>
      </c>
      <c r="E401">
        <v>164.429993</v>
      </c>
      <c r="F401">
        <v>164.429993</v>
      </c>
      <c r="G401">
        <v>1786870000</v>
      </c>
    </row>
    <row r="402" spans="1:7">
      <c r="A402" s="70">
        <v>30437</v>
      </c>
      <c r="B402">
        <v>164.41000399999999</v>
      </c>
      <c r="C402">
        <v>166.990005</v>
      </c>
      <c r="D402">
        <v>160.28999300000001</v>
      </c>
      <c r="E402">
        <v>162.38999899999999</v>
      </c>
      <c r="F402">
        <v>162.38999899999999</v>
      </c>
      <c r="G402">
        <v>1953130000</v>
      </c>
    </row>
    <row r="403" spans="1:7">
      <c r="A403" s="70">
        <v>30468</v>
      </c>
      <c r="B403">
        <v>162.38000500000001</v>
      </c>
      <c r="C403">
        <v>171.60000600000001</v>
      </c>
      <c r="D403">
        <v>160.800003</v>
      </c>
      <c r="E403">
        <v>167.63999899999999</v>
      </c>
      <c r="F403">
        <v>167.63999899999999</v>
      </c>
      <c r="G403">
        <v>1973860000</v>
      </c>
    </row>
    <row r="404" spans="1:7">
      <c r="A404" s="70">
        <v>30498</v>
      </c>
      <c r="B404">
        <v>168.11000100000001</v>
      </c>
      <c r="C404">
        <v>170.720001</v>
      </c>
      <c r="D404">
        <v>161.5</v>
      </c>
      <c r="E404">
        <v>162.55999800000001</v>
      </c>
      <c r="F404">
        <v>162.55999800000001</v>
      </c>
      <c r="G404">
        <v>1590170000</v>
      </c>
    </row>
    <row r="405" spans="1:7">
      <c r="A405" s="70">
        <v>30529</v>
      </c>
      <c r="B405">
        <v>162.33999600000001</v>
      </c>
      <c r="C405">
        <v>165.91000399999999</v>
      </c>
      <c r="D405">
        <v>158.5</v>
      </c>
      <c r="E405">
        <v>164.39999399999999</v>
      </c>
      <c r="F405">
        <v>164.39999399999999</v>
      </c>
      <c r="G405">
        <v>1706430000</v>
      </c>
    </row>
    <row r="406" spans="1:7">
      <c r="A406" s="70">
        <v>30560</v>
      </c>
      <c r="B406">
        <v>164.39999399999999</v>
      </c>
      <c r="C406">
        <v>170.41000399999999</v>
      </c>
      <c r="D406">
        <v>163.949997</v>
      </c>
      <c r="E406">
        <v>166.070007</v>
      </c>
      <c r="F406">
        <v>166.070007</v>
      </c>
      <c r="G406">
        <v>1739810000</v>
      </c>
    </row>
    <row r="407" spans="1:7">
      <c r="A407" s="70">
        <v>30590</v>
      </c>
      <c r="B407">
        <v>165.990005</v>
      </c>
      <c r="C407">
        <v>172.64999399999999</v>
      </c>
      <c r="D407">
        <v>162.86000100000001</v>
      </c>
      <c r="E407">
        <v>163.550003</v>
      </c>
      <c r="F407">
        <v>163.550003</v>
      </c>
      <c r="G407">
        <v>1794620000</v>
      </c>
    </row>
    <row r="408" spans="1:7">
      <c r="A408" s="70">
        <v>30621</v>
      </c>
      <c r="B408">
        <v>163.550003</v>
      </c>
      <c r="C408">
        <v>168.070007</v>
      </c>
      <c r="D408">
        <v>161.63000500000001</v>
      </c>
      <c r="E408">
        <v>166.39999399999999</v>
      </c>
      <c r="F408">
        <v>166.39999399999999</v>
      </c>
      <c r="G408">
        <v>1814610000</v>
      </c>
    </row>
    <row r="409" spans="1:7">
      <c r="A409" s="70">
        <v>30651</v>
      </c>
      <c r="B409">
        <v>166.36999499999999</v>
      </c>
      <c r="C409">
        <v>166.770004</v>
      </c>
      <c r="D409">
        <v>161.58000200000001</v>
      </c>
      <c r="E409">
        <v>164.929993</v>
      </c>
      <c r="F409">
        <v>164.929993</v>
      </c>
      <c r="G409">
        <v>1848860000</v>
      </c>
    </row>
    <row r="410" spans="1:7">
      <c r="A410" s="70">
        <v>30682</v>
      </c>
      <c r="B410">
        <v>164.929993</v>
      </c>
      <c r="C410">
        <v>169.53999300000001</v>
      </c>
      <c r="D410">
        <v>162.029999</v>
      </c>
      <c r="E410">
        <v>163.41000399999999</v>
      </c>
      <c r="F410">
        <v>163.41000399999999</v>
      </c>
      <c r="G410">
        <v>2215660000</v>
      </c>
    </row>
    <row r="411" spans="1:7">
      <c r="A411" s="70">
        <v>30713</v>
      </c>
      <c r="B411">
        <v>163.41000399999999</v>
      </c>
      <c r="C411">
        <v>164</v>
      </c>
      <c r="D411">
        <v>152.13000500000001</v>
      </c>
      <c r="E411">
        <v>157.05999800000001</v>
      </c>
      <c r="F411">
        <v>157.05999800000001</v>
      </c>
      <c r="G411">
        <v>1932810000</v>
      </c>
    </row>
    <row r="412" spans="1:7">
      <c r="A412" s="70">
        <v>30742</v>
      </c>
      <c r="B412">
        <v>157.05999800000001</v>
      </c>
      <c r="C412">
        <v>160.46000699999999</v>
      </c>
      <c r="D412">
        <v>153.770004</v>
      </c>
      <c r="E412">
        <v>159.179993</v>
      </c>
      <c r="F412">
        <v>159.179993</v>
      </c>
      <c r="G412">
        <v>1854920000</v>
      </c>
    </row>
    <row r="413" spans="1:7">
      <c r="A413" s="70">
        <v>30773</v>
      </c>
      <c r="B413">
        <v>159.179993</v>
      </c>
      <c r="C413">
        <v>160.69000199999999</v>
      </c>
      <c r="D413">
        <v>154.11999499999999</v>
      </c>
      <c r="E413">
        <v>160.050003</v>
      </c>
      <c r="F413">
        <v>160.050003</v>
      </c>
      <c r="G413">
        <v>1717530000</v>
      </c>
    </row>
    <row r="414" spans="1:7">
      <c r="A414" s="70">
        <v>30803</v>
      </c>
      <c r="B414">
        <v>160.050003</v>
      </c>
      <c r="C414">
        <v>162.11000100000001</v>
      </c>
      <c r="D414">
        <v>148.679993</v>
      </c>
      <c r="E414">
        <v>150.550003</v>
      </c>
      <c r="F414">
        <v>150.550003</v>
      </c>
      <c r="G414">
        <v>1939550000</v>
      </c>
    </row>
    <row r="415" spans="1:7">
      <c r="A415" s="70">
        <v>30834</v>
      </c>
      <c r="B415">
        <v>150.550003</v>
      </c>
      <c r="C415">
        <v>155.63999899999999</v>
      </c>
      <c r="D415">
        <v>148.529999</v>
      </c>
      <c r="E415">
        <v>153.179993</v>
      </c>
      <c r="F415">
        <v>153.179993</v>
      </c>
      <c r="G415">
        <v>1812870000</v>
      </c>
    </row>
    <row r="416" spans="1:7">
      <c r="A416" s="70">
        <v>30864</v>
      </c>
      <c r="B416">
        <v>153.16000399999999</v>
      </c>
      <c r="C416">
        <v>153.86999499999999</v>
      </c>
      <c r="D416">
        <v>147.259995</v>
      </c>
      <c r="E416">
        <v>150.66000399999999</v>
      </c>
      <c r="F416">
        <v>150.66000399999999</v>
      </c>
      <c r="G416">
        <v>1662200000</v>
      </c>
    </row>
    <row r="417" spans="1:7">
      <c r="A417" s="70">
        <v>30895</v>
      </c>
      <c r="B417">
        <v>150.66000399999999</v>
      </c>
      <c r="C417">
        <v>168.800003</v>
      </c>
      <c r="D417">
        <v>150.66000399999999</v>
      </c>
      <c r="E417">
        <v>166.679993</v>
      </c>
      <c r="F417">
        <v>166.679993</v>
      </c>
      <c r="G417">
        <v>2526920000</v>
      </c>
    </row>
    <row r="418" spans="1:7">
      <c r="A418" s="70">
        <v>30926</v>
      </c>
      <c r="B418">
        <v>166.679993</v>
      </c>
      <c r="C418">
        <v>169.64999399999999</v>
      </c>
      <c r="D418">
        <v>163.05999800000001</v>
      </c>
      <c r="E418">
        <v>166.10000600000001</v>
      </c>
      <c r="F418">
        <v>166.10000600000001</v>
      </c>
      <c r="G418">
        <v>1768660000</v>
      </c>
    </row>
    <row r="419" spans="1:7">
      <c r="A419" s="70">
        <v>30956</v>
      </c>
      <c r="B419">
        <v>166.10000600000001</v>
      </c>
      <c r="C419">
        <v>169.61999499999999</v>
      </c>
      <c r="D419">
        <v>160.020004</v>
      </c>
      <c r="E419">
        <v>166.08999600000001</v>
      </c>
      <c r="F419">
        <v>166.08999600000001</v>
      </c>
      <c r="G419">
        <v>2110230000</v>
      </c>
    </row>
    <row r="420" spans="1:7">
      <c r="A420" s="70">
        <v>30987</v>
      </c>
      <c r="B420">
        <v>166.08999600000001</v>
      </c>
      <c r="C420">
        <v>170.41000399999999</v>
      </c>
      <c r="D420">
        <v>162.990005</v>
      </c>
      <c r="E420">
        <v>163.58000200000001</v>
      </c>
      <c r="F420">
        <v>163.58000200000001</v>
      </c>
      <c r="G420">
        <v>1757280000</v>
      </c>
    </row>
    <row r="421" spans="1:7">
      <c r="A421" s="70">
        <v>31017</v>
      </c>
      <c r="B421">
        <v>163.58000200000001</v>
      </c>
      <c r="C421">
        <v>169.029999</v>
      </c>
      <c r="D421">
        <v>161.53999300000001</v>
      </c>
      <c r="E421">
        <v>167.240005</v>
      </c>
      <c r="F421">
        <v>167.240005</v>
      </c>
      <c r="G421">
        <v>1781000000</v>
      </c>
    </row>
    <row r="422" spans="1:7">
      <c r="A422" s="70">
        <v>31048</v>
      </c>
      <c r="B422">
        <v>167.199997</v>
      </c>
      <c r="C422">
        <v>180.270004</v>
      </c>
      <c r="D422">
        <v>163.36000100000001</v>
      </c>
      <c r="E422">
        <v>179.63000500000001</v>
      </c>
      <c r="F422">
        <v>179.63000500000001</v>
      </c>
      <c r="G422">
        <v>2673710000</v>
      </c>
    </row>
    <row r="423" spans="1:7">
      <c r="A423" s="70">
        <v>31079</v>
      </c>
      <c r="B423">
        <v>179.63000500000001</v>
      </c>
      <c r="C423">
        <v>183.949997</v>
      </c>
      <c r="D423">
        <v>177.75</v>
      </c>
      <c r="E423">
        <v>181.179993</v>
      </c>
      <c r="F423">
        <v>181.179993</v>
      </c>
      <c r="G423">
        <v>2194620000</v>
      </c>
    </row>
    <row r="424" spans="1:7">
      <c r="A424" s="70">
        <v>31107</v>
      </c>
      <c r="B424">
        <v>181.179993</v>
      </c>
      <c r="C424">
        <v>183.88999899999999</v>
      </c>
      <c r="D424">
        <v>176.529999</v>
      </c>
      <c r="E424">
        <v>180.66000399999999</v>
      </c>
      <c r="F424">
        <v>180.66000399999999</v>
      </c>
      <c r="G424">
        <v>2153090000</v>
      </c>
    </row>
    <row r="425" spans="1:7">
      <c r="A425" s="70">
        <v>31138</v>
      </c>
      <c r="B425">
        <v>180.66000399999999</v>
      </c>
      <c r="C425">
        <v>183.61000100000001</v>
      </c>
      <c r="D425">
        <v>177.86000100000001</v>
      </c>
      <c r="E425">
        <v>179.83000200000001</v>
      </c>
      <c r="F425">
        <v>179.83000200000001</v>
      </c>
      <c r="G425">
        <v>1981880000</v>
      </c>
    </row>
    <row r="426" spans="1:7">
      <c r="A426" s="70">
        <v>31168</v>
      </c>
      <c r="B426">
        <v>179.83000200000001</v>
      </c>
      <c r="C426">
        <v>189.979996</v>
      </c>
      <c r="D426">
        <v>178.35000600000001</v>
      </c>
      <c r="E426">
        <v>189.550003</v>
      </c>
      <c r="F426">
        <v>189.550003</v>
      </c>
      <c r="G426">
        <v>2350340000</v>
      </c>
    </row>
    <row r="427" spans="1:7">
      <c r="A427" s="70">
        <v>31199</v>
      </c>
      <c r="B427">
        <v>189.550003</v>
      </c>
      <c r="C427">
        <v>191.85000600000001</v>
      </c>
      <c r="D427">
        <v>185.029999</v>
      </c>
      <c r="E427">
        <v>191.85000600000001</v>
      </c>
      <c r="F427">
        <v>191.85000600000001</v>
      </c>
      <c r="G427">
        <v>2117000000</v>
      </c>
    </row>
    <row r="428" spans="1:7">
      <c r="A428" s="70">
        <v>31229</v>
      </c>
      <c r="B428">
        <v>191.85000600000001</v>
      </c>
      <c r="C428">
        <v>196.070007</v>
      </c>
      <c r="D428">
        <v>189.300003</v>
      </c>
      <c r="E428">
        <v>190.91999799999999</v>
      </c>
      <c r="F428">
        <v>190.91999799999999</v>
      </c>
      <c r="G428">
        <v>2463070000</v>
      </c>
    </row>
    <row r="429" spans="1:7">
      <c r="A429" s="70">
        <v>31260</v>
      </c>
      <c r="B429">
        <v>190.91999799999999</v>
      </c>
      <c r="C429">
        <v>192.16999799999999</v>
      </c>
      <c r="D429">
        <v>186.10000600000001</v>
      </c>
      <c r="E429">
        <v>188.63000500000001</v>
      </c>
      <c r="F429">
        <v>188.63000500000001</v>
      </c>
      <c r="G429">
        <v>1923200000</v>
      </c>
    </row>
    <row r="430" spans="1:7">
      <c r="A430" s="70">
        <v>31291</v>
      </c>
      <c r="B430">
        <v>188.63000500000001</v>
      </c>
      <c r="C430">
        <v>188.800003</v>
      </c>
      <c r="D430">
        <v>179.449997</v>
      </c>
      <c r="E430">
        <v>182.08000200000001</v>
      </c>
      <c r="F430">
        <v>182.08000200000001</v>
      </c>
      <c r="G430">
        <v>1860160000</v>
      </c>
    </row>
    <row r="431" spans="1:7">
      <c r="A431" s="70">
        <v>31321</v>
      </c>
      <c r="B431">
        <v>182.05999800000001</v>
      </c>
      <c r="C431">
        <v>190.14999399999999</v>
      </c>
      <c r="D431">
        <v>181.16000399999999</v>
      </c>
      <c r="E431">
        <v>189.820007</v>
      </c>
      <c r="F431">
        <v>189.820007</v>
      </c>
      <c r="G431">
        <v>2543240000</v>
      </c>
    </row>
    <row r="432" spans="1:7">
      <c r="A432" s="70">
        <v>31352</v>
      </c>
      <c r="B432">
        <v>189.820007</v>
      </c>
      <c r="C432">
        <v>203.39999399999999</v>
      </c>
      <c r="D432">
        <v>189.36999499999999</v>
      </c>
      <c r="E432">
        <v>202.16999799999999</v>
      </c>
      <c r="F432">
        <v>202.16999799999999</v>
      </c>
      <c r="G432">
        <v>2445370000</v>
      </c>
    </row>
    <row r="433" spans="1:7">
      <c r="A433" s="70">
        <v>31382</v>
      </c>
      <c r="B433">
        <v>202.16999799999999</v>
      </c>
      <c r="C433">
        <v>213.08000200000001</v>
      </c>
      <c r="D433">
        <v>200.10000600000001</v>
      </c>
      <c r="E433">
        <v>211.279999</v>
      </c>
      <c r="F433">
        <v>211.279999</v>
      </c>
      <c r="G433">
        <v>2804380000</v>
      </c>
    </row>
    <row r="434" spans="1:7">
      <c r="A434" s="70">
        <v>31413</v>
      </c>
      <c r="B434">
        <v>211.279999</v>
      </c>
      <c r="C434">
        <v>214.570007</v>
      </c>
      <c r="D434">
        <v>202.60000600000001</v>
      </c>
      <c r="E434">
        <v>211.779999</v>
      </c>
      <c r="F434">
        <v>211.779999</v>
      </c>
      <c r="G434">
        <v>2879010000</v>
      </c>
    </row>
    <row r="435" spans="1:7">
      <c r="A435" s="70">
        <v>31444</v>
      </c>
      <c r="B435">
        <v>211.779999</v>
      </c>
      <c r="C435">
        <v>227.91999799999999</v>
      </c>
      <c r="D435">
        <v>210.820007</v>
      </c>
      <c r="E435">
        <v>226.91999799999999</v>
      </c>
      <c r="F435">
        <v>226.91999799999999</v>
      </c>
      <c r="G435">
        <v>2899100000</v>
      </c>
    </row>
    <row r="436" spans="1:7">
      <c r="A436" s="70">
        <v>31472</v>
      </c>
      <c r="B436">
        <v>226.91999799999999</v>
      </c>
      <c r="C436">
        <v>240.11000100000001</v>
      </c>
      <c r="D436">
        <v>222.179993</v>
      </c>
      <c r="E436">
        <v>238.89999399999999</v>
      </c>
      <c r="F436">
        <v>238.89999399999999</v>
      </c>
      <c r="G436">
        <v>3214600000</v>
      </c>
    </row>
    <row r="437" spans="1:7">
      <c r="A437" s="70">
        <v>31503</v>
      </c>
      <c r="B437">
        <v>238.89999399999999</v>
      </c>
      <c r="C437">
        <v>245.470001</v>
      </c>
      <c r="D437">
        <v>226.300003</v>
      </c>
      <c r="E437">
        <v>235.520004</v>
      </c>
      <c r="F437">
        <v>235.520004</v>
      </c>
      <c r="G437">
        <v>3240400000</v>
      </c>
    </row>
    <row r="438" spans="1:7">
      <c r="A438" s="70">
        <v>31533</v>
      </c>
      <c r="B438">
        <v>235.520004</v>
      </c>
      <c r="C438">
        <v>249.19000199999999</v>
      </c>
      <c r="D438">
        <v>232.259995</v>
      </c>
      <c r="E438">
        <v>247.35000600000001</v>
      </c>
      <c r="F438">
        <v>247.35000600000001</v>
      </c>
      <c r="G438">
        <v>2680240000</v>
      </c>
    </row>
    <row r="439" spans="1:7">
      <c r="A439" s="70">
        <v>31564</v>
      </c>
      <c r="B439">
        <v>246.03999300000001</v>
      </c>
      <c r="C439">
        <v>251.80999800000001</v>
      </c>
      <c r="D439">
        <v>238.229996</v>
      </c>
      <c r="E439">
        <v>250.83999600000001</v>
      </c>
      <c r="F439">
        <v>250.83999600000001</v>
      </c>
      <c r="G439">
        <v>2649600000</v>
      </c>
    </row>
    <row r="440" spans="1:7">
      <c r="A440" s="70">
        <v>31594</v>
      </c>
      <c r="B440">
        <v>250.66999799999999</v>
      </c>
      <c r="C440">
        <v>253.199997</v>
      </c>
      <c r="D440">
        <v>233.070007</v>
      </c>
      <c r="E440">
        <v>236.11999499999999</v>
      </c>
      <c r="F440">
        <v>236.11999499999999</v>
      </c>
      <c r="G440">
        <v>3029900000</v>
      </c>
    </row>
    <row r="441" spans="1:7">
      <c r="A441" s="70">
        <v>31625</v>
      </c>
      <c r="B441">
        <v>236.11999499999999</v>
      </c>
      <c r="C441">
        <v>254.240005</v>
      </c>
      <c r="D441">
        <v>231.91999799999999</v>
      </c>
      <c r="E441">
        <v>252.929993</v>
      </c>
      <c r="F441">
        <v>252.929993</v>
      </c>
      <c r="G441">
        <v>2701900000</v>
      </c>
    </row>
    <row r="442" spans="1:7">
      <c r="A442" s="70">
        <v>31656</v>
      </c>
      <c r="B442">
        <v>252.929993</v>
      </c>
      <c r="C442">
        <v>254.13000500000001</v>
      </c>
      <c r="D442">
        <v>228.08000200000001</v>
      </c>
      <c r="E442">
        <v>231.320007</v>
      </c>
      <c r="F442">
        <v>231.320007</v>
      </c>
      <c r="G442">
        <v>3166300000</v>
      </c>
    </row>
    <row r="443" spans="1:7">
      <c r="A443" s="70">
        <v>31686</v>
      </c>
      <c r="B443">
        <v>231.320007</v>
      </c>
      <c r="C443">
        <v>244.509995</v>
      </c>
      <c r="D443">
        <v>231.320007</v>
      </c>
      <c r="E443">
        <v>243.979996</v>
      </c>
      <c r="F443">
        <v>243.979996</v>
      </c>
      <c r="G443">
        <v>3016740000</v>
      </c>
    </row>
    <row r="444" spans="1:7">
      <c r="A444" s="70">
        <v>31717</v>
      </c>
      <c r="B444">
        <v>243.970001</v>
      </c>
      <c r="C444">
        <v>249.220001</v>
      </c>
      <c r="D444">
        <v>235.509995</v>
      </c>
      <c r="E444">
        <v>249.220001</v>
      </c>
      <c r="F444">
        <v>249.220001</v>
      </c>
      <c r="G444">
        <v>2940830000</v>
      </c>
    </row>
    <row r="445" spans="1:7">
      <c r="A445" s="70">
        <v>31747</v>
      </c>
      <c r="B445">
        <v>249.220001</v>
      </c>
      <c r="C445">
        <v>254.86999499999999</v>
      </c>
      <c r="D445">
        <v>241.279999</v>
      </c>
      <c r="E445">
        <v>242.16999799999999</v>
      </c>
      <c r="F445">
        <v>242.16999799999999</v>
      </c>
      <c r="G445">
        <v>3260870000</v>
      </c>
    </row>
    <row r="446" spans="1:7">
      <c r="A446" s="70">
        <v>31778</v>
      </c>
      <c r="B446">
        <v>242.16999799999999</v>
      </c>
      <c r="C446">
        <v>280.959991</v>
      </c>
      <c r="D446">
        <v>242.16999799999999</v>
      </c>
      <c r="E446">
        <v>274.07998700000002</v>
      </c>
      <c r="F446">
        <v>274.07998700000002</v>
      </c>
      <c r="G446">
        <v>4040880000</v>
      </c>
    </row>
    <row r="447" spans="1:7">
      <c r="A447" s="70">
        <v>31809</v>
      </c>
      <c r="B447">
        <v>274.07998700000002</v>
      </c>
      <c r="C447">
        <v>287.54998799999998</v>
      </c>
      <c r="D447">
        <v>273.16000400000001</v>
      </c>
      <c r="E447">
        <v>284.20001200000002</v>
      </c>
      <c r="F447">
        <v>284.20001200000002</v>
      </c>
      <c r="G447">
        <v>3485300000</v>
      </c>
    </row>
    <row r="448" spans="1:7">
      <c r="A448" s="70">
        <v>31837</v>
      </c>
      <c r="B448">
        <v>284.17001299999998</v>
      </c>
      <c r="C448">
        <v>302.72000100000002</v>
      </c>
      <c r="D448">
        <v>282.29998799999998</v>
      </c>
      <c r="E448">
        <v>291.70001200000002</v>
      </c>
      <c r="F448">
        <v>291.70001200000002</v>
      </c>
      <c r="G448">
        <v>3965100000</v>
      </c>
    </row>
    <row r="449" spans="1:7">
      <c r="A449" s="70">
        <v>31868</v>
      </c>
      <c r="B449">
        <v>291.58999599999999</v>
      </c>
      <c r="C449">
        <v>303.64999399999999</v>
      </c>
      <c r="D449">
        <v>275.67001299999998</v>
      </c>
      <c r="E449">
        <v>288.35998499999999</v>
      </c>
      <c r="F449">
        <v>288.35998499999999</v>
      </c>
      <c r="G449">
        <v>3931700000</v>
      </c>
    </row>
    <row r="450" spans="1:7">
      <c r="A450" s="70">
        <v>31898</v>
      </c>
      <c r="B450">
        <v>286.98998999999998</v>
      </c>
      <c r="C450">
        <v>298.69000199999999</v>
      </c>
      <c r="D450">
        <v>277.01001000000002</v>
      </c>
      <c r="E450">
        <v>290.10000600000001</v>
      </c>
      <c r="F450">
        <v>290.10000600000001</v>
      </c>
      <c r="G450">
        <v>3417700000</v>
      </c>
    </row>
    <row r="451" spans="1:7">
      <c r="A451" s="70">
        <v>31929</v>
      </c>
      <c r="B451">
        <v>290.11999500000002</v>
      </c>
      <c r="C451">
        <v>310.26998900000001</v>
      </c>
      <c r="D451">
        <v>286.92999300000002</v>
      </c>
      <c r="E451">
        <v>304</v>
      </c>
      <c r="F451">
        <v>304</v>
      </c>
      <c r="G451">
        <v>3595000000</v>
      </c>
    </row>
    <row r="452" spans="1:7">
      <c r="A452" s="70">
        <v>31959</v>
      </c>
      <c r="B452">
        <v>303.98998999999998</v>
      </c>
      <c r="C452">
        <v>318.85000600000001</v>
      </c>
      <c r="D452">
        <v>302.52999899999998</v>
      </c>
      <c r="E452">
        <v>318.66000400000001</v>
      </c>
      <c r="F452">
        <v>318.66000400000001</v>
      </c>
      <c r="G452">
        <v>3966400000</v>
      </c>
    </row>
    <row r="453" spans="1:7">
      <c r="A453" s="70">
        <v>31990</v>
      </c>
      <c r="B453">
        <v>318.61999500000002</v>
      </c>
      <c r="C453">
        <v>337.89001500000001</v>
      </c>
      <c r="D453">
        <v>314.51001000000002</v>
      </c>
      <c r="E453">
        <v>329.79998799999998</v>
      </c>
      <c r="F453">
        <v>329.79998799999998</v>
      </c>
      <c r="G453">
        <v>4062400000</v>
      </c>
    </row>
    <row r="454" spans="1:7">
      <c r="A454" s="70">
        <v>32021</v>
      </c>
      <c r="B454">
        <v>329.80999800000001</v>
      </c>
      <c r="C454">
        <v>332.17999300000002</v>
      </c>
      <c r="D454">
        <v>308.55999800000001</v>
      </c>
      <c r="E454">
        <v>321.82998700000002</v>
      </c>
      <c r="F454">
        <v>321.82998700000002</v>
      </c>
      <c r="G454">
        <v>3723200000</v>
      </c>
    </row>
    <row r="455" spans="1:7">
      <c r="A455" s="70">
        <v>32051</v>
      </c>
      <c r="B455">
        <v>321.82998700000002</v>
      </c>
      <c r="C455">
        <v>328.94000199999999</v>
      </c>
      <c r="D455">
        <v>216.46000699999999</v>
      </c>
      <c r="E455">
        <v>251.78999300000001</v>
      </c>
      <c r="F455">
        <v>251.78999300000001</v>
      </c>
      <c r="G455">
        <v>6094500000</v>
      </c>
    </row>
    <row r="456" spans="1:7">
      <c r="A456" s="70">
        <v>32082</v>
      </c>
      <c r="B456">
        <v>251.729996</v>
      </c>
      <c r="C456">
        <v>257.209991</v>
      </c>
      <c r="D456">
        <v>225.75</v>
      </c>
      <c r="E456">
        <v>230.300003</v>
      </c>
      <c r="F456">
        <v>230.300003</v>
      </c>
      <c r="G456">
        <v>3589530000</v>
      </c>
    </row>
    <row r="457" spans="1:7">
      <c r="A457" s="70">
        <v>32112</v>
      </c>
      <c r="B457">
        <v>230.320007</v>
      </c>
      <c r="C457">
        <v>253.35000600000001</v>
      </c>
      <c r="D457">
        <v>221.240005</v>
      </c>
      <c r="E457">
        <v>247.08000200000001</v>
      </c>
      <c r="F457">
        <v>247.08000200000001</v>
      </c>
      <c r="G457">
        <v>3926750000</v>
      </c>
    </row>
    <row r="458" spans="1:7">
      <c r="A458" s="70">
        <v>32143</v>
      </c>
      <c r="B458">
        <v>247.10000600000001</v>
      </c>
      <c r="C458">
        <v>261.77999899999998</v>
      </c>
      <c r="D458">
        <v>240.16999799999999</v>
      </c>
      <c r="E458">
        <v>257.07000699999998</v>
      </c>
      <c r="F458">
        <v>257.07000699999998</v>
      </c>
      <c r="G458">
        <v>3494700000</v>
      </c>
    </row>
    <row r="459" spans="1:7">
      <c r="A459" s="70">
        <v>32174</v>
      </c>
      <c r="B459">
        <v>257.04998799999998</v>
      </c>
      <c r="C459">
        <v>267.82000699999998</v>
      </c>
      <c r="D459">
        <v>247.820007</v>
      </c>
      <c r="E459">
        <v>267.82000699999998</v>
      </c>
      <c r="F459">
        <v>267.82000699999998</v>
      </c>
      <c r="G459">
        <v>3693240000</v>
      </c>
    </row>
    <row r="460" spans="1:7">
      <c r="A460" s="70">
        <v>32203</v>
      </c>
      <c r="B460">
        <v>267.82000699999998</v>
      </c>
      <c r="C460">
        <v>272.64001500000001</v>
      </c>
      <c r="D460">
        <v>256.07000699999998</v>
      </c>
      <c r="E460">
        <v>258.89001500000001</v>
      </c>
      <c r="F460">
        <v>258.89001500000001</v>
      </c>
      <c r="G460">
        <v>4052970000</v>
      </c>
    </row>
    <row r="461" spans="1:7">
      <c r="A461" s="70">
        <v>32234</v>
      </c>
      <c r="B461">
        <v>258.89001500000001</v>
      </c>
      <c r="C461">
        <v>272.04998799999998</v>
      </c>
      <c r="D461">
        <v>254.71000699999999</v>
      </c>
      <c r="E461">
        <v>261.32998700000002</v>
      </c>
      <c r="F461">
        <v>261.32998700000002</v>
      </c>
      <c r="G461">
        <v>3260760000</v>
      </c>
    </row>
    <row r="462" spans="1:7">
      <c r="A462" s="70">
        <v>32264</v>
      </c>
      <c r="B462">
        <v>261.35998499999999</v>
      </c>
      <c r="C462">
        <v>263.70001200000002</v>
      </c>
      <c r="D462">
        <v>248.85000600000001</v>
      </c>
      <c r="E462">
        <v>262.16000400000001</v>
      </c>
      <c r="F462">
        <v>262.16000400000001</v>
      </c>
      <c r="G462">
        <v>3231370000</v>
      </c>
    </row>
    <row r="463" spans="1:7">
      <c r="A463" s="70">
        <v>32295</v>
      </c>
      <c r="B463">
        <v>262.16000400000001</v>
      </c>
      <c r="C463">
        <v>276.88000499999998</v>
      </c>
      <c r="D463">
        <v>262.10000600000001</v>
      </c>
      <c r="E463">
        <v>273.5</v>
      </c>
      <c r="F463">
        <v>273.5</v>
      </c>
      <c r="G463">
        <v>4306710000</v>
      </c>
    </row>
    <row r="464" spans="1:7">
      <c r="A464" s="70">
        <v>32325</v>
      </c>
      <c r="B464">
        <v>273.5</v>
      </c>
      <c r="C464">
        <v>276.35998499999999</v>
      </c>
      <c r="D464">
        <v>262.48001099999999</v>
      </c>
      <c r="E464">
        <v>272.01998900000001</v>
      </c>
      <c r="F464">
        <v>272.01998900000001</v>
      </c>
      <c r="G464">
        <v>3338470000</v>
      </c>
    </row>
    <row r="465" spans="1:7">
      <c r="A465" s="70">
        <v>32356</v>
      </c>
      <c r="B465">
        <v>272.02999899999998</v>
      </c>
      <c r="C465">
        <v>274.20001200000002</v>
      </c>
      <c r="D465">
        <v>256.52999899999998</v>
      </c>
      <c r="E465">
        <v>261.51998900000001</v>
      </c>
      <c r="F465">
        <v>261.51998900000001</v>
      </c>
      <c r="G465">
        <v>3327470000</v>
      </c>
    </row>
    <row r="466" spans="1:7">
      <c r="A466" s="70">
        <v>32387</v>
      </c>
      <c r="B466">
        <v>261.51998900000001</v>
      </c>
      <c r="C466">
        <v>274.86999500000002</v>
      </c>
      <c r="D466">
        <v>256.98001099999999</v>
      </c>
      <c r="E466">
        <v>271.91000400000001</v>
      </c>
      <c r="F466">
        <v>271.91000400000001</v>
      </c>
      <c r="G466">
        <v>3059450000</v>
      </c>
    </row>
    <row r="467" spans="1:7">
      <c r="A467" s="70">
        <v>32417</v>
      </c>
      <c r="B467">
        <v>271.89001500000001</v>
      </c>
      <c r="C467">
        <v>283.95001200000002</v>
      </c>
      <c r="D467">
        <v>268.83999599999999</v>
      </c>
      <c r="E467">
        <v>278.97000100000002</v>
      </c>
      <c r="F467">
        <v>278.97000100000002</v>
      </c>
      <c r="G467">
        <v>3415160000</v>
      </c>
    </row>
    <row r="468" spans="1:7">
      <c r="A468" s="70">
        <v>32448</v>
      </c>
      <c r="B468">
        <v>278.97000100000002</v>
      </c>
      <c r="C468">
        <v>280.36999500000002</v>
      </c>
      <c r="D468">
        <v>262.85000600000001</v>
      </c>
      <c r="E468">
        <v>273.70001200000002</v>
      </c>
      <c r="F468">
        <v>273.70001200000002</v>
      </c>
      <c r="G468">
        <v>2822820000</v>
      </c>
    </row>
    <row r="469" spans="1:7">
      <c r="A469" s="70">
        <v>32478</v>
      </c>
      <c r="B469">
        <v>273.67999300000002</v>
      </c>
      <c r="C469">
        <v>280.45001200000002</v>
      </c>
      <c r="D469">
        <v>270.47000100000002</v>
      </c>
      <c r="E469">
        <v>277.72000100000002</v>
      </c>
      <c r="F469">
        <v>277.72000100000002</v>
      </c>
      <c r="G469">
        <v>2844900000</v>
      </c>
    </row>
    <row r="470" spans="1:7">
      <c r="A470" s="70">
        <v>32509</v>
      </c>
      <c r="B470">
        <v>277.72000100000002</v>
      </c>
      <c r="C470">
        <v>297.51001000000002</v>
      </c>
      <c r="D470">
        <v>273.80999800000001</v>
      </c>
      <c r="E470">
        <v>297.47000100000002</v>
      </c>
      <c r="F470">
        <v>297.47000100000002</v>
      </c>
      <c r="G470">
        <v>3532220000</v>
      </c>
    </row>
    <row r="471" spans="1:7">
      <c r="A471" s="70">
        <v>32540</v>
      </c>
      <c r="B471">
        <v>297.47000100000002</v>
      </c>
      <c r="C471">
        <v>300.57000699999998</v>
      </c>
      <c r="D471">
        <v>286.26001000000002</v>
      </c>
      <c r="E471">
        <v>288.85998499999999</v>
      </c>
      <c r="F471">
        <v>288.85998499999999</v>
      </c>
      <c r="G471">
        <v>3216280000</v>
      </c>
    </row>
    <row r="472" spans="1:7">
      <c r="A472" s="70">
        <v>32568</v>
      </c>
      <c r="B472">
        <v>288.85998499999999</v>
      </c>
      <c r="C472">
        <v>299.98998999999998</v>
      </c>
      <c r="D472">
        <v>286.459991</v>
      </c>
      <c r="E472">
        <v>294.86999500000002</v>
      </c>
      <c r="F472">
        <v>294.86999500000002</v>
      </c>
      <c r="G472">
        <v>3504530000</v>
      </c>
    </row>
    <row r="473" spans="1:7">
      <c r="A473" s="70">
        <v>32599</v>
      </c>
      <c r="B473">
        <v>294.86999500000002</v>
      </c>
      <c r="C473">
        <v>310.45001200000002</v>
      </c>
      <c r="D473">
        <v>294.35000600000001</v>
      </c>
      <c r="E473">
        <v>309.64001500000001</v>
      </c>
      <c r="F473">
        <v>309.64001500000001</v>
      </c>
      <c r="G473">
        <v>3237250000</v>
      </c>
    </row>
    <row r="474" spans="1:7">
      <c r="A474" s="70">
        <v>32629</v>
      </c>
      <c r="B474">
        <v>309.64001500000001</v>
      </c>
      <c r="C474">
        <v>323.05999800000001</v>
      </c>
      <c r="D474">
        <v>304.05999800000001</v>
      </c>
      <c r="E474">
        <v>320.51998900000001</v>
      </c>
      <c r="F474">
        <v>320.51998900000001</v>
      </c>
      <c r="G474">
        <v>3747320000</v>
      </c>
    </row>
    <row r="475" spans="1:7">
      <c r="A475" s="70">
        <v>32660</v>
      </c>
      <c r="B475">
        <v>320.51001000000002</v>
      </c>
      <c r="C475">
        <v>329.19000199999999</v>
      </c>
      <c r="D475">
        <v>314.38000499999998</v>
      </c>
      <c r="E475">
        <v>317.98001099999999</v>
      </c>
      <c r="F475">
        <v>317.98001099999999</v>
      </c>
      <c r="G475">
        <v>3966590000</v>
      </c>
    </row>
    <row r="476" spans="1:7">
      <c r="A476" s="70">
        <v>32690</v>
      </c>
      <c r="B476">
        <v>317.98001099999999</v>
      </c>
      <c r="C476">
        <v>346.07998700000002</v>
      </c>
      <c r="D476">
        <v>317.26001000000002</v>
      </c>
      <c r="E476">
        <v>346.07998700000002</v>
      </c>
      <c r="F476">
        <v>346.07998700000002</v>
      </c>
      <c r="G476">
        <v>3249030000</v>
      </c>
    </row>
    <row r="477" spans="1:7">
      <c r="A477" s="70">
        <v>32721</v>
      </c>
      <c r="B477">
        <v>346.07998700000002</v>
      </c>
      <c r="C477">
        <v>352.73001099999999</v>
      </c>
      <c r="D477">
        <v>339</v>
      </c>
      <c r="E477">
        <v>351.45001200000002</v>
      </c>
      <c r="F477">
        <v>351.45001200000002</v>
      </c>
      <c r="G477">
        <v>3949100000</v>
      </c>
    </row>
    <row r="478" spans="1:7">
      <c r="A478" s="70">
        <v>32752</v>
      </c>
      <c r="B478">
        <v>351.45001200000002</v>
      </c>
      <c r="C478">
        <v>354.13000499999998</v>
      </c>
      <c r="D478">
        <v>341.36999500000002</v>
      </c>
      <c r="E478">
        <v>349.14999399999999</v>
      </c>
      <c r="F478">
        <v>349.14999399999999</v>
      </c>
      <c r="G478">
        <v>3035020000</v>
      </c>
    </row>
    <row r="479" spans="1:7">
      <c r="A479" s="70">
        <v>32782</v>
      </c>
      <c r="B479">
        <v>349.14999399999999</v>
      </c>
      <c r="C479">
        <v>360.44000199999999</v>
      </c>
      <c r="D479">
        <v>327.11999500000002</v>
      </c>
      <c r="E479">
        <v>340.35998499999999</v>
      </c>
      <c r="F479">
        <v>340.35998499999999</v>
      </c>
      <c r="G479">
        <v>4012670000</v>
      </c>
    </row>
    <row r="480" spans="1:7">
      <c r="A480" s="70">
        <v>32813</v>
      </c>
      <c r="B480">
        <v>340.35998499999999</v>
      </c>
      <c r="C480">
        <v>346.5</v>
      </c>
      <c r="D480">
        <v>330.91000400000001</v>
      </c>
      <c r="E480">
        <v>345.98998999999998</v>
      </c>
      <c r="F480">
        <v>345.98998999999998</v>
      </c>
      <c r="G480">
        <v>3032160000</v>
      </c>
    </row>
    <row r="481" spans="1:7">
      <c r="A481" s="70">
        <v>32843</v>
      </c>
      <c r="B481">
        <v>346.01001000000002</v>
      </c>
      <c r="C481">
        <v>354.10000600000001</v>
      </c>
      <c r="D481">
        <v>339.63000499999998</v>
      </c>
      <c r="E481">
        <v>353.39999399999999</v>
      </c>
      <c r="F481">
        <v>353.39999399999999</v>
      </c>
      <c r="G481">
        <v>3213420000</v>
      </c>
    </row>
    <row r="482" spans="1:7">
      <c r="A482" s="70">
        <v>32874</v>
      </c>
      <c r="B482">
        <v>353.39999399999999</v>
      </c>
      <c r="C482">
        <v>360.58999599999999</v>
      </c>
      <c r="D482">
        <v>319.82998700000002</v>
      </c>
      <c r="E482">
        <v>329.07998700000002</v>
      </c>
      <c r="F482">
        <v>329.07998700000002</v>
      </c>
      <c r="G482">
        <v>3793250000</v>
      </c>
    </row>
    <row r="483" spans="1:7">
      <c r="A483" s="70">
        <v>32905</v>
      </c>
      <c r="B483">
        <v>329.07998700000002</v>
      </c>
      <c r="C483">
        <v>336.08999599999999</v>
      </c>
      <c r="D483">
        <v>322.10000600000001</v>
      </c>
      <c r="E483">
        <v>331.89001500000001</v>
      </c>
      <c r="F483">
        <v>331.89001500000001</v>
      </c>
      <c r="G483">
        <v>2961970000</v>
      </c>
    </row>
    <row r="484" spans="1:7">
      <c r="A484" s="70">
        <v>32933</v>
      </c>
      <c r="B484">
        <v>331.89001500000001</v>
      </c>
      <c r="C484">
        <v>344.48998999999998</v>
      </c>
      <c r="D484">
        <v>331.07998700000002</v>
      </c>
      <c r="E484">
        <v>339.94000199999999</v>
      </c>
      <c r="F484">
        <v>339.94000199999999</v>
      </c>
      <c r="G484">
        <v>3283280000</v>
      </c>
    </row>
    <row r="485" spans="1:7">
      <c r="A485" s="70">
        <v>32964</v>
      </c>
      <c r="B485">
        <v>339.94000199999999</v>
      </c>
      <c r="C485">
        <v>347.29998799999998</v>
      </c>
      <c r="D485">
        <v>327.76001000000002</v>
      </c>
      <c r="E485">
        <v>330.79998799999998</v>
      </c>
      <c r="F485">
        <v>330.79998799999998</v>
      </c>
      <c r="G485">
        <v>2801220000</v>
      </c>
    </row>
    <row r="486" spans="1:7">
      <c r="A486" s="70">
        <v>32994</v>
      </c>
      <c r="B486">
        <v>330.79998799999998</v>
      </c>
      <c r="C486">
        <v>362.26001000000002</v>
      </c>
      <c r="D486">
        <v>330.79998799999998</v>
      </c>
      <c r="E486">
        <v>361.23001099999999</v>
      </c>
      <c r="F486">
        <v>361.23001099999999</v>
      </c>
      <c r="G486">
        <v>3596680000</v>
      </c>
    </row>
    <row r="487" spans="1:7">
      <c r="A487" s="70">
        <v>33025</v>
      </c>
      <c r="B487">
        <v>361.26001000000002</v>
      </c>
      <c r="C487">
        <v>368.77999899999998</v>
      </c>
      <c r="D487">
        <v>351.23001099999999</v>
      </c>
      <c r="E487">
        <v>358.01998900000001</v>
      </c>
      <c r="F487">
        <v>358.01998900000001</v>
      </c>
      <c r="G487">
        <v>3226280000</v>
      </c>
    </row>
    <row r="488" spans="1:7">
      <c r="A488" s="70">
        <v>33055</v>
      </c>
      <c r="B488">
        <v>358.01998900000001</v>
      </c>
      <c r="C488">
        <v>369.77999899999998</v>
      </c>
      <c r="D488">
        <v>350.08999599999999</v>
      </c>
      <c r="E488">
        <v>356.14999399999999</v>
      </c>
      <c r="F488">
        <v>356.14999399999999</v>
      </c>
      <c r="G488">
        <v>3373540000</v>
      </c>
    </row>
    <row r="489" spans="1:7">
      <c r="A489" s="70">
        <v>33086</v>
      </c>
      <c r="B489">
        <v>356.14999399999999</v>
      </c>
      <c r="C489">
        <v>357.35000600000001</v>
      </c>
      <c r="D489">
        <v>306.17999300000002</v>
      </c>
      <c r="E489">
        <v>322.55999800000001</v>
      </c>
      <c r="F489">
        <v>322.55999800000001</v>
      </c>
      <c r="G489">
        <v>4020730000</v>
      </c>
    </row>
    <row r="490" spans="1:7">
      <c r="A490" s="70">
        <v>33117</v>
      </c>
      <c r="B490">
        <v>322.55999800000001</v>
      </c>
      <c r="C490">
        <v>326.52999899999998</v>
      </c>
      <c r="D490">
        <v>295.98001099999999</v>
      </c>
      <c r="E490">
        <v>306.04998799999998</v>
      </c>
      <c r="F490">
        <v>306.04998799999998</v>
      </c>
      <c r="G490">
        <v>2687280000</v>
      </c>
    </row>
    <row r="491" spans="1:7">
      <c r="A491" s="70">
        <v>33147</v>
      </c>
      <c r="B491">
        <v>306.10000600000001</v>
      </c>
      <c r="C491">
        <v>319.69000199999999</v>
      </c>
      <c r="D491">
        <v>294.51001000000002</v>
      </c>
      <c r="E491">
        <v>304</v>
      </c>
      <c r="F491">
        <v>304</v>
      </c>
      <c r="G491">
        <v>3671900000</v>
      </c>
    </row>
    <row r="492" spans="1:7">
      <c r="A492" s="70">
        <v>33178</v>
      </c>
      <c r="B492">
        <v>303.98998999999998</v>
      </c>
      <c r="C492">
        <v>323.01998900000001</v>
      </c>
      <c r="D492">
        <v>301.60998499999999</v>
      </c>
      <c r="E492">
        <v>322.22000100000002</v>
      </c>
      <c r="F492">
        <v>322.22000100000002</v>
      </c>
      <c r="G492">
        <v>3149770000</v>
      </c>
    </row>
    <row r="493" spans="1:7">
      <c r="A493" s="70">
        <v>33208</v>
      </c>
      <c r="B493">
        <v>322.23001099999999</v>
      </c>
      <c r="C493">
        <v>333.98001099999999</v>
      </c>
      <c r="D493">
        <v>321.97000100000002</v>
      </c>
      <c r="E493">
        <v>330.22000100000002</v>
      </c>
      <c r="F493">
        <v>330.22000100000002</v>
      </c>
      <c r="G493">
        <v>3116830000</v>
      </c>
    </row>
    <row r="494" spans="1:7">
      <c r="A494" s="70">
        <v>33239</v>
      </c>
      <c r="B494">
        <v>330.20001200000002</v>
      </c>
      <c r="C494">
        <v>343.92999300000002</v>
      </c>
      <c r="D494">
        <v>309.35000600000001</v>
      </c>
      <c r="E494">
        <v>343.92999300000002</v>
      </c>
      <c r="F494">
        <v>343.92999300000002</v>
      </c>
      <c r="G494">
        <v>3660240000</v>
      </c>
    </row>
    <row r="495" spans="1:7">
      <c r="A495" s="70">
        <v>33270</v>
      </c>
      <c r="B495">
        <v>343.91000400000001</v>
      </c>
      <c r="C495">
        <v>370.959991</v>
      </c>
      <c r="D495">
        <v>340.36999500000002</v>
      </c>
      <c r="E495">
        <v>367.07000699999998</v>
      </c>
      <c r="F495">
        <v>367.07000699999998</v>
      </c>
      <c r="G495">
        <v>4303170000</v>
      </c>
    </row>
    <row r="496" spans="1:7">
      <c r="A496" s="70">
        <v>33298</v>
      </c>
      <c r="B496">
        <v>367.07000699999998</v>
      </c>
      <c r="C496">
        <v>379.66000400000001</v>
      </c>
      <c r="D496">
        <v>363.73001099999999</v>
      </c>
      <c r="E496">
        <v>375.22000100000002</v>
      </c>
      <c r="F496">
        <v>375.22000100000002</v>
      </c>
      <c r="G496">
        <v>3927920000</v>
      </c>
    </row>
    <row r="497" spans="1:7">
      <c r="A497" s="70">
        <v>33329</v>
      </c>
      <c r="B497">
        <v>375.22000100000002</v>
      </c>
      <c r="C497">
        <v>391.26001000000002</v>
      </c>
      <c r="D497">
        <v>370.26998900000001</v>
      </c>
      <c r="E497">
        <v>375.33999599999999</v>
      </c>
      <c r="F497">
        <v>375.33999599999999</v>
      </c>
      <c r="G497">
        <v>4017200000</v>
      </c>
    </row>
    <row r="498" spans="1:7">
      <c r="A498" s="70">
        <v>33359</v>
      </c>
      <c r="B498">
        <v>375.35000600000001</v>
      </c>
      <c r="C498">
        <v>389.85000600000001</v>
      </c>
      <c r="D498">
        <v>365.82998700000002</v>
      </c>
      <c r="E498">
        <v>389.82998700000002</v>
      </c>
      <c r="F498">
        <v>389.82998700000002</v>
      </c>
      <c r="G498">
        <v>3739700000</v>
      </c>
    </row>
    <row r="499" spans="1:7">
      <c r="A499" s="70">
        <v>33390</v>
      </c>
      <c r="B499">
        <v>389.80999800000001</v>
      </c>
      <c r="C499">
        <v>389.80999800000001</v>
      </c>
      <c r="D499">
        <v>367.98001099999999</v>
      </c>
      <c r="E499">
        <v>371.16000400000001</v>
      </c>
      <c r="F499">
        <v>371.16000400000001</v>
      </c>
      <c r="G499">
        <v>3258730000</v>
      </c>
    </row>
    <row r="500" spans="1:7">
      <c r="A500" s="70">
        <v>33420</v>
      </c>
      <c r="B500">
        <v>371.17999300000002</v>
      </c>
      <c r="C500">
        <v>387.80999800000001</v>
      </c>
      <c r="D500">
        <v>370.92001299999998</v>
      </c>
      <c r="E500">
        <v>387.80999800000001</v>
      </c>
      <c r="F500">
        <v>387.80999800000001</v>
      </c>
      <c r="G500">
        <v>3481570000</v>
      </c>
    </row>
    <row r="501" spans="1:7">
      <c r="A501" s="70">
        <v>33451</v>
      </c>
      <c r="B501">
        <v>387.80999800000001</v>
      </c>
      <c r="C501">
        <v>396.82000699999998</v>
      </c>
      <c r="D501">
        <v>374.08999599999999</v>
      </c>
      <c r="E501">
        <v>395.42999300000002</v>
      </c>
      <c r="F501">
        <v>395.42999300000002</v>
      </c>
      <c r="G501">
        <v>3713820000</v>
      </c>
    </row>
    <row r="502" spans="1:7">
      <c r="A502" s="70">
        <v>33482</v>
      </c>
      <c r="B502">
        <v>395.42999300000002</v>
      </c>
      <c r="C502">
        <v>397.61999500000002</v>
      </c>
      <c r="D502">
        <v>382.76998900000001</v>
      </c>
      <c r="E502">
        <v>387.85998499999999</v>
      </c>
      <c r="F502">
        <v>387.85998499999999</v>
      </c>
      <c r="G502">
        <v>3260990000</v>
      </c>
    </row>
    <row r="503" spans="1:7">
      <c r="A503" s="70">
        <v>33512</v>
      </c>
      <c r="B503">
        <v>387.85998499999999</v>
      </c>
      <c r="C503">
        <v>393.80999800000001</v>
      </c>
      <c r="D503">
        <v>376.10998499999999</v>
      </c>
      <c r="E503">
        <v>392.45001200000002</v>
      </c>
      <c r="F503">
        <v>392.45001200000002</v>
      </c>
      <c r="G503">
        <v>4082380000</v>
      </c>
    </row>
    <row r="504" spans="1:7">
      <c r="A504" s="70">
        <v>33543</v>
      </c>
      <c r="B504">
        <v>392.459991</v>
      </c>
      <c r="C504">
        <v>398.22000100000002</v>
      </c>
      <c r="D504">
        <v>371.63000499999998</v>
      </c>
      <c r="E504">
        <v>375.22000100000002</v>
      </c>
      <c r="F504">
        <v>375.22000100000002</v>
      </c>
      <c r="G504">
        <v>3737620000</v>
      </c>
    </row>
    <row r="505" spans="1:7">
      <c r="A505" s="70">
        <v>33573</v>
      </c>
      <c r="B505">
        <v>375.10998499999999</v>
      </c>
      <c r="C505">
        <v>418.32000699999998</v>
      </c>
      <c r="D505">
        <v>371.35998499999999</v>
      </c>
      <c r="E505">
        <v>417.08999599999999</v>
      </c>
      <c r="F505">
        <v>417.08999599999999</v>
      </c>
      <c r="G505">
        <v>4155310000</v>
      </c>
    </row>
    <row r="506" spans="1:7">
      <c r="A506" s="70">
        <v>33604</v>
      </c>
      <c r="B506">
        <v>417.02999899999998</v>
      </c>
      <c r="C506">
        <v>421.17999300000002</v>
      </c>
      <c r="D506">
        <v>408.64001500000001</v>
      </c>
      <c r="E506">
        <v>408.77999899999998</v>
      </c>
      <c r="F506">
        <v>408.77999899999998</v>
      </c>
      <c r="G506">
        <v>5286280000</v>
      </c>
    </row>
    <row r="507" spans="1:7">
      <c r="A507" s="70">
        <v>33635</v>
      </c>
      <c r="B507">
        <v>408.790009</v>
      </c>
      <c r="C507">
        <v>418.07998700000002</v>
      </c>
      <c r="D507">
        <v>406.33999599999999</v>
      </c>
      <c r="E507">
        <v>412.70001200000002</v>
      </c>
      <c r="F507">
        <v>412.70001200000002</v>
      </c>
      <c r="G507">
        <v>4267610000</v>
      </c>
    </row>
    <row r="508" spans="1:7">
      <c r="A508" s="70">
        <v>33664</v>
      </c>
      <c r="B508">
        <v>412.67999300000002</v>
      </c>
      <c r="C508">
        <v>413.77999899999998</v>
      </c>
      <c r="D508">
        <v>401.94000199999999</v>
      </c>
      <c r="E508">
        <v>403.69000199999999</v>
      </c>
      <c r="F508">
        <v>403.69000199999999</v>
      </c>
      <c r="G508">
        <v>4066240000</v>
      </c>
    </row>
    <row r="509" spans="1:7">
      <c r="A509" s="70">
        <v>33695</v>
      </c>
      <c r="B509">
        <v>403.67001299999998</v>
      </c>
      <c r="C509">
        <v>416.27999899999998</v>
      </c>
      <c r="D509">
        <v>392.41000400000001</v>
      </c>
      <c r="E509">
        <v>414.95001200000002</v>
      </c>
      <c r="F509">
        <v>414.95001200000002</v>
      </c>
      <c r="G509">
        <v>4315840000</v>
      </c>
    </row>
    <row r="510" spans="1:7">
      <c r="A510" s="70">
        <v>33725</v>
      </c>
      <c r="B510">
        <v>414.95001200000002</v>
      </c>
      <c r="C510">
        <v>418.75</v>
      </c>
      <c r="D510">
        <v>409.85000600000001</v>
      </c>
      <c r="E510">
        <v>415.35000600000001</v>
      </c>
      <c r="F510">
        <v>415.35000600000001</v>
      </c>
      <c r="G510">
        <v>3643980000</v>
      </c>
    </row>
    <row r="511" spans="1:7">
      <c r="A511" s="70">
        <v>33756</v>
      </c>
      <c r="B511">
        <v>415.35000600000001</v>
      </c>
      <c r="C511">
        <v>417.29998799999998</v>
      </c>
      <c r="D511">
        <v>399.92001299999998</v>
      </c>
      <c r="E511">
        <v>408.14001500000001</v>
      </c>
      <c r="F511">
        <v>408.14001500000001</v>
      </c>
      <c r="G511">
        <v>4259830000</v>
      </c>
    </row>
    <row r="512" spans="1:7">
      <c r="A512" s="70">
        <v>33786</v>
      </c>
      <c r="B512">
        <v>408.20001200000002</v>
      </c>
      <c r="C512">
        <v>424.79998799999998</v>
      </c>
      <c r="D512">
        <v>407.20001200000002</v>
      </c>
      <c r="E512">
        <v>424.209991</v>
      </c>
      <c r="F512">
        <v>424.209991</v>
      </c>
      <c r="G512">
        <v>4265220000</v>
      </c>
    </row>
    <row r="513" spans="1:7">
      <c r="A513" s="70">
        <v>33817</v>
      </c>
      <c r="B513">
        <v>424.19000199999999</v>
      </c>
      <c r="C513">
        <v>425.14001500000001</v>
      </c>
      <c r="D513">
        <v>408.29998799999998</v>
      </c>
      <c r="E513">
        <v>414.02999899999998</v>
      </c>
      <c r="F513">
        <v>414.02999899999998</v>
      </c>
      <c r="G513">
        <v>3653820000</v>
      </c>
    </row>
    <row r="514" spans="1:7">
      <c r="A514" s="70">
        <v>33848</v>
      </c>
      <c r="B514">
        <v>414.02999899999998</v>
      </c>
      <c r="C514">
        <v>425.26998900000001</v>
      </c>
      <c r="D514">
        <v>412.709991</v>
      </c>
      <c r="E514">
        <v>417.79998799999998</v>
      </c>
      <c r="F514">
        <v>417.79998799999998</v>
      </c>
      <c r="G514">
        <v>4023850000</v>
      </c>
    </row>
    <row r="515" spans="1:7">
      <c r="A515" s="70">
        <v>33878</v>
      </c>
      <c r="B515">
        <v>417.79998799999998</v>
      </c>
      <c r="C515">
        <v>421.16000400000001</v>
      </c>
      <c r="D515">
        <v>396.79998799999998</v>
      </c>
      <c r="E515">
        <v>418.67999300000002</v>
      </c>
      <c r="F515">
        <v>418.67999300000002</v>
      </c>
      <c r="G515">
        <v>4507010000</v>
      </c>
    </row>
    <row r="516" spans="1:7">
      <c r="A516" s="70">
        <v>33909</v>
      </c>
      <c r="B516">
        <v>418.66000400000001</v>
      </c>
      <c r="C516">
        <v>431.92999300000002</v>
      </c>
      <c r="D516">
        <v>415.57998700000002</v>
      </c>
      <c r="E516">
        <v>431.35000600000001</v>
      </c>
      <c r="F516">
        <v>431.35000600000001</v>
      </c>
      <c r="G516">
        <v>4148770000</v>
      </c>
    </row>
    <row r="517" spans="1:7">
      <c r="A517" s="70">
        <v>33939</v>
      </c>
      <c r="B517">
        <v>431.35000600000001</v>
      </c>
      <c r="C517">
        <v>442.64999399999999</v>
      </c>
      <c r="D517">
        <v>428.60998499999999</v>
      </c>
      <c r="E517">
        <v>435.709991</v>
      </c>
      <c r="F517">
        <v>435.709991</v>
      </c>
      <c r="G517">
        <v>4876150000</v>
      </c>
    </row>
    <row r="518" spans="1:7">
      <c r="A518" s="70">
        <v>33970</v>
      </c>
      <c r="B518">
        <v>435.70001200000002</v>
      </c>
      <c r="C518">
        <v>442.66000400000001</v>
      </c>
      <c r="D518">
        <v>426.88000499999998</v>
      </c>
      <c r="E518">
        <v>438.77999899999998</v>
      </c>
      <c r="F518">
        <v>438.77999899999998</v>
      </c>
      <c r="G518">
        <v>5280850000</v>
      </c>
    </row>
    <row r="519" spans="1:7">
      <c r="A519" s="70">
        <v>34001</v>
      </c>
      <c r="B519">
        <v>438.77999899999998</v>
      </c>
      <c r="C519">
        <v>450.040009</v>
      </c>
      <c r="D519">
        <v>428.25</v>
      </c>
      <c r="E519">
        <v>443.38000499999998</v>
      </c>
      <c r="F519">
        <v>443.38000499999998</v>
      </c>
      <c r="G519">
        <v>5442450000</v>
      </c>
    </row>
    <row r="520" spans="1:7">
      <c r="A520" s="70">
        <v>34029</v>
      </c>
      <c r="B520">
        <v>443.38000499999998</v>
      </c>
      <c r="C520">
        <v>456.76001000000002</v>
      </c>
      <c r="D520">
        <v>441.07000699999998</v>
      </c>
      <c r="E520">
        <v>451.67001299999998</v>
      </c>
      <c r="F520">
        <v>451.67001299999998</v>
      </c>
      <c r="G520">
        <v>5766950000</v>
      </c>
    </row>
    <row r="521" spans="1:7">
      <c r="A521" s="70">
        <v>34060</v>
      </c>
      <c r="B521">
        <v>451.67001299999998</v>
      </c>
      <c r="C521">
        <v>452.63000499999998</v>
      </c>
      <c r="D521">
        <v>432.29998799999998</v>
      </c>
      <c r="E521">
        <v>440.19000199999999</v>
      </c>
      <c r="F521">
        <v>440.19000199999999</v>
      </c>
      <c r="G521">
        <v>5853170000</v>
      </c>
    </row>
    <row r="522" spans="1:7">
      <c r="A522" s="70">
        <v>34090</v>
      </c>
      <c r="B522">
        <v>440.19000199999999</v>
      </c>
      <c r="C522">
        <v>454.54998799999998</v>
      </c>
      <c r="D522">
        <v>436.85998499999999</v>
      </c>
      <c r="E522">
        <v>450.19000199999999</v>
      </c>
      <c r="F522">
        <v>450.19000199999999</v>
      </c>
      <c r="G522">
        <v>5108640000</v>
      </c>
    </row>
    <row r="523" spans="1:7">
      <c r="A523" s="70">
        <v>34121</v>
      </c>
      <c r="B523">
        <v>450.23001099999999</v>
      </c>
      <c r="C523">
        <v>455.63000499999998</v>
      </c>
      <c r="D523">
        <v>442.5</v>
      </c>
      <c r="E523">
        <v>450.52999899999998</v>
      </c>
      <c r="F523">
        <v>450.52999899999998</v>
      </c>
      <c r="G523">
        <v>5544400000</v>
      </c>
    </row>
    <row r="524" spans="1:7">
      <c r="A524" s="70">
        <v>34151</v>
      </c>
      <c r="B524">
        <v>450.540009</v>
      </c>
      <c r="C524">
        <v>451.14999399999999</v>
      </c>
      <c r="D524">
        <v>441.39999399999999</v>
      </c>
      <c r="E524">
        <v>448.13000499999998</v>
      </c>
      <c r="F524">
        <v>448.13000499999998</v>
      </c>
      <c r="G524">
        <v>5308530000</v>
      </c>
    </row>
    <row r="525" spans="1:7">
      <c r="A525" s="70">
        <v>34182</v>
      </c>
      <c r="B525">
        <v>448.13000499999998</v>
      </c>
      <c r="C525">
        <v>463.55999800000001</v>
      </c>
      <c r="D525">
        <v>446.94000199999999</v>
      </c>
      <c r="E525">
        <v>463.55999800000001</v>
      </c>
      <c r="F525">
        <v>463.55999800000001</v>
      </c>
      <c r="G525">
        <v>5506200000</v>
      </c>
    </row>
    <row r="526" spans="1:7">
      <c r="A526" s="70">
        <v>34213</v>
      </c>
      <c r="B526">
        <v>463.54998799999998</v>
      </c>
      <c r="C526">
        <v>463.79998799999998</v>
      </c>
      <c r="D526">
        <v>449.64001500000001</v>
      </c>
      <c r="E526">
        <v>458.92999300000002</v>
      </c>
      <c r="F526">
        <v>458.92999300000002</v>
      </c>
      <c r="G526">
        <v>5552720000</v>
      </c>
    </row>
    <row r="527" spans="1:7">
      <c r="A527" s="70">
        <v>34243</v>
      </c>
      <c r="B527">
        <v>458.92999300000002</v>
      </c>
      <c r="C527">
        <v>471.10000600000001</v>
      </c>
      <c r="D527">
        <v>456.39999399999999</v>
      </c>
      <c r="E527">
        <v>467.82998700000002</v>
      </c>
      <c r="F527">
        <v>467.82998700000002</v>
      </c>
      <c r="G527">
        <v>5940460000</v>
      </c>
    </row>
    <row r="528" spans="1:7">
      <c r="A528" s="70">
        <v>34274</v>
      </c>
      <c r="B528">
        <v>467.82998700000002</v>
      </c>
      <c r="C528">
        <v>469.10998499999999</v>
      </c>
      <c r="D528">
        <v>454.35998499999999</v>
      </c>
      <c r="E528">
        <v>461.790009</v>
      </c>
      <c r="F528">
        <v>461.790009</v>
      </c>
      <c r="G528">
        <v>5876610000</v>
      </c>
    </row>
    <row r="529" spans="1:7">
      <c r="A529" s="70">
        <v>34304</v>
      </c>
      <c r="B529">
        <v>461.92999300000002</v>
      </c>
      <c r="C529">
        <v>471.290009</v>
      </c>
      <c r="D529">
        <v>461.45001200000002</v>
      </c>
      <c r="E529">
        <v>466.45001200000002</v>
      </c>
      <c r="F529">
        <v>466.45001200000002</v>
      </c>
      <c r="G529">
        <v>5791210000</v>
      </c>
    </row>
    <row r="530" spans="1:7">
      <c r="A530" s="70">
        <v>34335</v>
      </c>
      <c r="B530">
        <v>466.51001000000002</v>
      </c>
      <c r="C530">
        <v>482.85000600000001</v>
      </c>
      <c r="D530">
        <v>464.35998499999999</v>
      </c>
      <c r="E530">
        <v>481.60998499999999</v>
      </c>
      <c r="F530">
        <v>481.60998499999999</v>
      </c>
      <c r="G530">
        <v>6627390000</v>
      </c>
    </row>
    <row r="531" spans="1:7">
      <c r="A531" s="70">
        <v>34366</v>
      </c>
      <c r="B531">
        <v>481.60000600000001</v>
      </c>
      <c r="C531">
        <v>482.23001099999999</v>
      </c>
      <c r="D531">
        <v>464.26001000000002</v>
      </c>
      <c r="E531">
        <v>467.14001500000001</v>
      </c>
      <c r="F531">
        <v>467.14001500000001</v>
      </c>
      <c r="G531">
        <v>5853100000</v>
      </c>
    </row>
    <row r="532" spans="1:7">
      <c r="A532" s="70">
        <v>34394</v>
      </c>
      <c r="B532">
        <v>467.19000199999999</v>
      </c>
      <c r="C532">
        <v>471.08999599999999</v>
      </c>
      <c r="D532">
        <v>436.16000400000001</v>
      </c>
      <c r="E532">
        <v>445.76998900000001</v>
      </c>
      <c r="F532">
        <v>445.76998900000001</v>
      </c>
      <c r="G532">
        <v>7225010000</v>
      </c>
    </row>
    <row r="533" spans="1:7">
      <c r="A533" s="70">
        <v>34425</v>
      </c>
      <c r="B533">
        <v>445.66000400000001</v>
      </c>
      <c r="C533">
        <v>452.790009</v>
      </c>
      <c r="D533">
        <v>435.85998499999999</v>
      </c>
      <c r="E533">
        <v>450.91000400000001</v>
      </c>
      <c r="F533">
        <v>450.91000400000001</v>
      </c>
      <c r="G533">
        <v>5735010000</v>
      </c>
    </row>
    <row r="534" spans="1:7">
      <c r="A534" s="70">
        <v>34455</v>
      </c>
      <c r="B534">
        <v>450.91000400000001</v>
      </c>
      <c r="C534">
        <v>457.76998900000001</v>
      </c>
      <c r="D534">
        <v>440.77999899999998</v>
      </c>
      <c r="E534">
        <v>456.5</v>
      </c>
      <c r="F534">
        <v>456.5</v>
      </c>
      <c r="G534">
        <v>5675970000</v>
      </c>
    </row>
    <row r="535" spans="1:7">
      <c r="A535" s="70">
        <v>34486</v>
      </c>
      <c r="B535">
        <v>456.5</v>
      </c>
      <c r="C535">
        <v>463.23001099999999</v>
      </c>
      <c r="D535">
        <v>439.82998700000002</v>
      </c>
      <c r="E535">
        <v>444.26998900000001</v>
      </c>
      <c r="F535">
        <v>444.26998900000001</v>
      </c>
      <c r="G535">
        <v>5852670000</v>
      </c>
    </row>
    <row r="536" spans="1:7">
      <c r="A536" s="70">
        <v>34516</v>
      </c>
      <c r="B536">
        <v>444.26998900000001</v>
      </c>
      <c r="C536">
        <v>459.32998700000002</v>
      </c>
      <c r="D536">
        <v>443.57998700000002</v>
      </c>
      <c r="E536">
        <v>458.26001000000002</v>
      </c>
      <c r="F536">
        <v>458.26001000000002</v>
      </c>
      <c r="G536">
        <v>4980100000</v>
      </c>
    </row>
    <row r="537" spans="1:7">
      <c r="A537" s="70">
        <v>34547</v>
      </c>
      <c r="B537">
        <v>458.27999899999998</v>
      </c>
      <c r="C537">
        <v>477.58999599999999</v>
      </c>
      <c r="D537">
        <v>456.07998700000002</v>
      </c>
      <c r="E537">
        <v>475.48998999999998</v>
      </c>
      <c r="F537">
        <v>475.48998999999998</v>
      </c>
      <c r="G537">
        <v>6398750000</v>
      </c>
    </row>
    <row r="538" spans="1:7">
      <c r="A538" s="70">
        <v>34578</v>
      </c>
      <c r="B538">
        <v>475.48998999999998</v>
      </c>
      <c r="C538">
        <v>475.48998999999998</v>
      </c>
      <c r="D538">
        <v>458.47000100000002</v>
      </c>
      <c r="E538">
        <v>462.709991</v>
      </c>
      <c r="F538">
        <v>462.709991</v>
      </c>
      <c r="G538">
        <v>6152870000</v>
      </c>
    </row>
    <row r="539" spans="1:7">
      <c r="A539" s="70">
        <v>34608</v>
      </c>
      <c r="B539">
        <v>462.69000199999999</v>
      </c>
      <c r="C539">
        <v>474.73998999999998</v>
      </c>
      <c r="D539">
        <v>449.26998900000001</v>
      </c>
      <c r="E539">
        <v>472.35000600000001</v>
      </c>
      <c r="F539">
        <v>472.35000600000001</v>
      </c>
      <c r="G539">
        <v>6344700000</v>
      </c>
    </row>
    <row r="540" spans="1:7">
      <c r="A540" s="70">
        <v>34639</v>
      </c>
      <c r="B540">
        <v>472.26001000000002</v>
      </c>
      <c r="C540">
        <v>472.26001000000002</v>
      </c>
      <c r="D540">
        <v>444.17999300000002</v>
      </c>
      <c r="E540">
        <v>453.69000199999999</v>
      </c>
      <c r="F540">
        <v>453.69000199999999</v>
      </c>
      <c r="G540">
        <v>6251240000</v>
      </c>
    </row>
    <row r="541" spans="1:7">
      <c r="A541" s="70">
        <v>34669</v>
      </c>
      <c r="B541">
        <v>453.54998799999998</v>
      </c>
      <c r="C541">
        <v>462.73001099999999</v>
      </c>
      <c r="D541">
        <v>442.88000499999998</v>
      </c>
      <c r="E541">
        <v>459.26998900000001</v>
      </c>
      <c r="F541">
        <v>459.26998900000001</v>
      </c>
      <c r="G541">
        <v>6351530000</v>
      </c>
    </row>
    <row r="542" spans="1:7">
      <c r="A542" s="70">
        <v>34700</v>
      </c>
      <c r="B542">
        <v>459.209991</v>
      </c>
      <c r="C542">
        <v>471.35998499999999</v>
      </c>
      <c r="D542">
        <v>457.20001200000002</v>
      </c>
      <c r="E542">
        <v>470.42001299999998</v>
      </c>
      <c r="F542">
        <v>470.42001299999998</v>
      </c>
      <c r="G542">
        <v>6852060000</v>
      </c>
    </row>
    <row r="543" spans="1:7">
      <c r="A543" s="70">
        <v>34731</v>
      </c>
      <c r="B543">
        <v>470.42001299999998</v>
      </c>
      <c r="C543">
        <v>489.19000199999999</v>
      </c>
      <c r="D543">
        <v>469.290009</v>
      </c>
      <c r="E543">
        <v>487.39001500000001</v>
      </c>
      <c r="F543">
        <v>487.39001500000001</v>
      </c>
      <c r="G543">
        <v>6330100000</v>
      </c>
    </row>
    <row r="544" spans="1:7">
      <c r="A544" s="70">
        <v>34759</v>
      </c>
      <c r="B544">
        <v>487.39001500000001</v>
      </c>
      <c r="C544">
        <v>508.14999399999999</v>
      </c>
      <c r="D544">
        <v>479.70001200000002</v>
      </c>
      <c r="E544">
        <v>500.709991</v>
      </c>
      <c r="F544">
        <v>500.709991</v>
      </c>
      <c r="G544">
        <v>7792400000</v>
      </c>
    </row>
    <row r="545" spans="1:7">
      <c r="A545" s="70">
        <v>34790</v>
      </c>
      <c r="B545">
        <v>500.70001200000002</v>
      </c>
      <c r="C545">
        <v>515.28997800000002</v>
      </c>
      <c r="D545">
        <v>500.20001200000002</v>
      </c>
      <c r="E545">
        <v>514.71002199999998</v>
      </c>
      <c r="F545">
        <v>514.71002199999998</v>
      </c>
      <c r="G545">
        <v>6307030000</v>
      </c>
    </row>
    <row r="546" spans="1:7">
      <c r="A546" s="70">
        <v>34820</v>
      </c>
      <c r="B546">
        <v>514.76000999999997</v>
      </c>
      <c r="C546">
        <v>533.40997300000004</v>
      </c>
      <c r="D546">
        <v>513.03002900000001</v>
      </c>
      <c r="E546">
        <v>533.40002400000003</v>
      </c>
      <c r="F546">
        <v>533.40002400000003</v>
      </c>
      <c r="G546">
        <v>7555690000</v>
      </c>
    </row>
    <row r="547" spans="1:7">
      <c r="A547" s="70">
        <v>34851</v>
      </c>
      <c r="B547">
        <v>533.40002400000003</v>
      </c>
      <c r="C547">
        <v>551.07000700000003</v>
      </c>
      <c r="D547">
        <v>526</v>
      </c>
      <c r="E547">
        <v>544.75</v>
      </c>
      <c r="F547">
        <v>544.75</v>
      </c>
      <c r="G547">
        <v>7555650000</v>
      </c>
    </row>
    <row r="548" spans="1:7">
      <c r="A548" s="70">
        <v>34881</v>
      </c>
      <c r="B548">
        <v>544.75</v>
      </c>
      <c r="C548">
        <v>565.40002400000003</v>
      </c>
      <c r="D548">
        <v>542.51000999999997</v>
      </c>
      <c r="E548">
        <v>562.05999799999995</v>
      </c>
      <c r="F548">
        <v>562.05999799999995</v>
      </c>
      <c r="G548">
        <v>7307960000</v>
      </c>
    </row>
    <row r="549" spans="1:7">
      <c r="A549" s="70">
        <v>34912</v>
      </c>
      <c r="B549">
        <v>562.05999799999995</v>
      </c>
      <c r="C549">
        <v>565.61999500000002</v>
      </c>
      <c r="D549">
        <v>553.03997800000002</v>
      </c>
      <c r="E549">
        <v>561.88000499999998</v>
      </c>
      <c r="F549">
        <v>561.88000499999998</v>
      </c>
      <c r="G549">
        <v>7146620000</v>
      </c>
    </row>
    <row r="550" spans="1:7">
      <c r="A550" s="70">
        <v>34943</v>
      </c>
      <c r="B550">
        <v>561.88000499999998</v>
      </c>
      <c r="C550">
        <v>587.60998500000005</v>
      </c>
      <c r="D550">
        <v>561.01000999999997</v>
      </c>
      <c r="E550">
        <v>584.40997300000004</v>
      </c>
      <c r="F550">
        <v>584.40997300000004</v>
      </c>
      <c r="G550">
        <v>7052830000</v>
      </c>
    </row>
    <row r="551" spans="1:7">
      <c r="A551" s="70">
        <v>34973</v>
      </c>
      <c r="B551">
        <v>584.40997300000004</v>
      </c>
      <c r="C551">
        <v>590.65997300000004</v>
      </c>
      <c r="D551">
        <v>571.54998799999998</v>
      </c>
      <c r="E551">
        <v>581.5</v>
      </c>
      <c r="F551">
        <v>581.5</v>
      </c>
      <c r="G551">
        <v>8043320000</v>
      </c>
    </row>
    <row r="552" spans="1:7">
      <c r="A552" s="70">
        <v>35004</v>
      </c>
      <c r="B552">
        <v>581.5</v>
      </c>
      <c r="C552">
        <v>608.69000200000005</v>
      </c>
      <c r="D552">
        <v>581.03997800000002</v>
      </c>
      <c r="E552">
        <v>605.36999500000002</v>
      </c>
      <c r="F552">
        <v>605.36999500000002</v>
      </c>
      <c r="G552">
        <v>7602150000</v>
      </c>
    </row>
    <row r="553" spans="1:7">
      <c r="A553" s="70">
        <v>35034</v>
      </c>
      <c r="B553">
        <v>605.36999500000002</v>
      </c>
      <c r="C553">
        <v>622.88000499999998</v>
      </c>
      <c r="D553">
        <v>605.04998799999998</v>
      </c>
      <c r="E553">
        <v>615.92999299999997</v>
      </c>
      <c r="F553">
        <v>615.92999299999997</v>
      </c>
      <c r="G553">
        <v>7697540000</v>
      </c>
    </row>
    <row r="554" spans="1:7">
      <c r="A554" s="70">
        <v>35065</v>
      </c>
      <c r="B554">
        <v>615.92999299999997</v>
      </c>
      <c r="C554">
        <v>636.17999299999997</v>
      </c>
      <c r="D554">
        <v>597.28997800000002</v>
      </c>
      <c r="E554">
        <v>636.02002000000005</v>
      </c>
      <c r="F554">
        <v>636.02002000000005</v>
      </c>
      <c r="G554">
        <v>9188050000</v>
      </c>
    </row>
    <row r="555" spans="1:7">
      <c r="A555" s="70">
        <v>35096</v>
      </c>
      <c r="B555">
        <v>636.02002000000005</v>
      </c>
      <c r="C555">
        <v>664.22997999999995</v>
      </c>
      <c r="D555">
        <v>633.71002199999998</v>
      </c>
      <c r="E555">
        <v>640.42999299999997</v>
      </c>
      <c r="F555">
        <v>640.42999299999997</v>
      </c>
      <c r="G555">
        <v>8749960000</v>
      </c>
    </row>
    <row r="556" spans="1:7">
      <c r="A556" s="70">
        <v>35125</v>
      </c>
      <c r="B556">
        <v>640.42999299999997</v>
      </c>
      <c r="C556">
        <v>656.96997099999999</v>
      </c>
      <c r="D556">
        <v>627.63000499999998</v>
      </c>
      <c r="E556">
        <v>645.5</v>
      </c>
      <c r="F556">
        <v>645.5</v>
      </c>
      <c r="G556">
        <v>8984200000</v>
      </c>
    </row>
    <row r="557" spans="1:7">
      <c r="A557" s="70">
        <v>35156</v>
      </c>
      <c r="B557">
        <v>645.5</v>
      </c>
      <c r="C557">
        <v>656.67999299999997</v>
      </c>
      <c r="D557">
        <v>624.14001499999995</v>
      </c>
      <c r="E557">
        <v>654.169983</v>
      </c>
      <c r="F557">
        <v>654.169983</v>
      </c>
      <c r="G557">
        <v>8875580000</v>
      </c>
    </row>
    <row r="558" spans="1:7">
      <c r="A558" s="70">
        <v>35186</v>
      </c>
      <c r="B558">
        <v>654.169983</v>
      </c>
      <c r="C558">
        <v>681.09997599999997</v>
      </c>
      <c r="D558">
        <v>630.07000700000003</v>
      </c>
      <c r="E558">
        <v>669.11999500000002</v>
      </c>
      <c r="F558">
        <v>669.11999500000002</v>
      </c>
      <c r="G558">
        <v>8921140000</v>
      </c>
    </row>
    <row r="559" spans="1:7">
      <c r="A559" s="70">
        <v>35217</v>
      </c>
      <c r="B559">
        <v>669.11999500000002</v>
      </c>
      <c r="C559">
        <v>680.32000700000003</v>
      </c>
      <c r="D559">
        <v>658.75</v>
      </c>
      <c r="E559">
        <v>670.63000499999998</v>
      </c>
      <c r="F559">
        <v>670.63000499999998</v>
      </c>
      <c r="G559">
        <v>7930840000</v>
      </c>
    </row>
    <row r="560" spans="1:7">
      <c r="A560" s="70">
        <v>35247</v>
      </c>
      <c r="B560">
        <v>670.63000499999998</v>
      </c>
      <c r="C560">
        <v>675.88000499999998</v>
      </c>
      <c r="D560">
        <v>605.88000499999998</v>
      </c>
      <c r="E560">
        <v>639.95001200000002</v>
      </c>
      <c r="F560">
        <v>639.95001200000002</v>
      </c>
      <c r="G560">
        <v>8849860000</v>
      </c>
    </row>
    <row r="561" spans="1:7">
      <c r="A561" s="70">
        <v>35278</v>
      </c>
      <c r="B561">
        <v>639.95001200000002</v>
      </c>
      <c r="C561">
        <v>670.67999299999997</v>
      </c>
      <c r="D561">
        <v>639.48999000000003</v>
      </c>
      <c r="E561">
        <v>651.98999000000003</v>
      </c>
      <c r="F561">
        <v>651.98999000000003</v>
      </c>
      <c r="G561">
        <v>7380320000</v>
      </c>
    </row>
    <row r="562" spans="1:7">
      <c r="A562" s="70">
        <v>35309</v>
      </c>
      <c r="B562">
        <v>651.98999000000003</v>
      </c>
      <c r="C562">
        <v>690.88000499999998</v>
      </c>
      <c r="D562">
        <v>643.96997099999999</v>
      </c>
      <c r="E562">
        <v>687.330017</v>
      </c>
      <c r="F562">
        <v>687.330017</v>
      </c>
      <c r="G562">
        <v>8064070000</v>
      </c>
    </row>
    <row r="563" spans="1:7">
      <c r="A563" s="70">
        <v>35339</v>
      </c>
      <c r="B563">
        <v>687.30999799999995</v>
      </c>
      <c r="C563">
        <v>714.09997599999997</v>
      </c>
      <c r="D563">
        <v>684.44000200000005</v>
      </c>
      <c r="E563">
        <v>705.27002000000005</v>
      </c>
      <c r="F563">
        <v>705.27002000000005</v>
      </c>
      <c r="G563">
        <v>9703670000</v>
      </c>
    </row>
    <row r="564" spans="1:7">
      <c r="A564" s="70">
        <v>35370</v>
      </c>
      <c r="B564">
        <v>705.27002000000005</v>
      </c>
      <c r="C564">
        <v>762.11999500000002</v>
      </c>
      <c r="D564">
        <v>701.29998799999998</v>
      </c>
      <c r="E564">
        <v>757.02002000000005</v>
      </c>
      <c r="F564">
        <v>757.02002000000005</v>
      </c>
      <c r="G564">
        <v>8763850000</v>
      </c>
    </row>
    <row r="565" spans="1:7">
      <c r="A565" s="70">
        <v>35400</v>
      </c>
      <c r="B565">
        <v>757.02002000000005</v>
      </c>
      <c r="C565">
        <v>761.75</v>
      </c>
      <c r="D565">
        <v>716.69000200000005</v>
      </c>
      <c r="E565">
        <v>740.73999000000003</v>
      </c>
      <c r="F565">
        <v>740.73999000000003</v>
      </c>
      <c r="G565">
        <v>9089170000</v>
      </c>
    </row>
    <row r="566" spans="1:7">
      <c r="A566" s="70">
        <v>35431</v>
      </c>
      <c r="B566">
        <v>740.73999000000003</v>
      </c>
      <c r="C566">
        <v>794.669983</v>
      </c>
      <c r="D566">
        <v>729.54998799999998</v>
      </c>
      <c r="E566">
        <v>786.15997300000004</v>
      </c>
      <c r="F566">
        <v>786.15997300000004</v>
      </c>
      <c r="G566">
        <v>11635830000</v>
      </c>
    </row>
    <row r="567" spans="1:7">
      <c r="A567" s="70">
        <v>35462</v>
      </c>
      <c r="B567">
        <v>786.15997300000004</v>
      </c>
      <c r="C567">
        <v>817.67999299999997</v>
      </c>
      <c r="D567">
        <v>773.42999299999997</v>
      </c>
      <c r="E567">
        <v>790.82000700000003</v>
      </c>
      <c r="F567">
        <v>790.82000700000003</v>
      </c>
      <c r="G567">
        <v>9715930000</v>
      </c>
    </row>
    <row r="568" spans="1:7">
      <c r="A568" s="70">
        <v>35490</v>
      </c>
      <c r="B568">
        <v>790.82000700000003</v>
      </c>
      <c r="C568">
        <v>814.90002400000003</v>
      </c>
      <c r="D568">
        <v>756.13000499999998</v>
      </c>
      <c r="E568">
        <v>757.11999500000002</v>
      </c>
      <c r="F568">
        <v>757.11999500000002</v>
      </c>
      <c r="G568">
        <v>10120760000</v>
      </c>
    </row>
    <row r="569" spans="1:7">
      <c r="A569" s="70">
        <v>35521</v>
      </c>
      <c r="B569">
        <v>757.11999500000002</v>
      </c>
      <c r="C569">
        <v>804.13000499999998</v>
      </c>
      <c r="D569">
        <v>733.53997800000002</v>
      </c>
      <c r="E569">
        <v>801.34002699999996</v>
      </c>
      <c r="F569">
        <v>801.34002699999996</v>
      </c>
      <c r="G569">
        <v>10454880000</v>
      </c>
    </row>
    <row r="570" spans="1:7">
      <c r="A570" s="70">
        <v>35551</v>
      </c>
      <c r="B570">
        <v>801.34002699999996</v>
      </c>
      <c r="C570">
        <v>851.86999500000002</v>
      </c>
      <c r="D570">
        <v>793.21002199999998</v>
      </c>
      <c r="E570">
        <v>848.28002900000001</v>
      </c>
      <c r="F570">
        <v>848.28002900000001</v>
      </c>
      <c r="G570">
        <v>10106650000</v>
      </c>
    </row>
    <row r="571" spans="1:7">
      <c r="A571" s="70">
        <v>35582</v>
      </c>
      <c r="B571">
        <v>848.28002900000001</v>
      </c>
      <c r="C571">
        <v>902.09002699999996</v>
      </c>
      <c r="D571">
        <v>838.82000700000003</v>
      </c>
      <c r="E571">
        <v>885.14001499999995</v>
      </c>
      <c r="F571">
        <v>885.14001499999995</v>
      </c>
      <c r="G571">
        <v>10857950000</v>
      </c>
    </row>
    <row r="572" spans="1:7">
      <c r="A572" s="70">
        <v>35612</v>
      </c>
      <c r="B572">
        <v>885.14001499999995</v>
      </c>
      <c r="C572">
        <v>957.72997999999995</v>
      </c>
      <c r="D572">
        <v>884.53997800000002</v>
      </c>
      <c r="E572">
        <v>954.30999799999995</v>
      </c>
      <c r="F572">
        <v>954.30999799999995</v>
      </c>
      <c r="G572">
        <v>11958120000</v>
      </c>
    </row>
    <row r="573" spans="1:7">
      <c r="A573" s="70">
        <v>35643</v>
      </c>
      <c r="B573">
        <v>954.28997800000002</v>
      </c>
      <c r="C573">
        <v>964.169983</v>
      </c>
      <c r="D573">
        <v>893.34002699999996</v>
      </c>
      <c r="E573">
        <v>899.46997099999999</v>
      </c>
      <c r="F573">
        <v>899.46997099999999</v>
      </c>
      <c r="G573">
        <v>10606100000</v>
      </c>
    </row>
    <row r="574" spans="1:7">
      <c r="A574" s="70">
        <v>35674</v>
      </c>
      <c r="B574">
        <v>899.46997099999999</v>
      </c>
      <c r="C574">
        <v>960.59002699999996</v>
      </c>
      <c r="D574">
        <v>899.46997099999999</v>
      </c>
      <c r="E574">
        <v>947.28002900000001</v>
      </c>
      <c r="F574">
        <v>947.28002900000001</v>
      </c>
      <c r="G574">
        <v>11383000000</v>
      </c>
    </row>
    <row r="575" spans="1:7">
      <c r="A575" s="70">
        <v>35704</v>
      </c>
      <c r="B575">
        <v>947.28002900000001</v>
      </c>
      <c r="C575">
        <v>983.11999500000002</v>
      </c>
      <c r="D575">
        <v>855.27002000000005</v>
      </c>
      <c r="E575">
        <v>914.61999500000002</v>
      </c>
      <c r="F575">
        <v>914.61999500000002</v>
      </c>
      <c r="G575">
        <v>14017260000</v>
      </c>
    </row>
    <row r="576" spans="1:7">
      <c r="A576" s="70">
        <v>35735</v>
      </c>
      <c r="B576">
        <v>914.61999500000002</v>
      </c>
      <c r="C576">
        <v>964.54998799999998</v>
      </c>
      <c r="D576">
        <v>900.60998500000005</v>
      </c>
      <c r="E576">
        <v>955.40002400000003</v>
      </c>
      <c r="F576">
        <v>955.40002400000003</v>
      </c>
      <c r="G576">
        <v>10173620000</v>
      </c>
    </row>
    <row r="577" spans="1:7">
      <c r="A577" s="70">
        <v>35765</v>
      </c>
      <c r="B577">
        <v>955.40002400000003</v>
      </c>
      <c r="C577">
        <v>986.25</v>
      </c>
      <c r="D577">
        <v>924.919983</v>
      </c>
      <c r="E577">
        <v>970.42999299999997</v>
      </c>
      <c r="F577">
        <v>970.42999299999997</v>
      </c>
      <c r="G577">
        <v>11958880000</v>
      </c>
    </row>
    <row r="578" spans="1:7">
      <c r="A578" s="70">
        <v>35796</v>
      </c>
      <c r="B578">
        <v>970.42999299999997</v>
      </c>
      <c r="C578">
        <v>992.65002400000003</v>
      </c>
      <c r="D578">
        <v>912.830017</v>
      </c>
      <c r="E578">
        <v>980.28002900000001</v>
      </c>
      <c r="F578">
        <v>980.28002900000001</v>
      </c>
      <c r="G578">
        <v>12733830000</v>
      </c>
    </row>
    <row r="579" spans="1:7">
      <c r="A579" s="70">
        <v>35827</v>
      </c>
      <c r="B579">
        <v>980.28002900000001</v>
      </c>
      <c r="C579">
        <v>1051.660034</v>
      </c>
      <c r="D579">
        <v>980.28002900000001</v>
      </c>
      <c r="E579">
        <v>1049.339966</v>
      </c>
      <c r="F579">
        <v>1049.339966</v>
      </c>
      <c r="G579">
        <v>11656550000</v>
      </c>
    </row>
    <row r="580" spans="1:7">
      <c r="A580" s="70">
        <v>35855</v>
      </c>
      <c r="B580">
        <v>1049.339966</v>
      </c>
      <c r="C580">
        <v>1113.0699460000001</v>
      </c>
      <c r="D580">
        <v>1030.869995</v>
      </c>
      <c r="E580">
        <v>1101.75</v>
      </c>
      <c r="F580">
        <v>1101.75</v>
      </c>
      <c r="G580">
        <v>13719590000</v>
      </c>
    </row>
    <row r="581" spans="1:7">
      <c r="A581" s="70">
        <v>35886</v>
      </c>
      <c r="B581">
        <v>1101.75</v>
      </c>
      <c r="C581">
        <v>1132.9799800000001</v>
      </c>
      <c r="D581">
        <v>1076.6999510000001</v>
      </c>
      <c r="E581">
        <v>1111.75</v>
      </c>
      <c r="F581">
        <v>1111.75</v>
      </c>
      <c r="G581">
        <v>13656060000</v>
      </c>
    </row>
    <row r="582" spans="1:7">
      <c r="A582" s="70">
        <v>35916</v>
      </c>
      <c r="B582">
        <v>1111.75</v>
      </c>
      <c r="C582">
        <v>1130.5200199999999</v>
      </c>
      <c r="D582">
        <v>1074.3900149999999</v>
      </c>
      <c r="E582">
        <v>1090.8199460000001</v>
      </c>
      <c r="F582">
        <v>1090.8199460000001</v>
      </c>
      <c r="G582">
        <v>11477140000</v>
      </c>
    </row>
    <row r="583" spans="1:7">
      <c r="A583" s="70">
        <v>35947</v>
      </c>
      <c r="B583">
        <v>1090.8199460000001</v>
      </c>
      <c r="C583">
        <v>1145.150024</v>
      </c>
      <c r="D583">
        <v>1074.670044</v>
      </c>
      <c r="E583">
        <v>1133.839966</v>
      </c>
      <c r="F583">
        <v>1133.839966</v>
      </c>
      <c r="G583">
        <v>13551970000</v>
      </c>
    </row>
    <row r="584" spans="1:7">
      <c r="A584" s="70">
        <v>35977</v>
      </c>
      <c r="B584">
        <v>1133.839966</v>
      </c>
      <c r="C584">
        <v>1190.579956</v>
      </c>
      <c r="D584">
        <v>1114.3000489999999</v>
      </c>
      <c r="E584">
        <v>1120.670044</v>
      </c>
      <c r="F584">
        <v>1120.670044</v>
      </c>
      <c r="G584">
        <v>14194800000</v>
      </c>
    </row>
    <row r="585" spans="1:7">
      <c r="A585" s="70">
        <v>36008</v>
      </c>
      <c r="B585">
        <v>1120.670044</v>
      </c>
      <c r="C585">
        <v>1121.790039</v>
      </c>
      <c r="D585">
        <v>957.28002900000001</v>
      </c>
      <c r="E585">
        <v>957.28002900000001</v>
      </c>
      <c r="F585">
        <v>957.28002900000001</v>
      </c>
      <c r="G585">
        <v>15071550000</v>
      </c>
    </row>
    <row r="586" spans="1:7">
      <c r="A586" s="70">
        <v>36039</v>
      </c>
      <c r="B586">
        <v>957.28002900000001</v>
      </c>
      <c r="C586">
        <v>1066.1099850000001</v>
      </c>
      <c r="D586">
        <v>939.97997999999995</v>
      </c>
      <c r="E586">
        <v>1017.01001</v>
      </c>
      <c r="F586">
        <v>1017.01001</v>
      </c>
      <c r="G586">
        <v>16714080000</v>
      </c>
    </row>
    <row r="587" spans="1:7">
      <c r="A587" s="70">
        <v>36069</v>
      </c>
      <c r="B587">
        <v>1017.01001</v>
      </c>
      <c r="C587">
        <v>1103.780029</v>
      </c>
      <c r="D587">
        <v>923.32000700000003</v>
      </c>
      <c r="E587">
        <v>1098.670044</v>
      </c>
      <c r="F587">
        <v>1098.670044</v>
      </c>
      <c r="G587">
        <v>18001650000</v>
      </c>
    </row>
    <row r="588" spans="1:7">
      <c r="A588" s="70">
        <v>36100</v>
      </c>
      <c r="B588">
        <v>1098.670044</v>
      </c>
      <c r="C588">
        <v>1192.969971</v>
      </c>
      <c r="D588">
        <v>1098.670044</v>
      </c>
      <c r="E588">
        <v>1163.630005</v>
      </c>
      <c r="F588">
        <v>1163.630005</v>
      </c>
      <c r="G588">
        <v>13451280000</v>
      </c>
    </row>
    <row r="589" spans="1:7">
      <c r="A589" s="70">
        <v>36130</v>
      </c>
      <c r="B589">
        <v>1163.630005</v>
      </c>
      <c r="C589">
        <v>1244.9300539999999</v>
      </c>
      <c r="D589">
        <v>1136.8900149999999</v>
      </c>
      <c r="E589">
        <v>1229.2299800000001</v>
      </c>
      <c r="F589">
        <v>1229.2299800000001</v>
      </c>
      <c r="G589">
        <v>15181450000</v>
      </c>
    </row>
    <row r="590" spans="1:7">
      <c r="A590" s="70">
        <v>36161</v>
      </c>
      <c r="B590">
        <v>1229.2299800000001</v>
      </c>
      <c r="C590">
        <v>1280.369995</v>
      </c>
      <c r="D590">
        <v>1205.459961</v>
      </c>
      <c r="E590">
        <v>1279.6400149999999</v>
      </c>
      <c r="F590">
        <v>1279.6400149999999</v>
      </c>
      <c r="G590">
        <v>16213500000</v>
      </c>
    </row>
    <row r="591" spans="1:7">
      <c r="A591" s="70">
        <v>36192</v>
      </c>
      <c r="B591">
        <v>1279.6400149999999</v>
      </c>
      <c r="C591">
        <v>1283.839966</v>
      </c>
      <c r="D591">
        <v>1211.8900149999999</v>
      </c>
      <c r="E591">
        <v>1238.329956</v>
      </c>
      <c r="F591">
        <v>1238.329956</v>
      </c>
      <c r="G591">
        <v>14555860000</v>
      </c>
    </row>
    <row r="592" spans="1:7">
      <c r="A592" s="70">
        <v>36220</v>
      </c>
      <c r="B592">
        <v>1238.329956</v>
      </c>
      <c r="C592">
        <v>1323.8199460000001</v>
      </c>
      <c r="D592">
        <v>1216.030029</v>
      </c>
      <c r="E592">
        <v>1286.369995</v>
      </c>
      <c r="F592">
        <v>1286.369995</v>
      </c>
      <c r="G592">
        <v>18002500000</v>
      </c>
    </row>
    <row r="593" spans="1:7">
      <c r="A593" s="70">
        <v>36251</v>
      </c>
      <c r="B593">
        <v>1286.369995</v>
      </c>
      <c r="C593">
        <v>1371.5600589999999</v>
      </c>
      <c r="D593">
        <v>1282.5600589999999</v>
      </c>
      <c r="E593">
        <v>1335.1800539999999</v>
      </c>
      <c r="F593">
        <v>1335.1800539999999</v>
      </c>
      <c r="G593">
        <v>18523200000</v>
      </c>
    </row>
    <row r="594" spans="1:7">
      <c r="A594" s="70">
        <v>36281</v>
      </c>
      <c r="B594">
        <v>1335.1800539999999</v>
      </c>
      <c r="C594">
        <v>1375.9799800000001</v>
      </c>
      <c r="D594">
        <v>1277.3100589999999</v>
      </c>
      <c r="E594">
        <v>1301.839966</v>
      </c>
      <c r="F594">
        <v>1301.839966</v>
      </c>
      <c r="G594">
        <v>15880260000</v>
      </c>
    </row>
    <row r="595" spans="1:7">
      <c r="A595" s="70">
        <v>36312</v>
      </c>
      <c r="B595">
        <v>1301.839966</v>
      </c>
      <c r="C595">
        <v>1372.9300539999999</v>
      </c>
      <c r="D595">
        <v>1277.469971</v>
      </c>
      <c r="E595">
        <v>1372.709961</v>
      </c>
      <c r="F595">
        <v>1372.709961</v>
      </c>
      <c r="G595">
        <v>16079170000</v>
      </c>
    </row>
    <row r="596" spans="1:7">
      <c r="A596" s="70">
        <v>36342</v>
      </c>
      <c r="B596">
        <v>1372.709961</v>
      </c>
      <c r="C596">
        <v>1420.329956</v>
      </c>
      <c r="D596">
        <v>1328.48999</v>
      </c>
      <c r="E596">
        <v>1328.719971</v>
      </c>
      <c r="F596">
        <v>1328.719971</v>
      </c>
      <c r="G596">
        <v>15332930000</v>
      </c>
    </row>
    <row r="597" spans="1:7">
      <c r="A597" s="70">
        <v>36373</v>
      </c>
      <c r="B597">
        <v>1328.719971</v>
      </c>
      <c r="C597">
        <v>1382.839966</v>
      </c>
      <c r="D597">
        <v>1267.7299800000001</v>
      </c>
      <c r="E597">
        <v>1320.410034</v>
      </c>
      <c r="F597">
        <v>1320.410034</v>
      </c>
      <c r="G597">
        <v>15818550000</v>
      </c>
    </row>
    <row r="598" spans="1:7">
      <c r="A598" s="70">
        <v>36404</v>
      </c>
      <c r="B598">
        <v>1320.410034</v>
      </c>
      <c r="C598">
        <v>1361.3900149999999</v>
      </c>
      <c r="D598">
        <v>1256.26001</v>
      </c>
      <c r="E598">
        <v>1282.709961</v>
      </c>
      <c r="F598">
        <v>1282.709961</v>
      </c>
      <c r="G598">
        <v>16438700000</v>
      </c>
    </row>
    <row r="599" spans="1:7">
      <c r="A599" s="70">
        <v>36434</v>
      </c>
      <c r="B599">
        <v>1282.709961</v>
      </c>
      <c r="C599">
        <v>1373.170044</v>
      </c>
      <c r="D599">
        <v>1233.6999510000001</v>
      </c>
      <c r="E599">
        <v>1362.9300539999999</v>
      </c>
      <c r="F599">
        <v>1362.9300539999999</v>
      </c>
      <c r="G599">
        <v>18832000000</v>
      </c>
    </row>
    <row r="600" spans="1:7">
      <c r="A600" s="70">
        <v>36465</v>
      </c>
      <c r="B600">
        <v>1362.9300539999999</v>
      </c>
      <c r="C600">
        <v>1425.3100589999999</v>
      </c>
      <c r="D600">
        <v>1346.410034</v>
      </c>
      <c r="E600">
        <v>1388.910034</v>
      </c>
      <c r="F600">
        <v>1388.910034</v>
      </c>
      <c r="G600">
        <v>18384820000</v>
      </c>
    </row>
    <row r="601" spans="1:7">
      <c r="A601" s="70">
        <v>36495</v>
      </c>
      <c r="B601">
        <v>1388.910034</v>
      </c>
      <c r="C601">
        <v>1473.099976</v>
      </c>
      <c r="D601">
        <v>1387.380005</v>
      </c>
      <c r="E601">
        <v>1469.25</v>
      </c>
      <c r="F601">
        <v>1469.25</v>
      </c>
      <c r="G601">
        <v>19640690000</v>
      </c>
    </row>
    <row r="602" spans="1:7">
      <c r="A602" s="70">
        <v>36526</v>
      </c>
      <c r="B602">
        <v>1469.25</v>
      </c>
      <c r="C602">
        <v>1478</v>
      </c>
      <c r="D602">
        <v>1350.1400149999999</v>
      </c>
      <c r="E602">
        <v>1394.459961</v>
      </c>
      <c r="F602">
        <v>1394.459961</v>
      </c>
      <c r="G602">
        <v>21494400000</v>
      </c>
    </row>
    <row r="603" spans="1:7">
      <c r="A603" s="70">
        <v>36557</v>
      </c>
      <c r="B603">
        <v>1394.459961</v>
      </c>
      <c r="C603">
        <v>1444.5500489999999</v>
      </c>
      <c r="D603">
        <v>1325.0699460000001</v>
      </c>
      <c r="E603">
        <v>1366.420044</v>
      </c>
      <c r="F603">
        <v>1366.420044</v>
      </c>
      <c r="G603">
        <v>20912000000</v>
      </c>
    </row>
    <row r="604" spans="1:7">
      <c r="A604" s="70">
        <v>36586</v>
      </c>
      <c r="B604">
        <v>1366.420044</v>
      </c>
      <c r="C604">
        <v>1552.869995</v>
      </c>
      <c r="D604">
        <v>1346.619995</v>
      </c>
      <c r="E604">
        <v>1498.579956</v>
      </c>
      <c r="F604">
        <v>1498.579956</v>
      </c>
      <c r="G604">
        <v>26156200000</v>
      </c>
    </row>
    <row r="605" spans="1:7">
      <c r="A605" s="70">
        <v>36617</v>
      </c>
      <c r="B605">
        <v>1498.579956</v>
      </c>
      <c r="C605">
        <v>1527.1899410000001</v>
      </c>
      <c r="D605">
        <v>1339.400024</v>
      </c>
      <c r="E605">
        <v>1452.4300539999999</v>
      </c>
      <c r="F605">
        <v>1452.4300539999999</v>
      </c>
      <c r="G605">
        <v>20106460000</v>
      </c>
    </row>
    <row r="606" spans="1:7">
      <c r="A606" s="70">
        <v>36647</v>
      </c>
      <c r="B606">
        <v>1452.4300539999999</v>
      </c>
      <c r="C606">
        <v>1481.51001</v>
      </c>
      <c r="D606">
        <v>1361.089966</v>
      </c>
      <c r="E606">
        <v>1420.599976</v>
      </c>
      <c r="F606">
        <v>1420.599976</v>
      </c>
      <c r="G606">
        <v>19898300000</v>
      </c>
    </row>
    <row r="607" spans="1:7">
      <c r="A607" s="70">
        <v>36678</v>
      </c>
      <c r="B607">
        <v>1420.599976</v>
      </c>
      <c r="C607">
        <v>1488.9300539999999</v>
      </c>
      <c r="D607">
        <v>1420.599976</v>
      </c>
      <c r="E607">
        <v>1454.599976</v>
      </c>
      <c r="F607">
        <v>1454.599976</v>
      </c>
      <c r="G607">
        <v>21738300000</v>
      </c>
    </row>
    <row r="608" spans="1:7">
      <c r="A608" s="70">
        <v>36708</v>
      </c>
      <c r="B608">
        <v>1454.599976</v>
      </c>
      <c r="C608">
        <v>1517.3199460000001</v>
      </c>
      <c r="D608">
        <v>1413.8900149999999</v>
      </c>
      <c r="E608">
        <v>1430.829956</v>
      </c>
      <c r="F608">
        <v>1430.829956</v>
      </c>
      <c r="G608">
        <v>19089100000</v>
      </c>
    </row>
    <row r="609" spans="1:7">
      <c r="A609" s="70">
        <v>36739</v>
      </c>
      <c r="B609">
        <v>1430.829956</v>
      </c>
      <c r="C609">
        <v>1525.209961</v>
      </c>
      <c r="D609">
        <v>1425.4300539999999</v>
      </c>
      <c r="E609">
        <v>1517.6800539999999</v>
      </c>
      <c r="F609">
        <v>1517.6800539999999</v>
      </c>
      <c r="G609">
        <v>20363700000</v>
      </c>
    </row>
    <row r="610" spans="1:7">
      <c r="A610" s="70">
        <v>36770</v>
      </c>
      <c r="B610">
        <v>1517.6800539999999</v>
      </c>
      <c r="C610">
        <v>1530.089966</v>
      </c>
      <c r="D610">
        <v>1419.4399410000001</v>
      </c>
      <c r="E610">
        <v>1436.51001</v>
      </c>
      <c r="F610">
        <v>1436.51001</v>
      </c>
      <c r="G610">
        <v>20838300000</v>
      </c>
    </row>
    <row r="611" spans="1:7">
      <c r="A611" s="70">
        <v>36800</v>
      </c>
      <c r="B611">
        <v>1436.5200199999999</v>
      </c>
      <c r="C611">
        <v>1454.8199460000001</v>
      </c>
      <c r="D611">
        <v>1305.790039</v>
      </c>
      <c r="E611">
        <v>1429.400024</v>
      </c>
      <c r="F611">
        <v>1429.400024</v>
      </c>
      <c r="G611">
        <v>25951400000</v>
      </c>
    </row>
    <row r="612" spans="1:7">
      <c r="A612" s="70">
        <v>36831</v>
      </c>
      <c r="B612">
        <v>1429.400024</v>
      </c>
      <c r="C612">
        <v>1438.459961</v>
      </c>
      <c r="D612">
        <v>1294.900024</v>
      </c>
      <c r="E612">
        <v>1314.9499510000001</v>
      </c>
      <c r="F612">
        <v>1314.9499510000001</v>
      </c>
      <c r="G612">
        <v>20532300000</v>
      </c>
    </row>
    <row r="613" spans="1:7">
      <c r="A613" s="70">
        <v>36861</v>
      </c>
      <c r="B613">
        <v>1314.9499510000001</v>
      </c>
      <c r="C613">
        <v>1389.0500489999999</v>
      </c>
      <c r="D613">
        <v>1254.0699460000001</v>
      </c>
      <c r="E613">
        <v>1320.280029</v>
      </c>
      <c r="F613">
        <v>1320.280029</v>
      </c>
      <c r="G613">
        <v>23610800000</v>
      </c>
    </row>
    <row r="614" spans="1:7">
      <c r="A614" s="70">
        <v>36892</v>
      </c>
      <c r="B614">
        <v>1320.280029</v>
      </c>
      <c r="C614">
        <v>1383.369995</v>
      </c>
      <c r="D614">
        <v>1274.619995</v>
      </c>
      <c r="E614">
        <v>1366.01001</v>
      </c>
      <c r="F614">
        <v>1366.01001</v>
      </c>
      <c r="G614">
        <v>27829800000</v>
      </c>
    </row>
    <row r="615" spans="1:7">
      <c r="A615" s="70">
        <v>36923</v>
      </c>
      <c r="B615">
        <v>1366.01001</v>
      </c>
      <c r="C615">
        <v>1376.380005</v>
      </c>
      <c r="D615">
        <v>1215.4399410000001</v>
      </c>
      <c r="E615">
        <v>1239.9399410000001</v>
      </c>
      <c r="F615">
        <v>1239.9399410000001</v>
      </c>
      <c r="G615">
        <v>21644400000</v>
      </c>
    </row>
    <row r="616" spans="1:7">
      <c r="A616" s="70">
        <v>36951</v>
      </c>
      <c r="B616">
        <v>1239.9399410000001</v>
      </c>
      <c r="C616">
        <v>1267.420044</v>
      </c>
      <c r="D616">
        <v>1081.1899410000001</v>
      </c>
      <c r="E616">
        <v>1160.329956</v>
      </c>
      <c r="F616">
        <v>1160.329956</v>
      </c>
      <c r="G616">
        <v>27806610000</v>
      </c>
    </row>
    <row r="617" spans="1:7">
      <c r="A617" s="70">
        <v>36982</v>
      </c>
      <c r="B617">
        <v>1160.329956</v>
      </c>
      <c r="C617">
        <v>1269.3000489999999</v>
      </c>
      <c r="D617">
        <v>1091.98999</v>
      </c>
      <c r="E617">
        <v>1249.459961</v>
      </c>
      <c r="F617">
        <v>1249.459961</v>
      </c>
      <c r="G617">
        <v>25409990000</v>
      </c>
    </row>
    <row r="618" spans="1:7">
      <c r="A618" s="70">
        <v>37012</v>
      </c>
      <c r="B618">
        <v>1249.459961</v>
      </c>
      <c r="C618">
        <v>1315.9300539999999</v>
      </c>
      <c r="D618">
        <v>1232</v>
      </c>
      <c r="E618">
        <v>1255.8199460000001</v>
      </c>
      <c r="F618">
        <v>1255.8199460000001</v>
      </c>
      <c r="G618">
        <v>24525900000</v>
      </c>
    </row>
    <row r="619" spans="1:7">
      <c r="A619" s="70">
        <v>37043</v>
      </c>
      <c r="B619">
        <v>1255.8199460000001</v>
      </c>
      <c r="C619">
        <v>1286.619995</v>
      </c>
      <c r="D619">
        <v>1203.030029</v>
      </c>
      <c r="E619">
        <v>1224.380005</v>
      </c>
      <c r="F619">
        <v>1224.380005</v>
      </c>
      <c r="G619">
        <v>24748030000</v>
      </c>
    </row>
    <row r="620" spans="1:7">
      <c r="A620" s="70">
        <v>37073</v>
      </c>
      <c r="B620">
        <v>1224.420044</v>
      </c>
      <c r="C620">
        <v>1239.780029</v>
      </c>
      <c r="D620">
        <v>1165.540039</v>
      </c>
      <c r="E620">
        <v>1211.2299800000001</v>
      </c>
      <c r="F620">
        <v>1211.2299800000001</v>
      </c>
      <c r="G620">
        <v>23793710000</v>
      </c>
    </row>
    <row r="621" spans="1:7">
      <c r="A621" s="70">
        <v>37104</v>
      </c>
      <c r="B621">
        <v>1211.2299800000001</v>
      </c>
      <c r="C621">
        <v>1226.2700199999999</v>
      </c>
      <c r="D621">
        <v>1124.869995</v>
      </c>
      <c r="E621">
        <v>1133.579956</v>
      </c>
      <c r="F621">
        <v>1133.579956</v>
      </c>
      <c r="G621">
        <v>23359200000</v>
      </c>
    </row>
    <row r="622" spans="1:7">
      <c r="A622" s="70">
        <v>37135</v>
      </c>
      <c r="B622">
        <v>1133.579956</v>
      </c>
      <c r="C622">
        <v>1155.400024</v>
      </c>
      <c r="D622">
        <v>944.75</v>
      </c>
      <c r="E622">
        <v>1040.9399410000001</v>
      </c>
      <c r="F622">
        <v>1040.9399410000001</v>
      </c>
      <c r="G622">
        <v>25025290000</v>
      </c>
    </row>
    <row r="623" spans="1:7">
      <c r="A623" s="70">
        <v>37165</v>
      </c>
      <c r="B623">
        <v>1040.9399410000001</v>
      </c>
      <c r="C623">
        <v>1110.6099850000001</v>
      </c>
      <c r="D623">
        <v>1026.76001</v>
      </c>
      <c r="E623">
        <v>1059.780029</v>
      </c>
      <c r="F623">
        <v>1059.780029</v>
      </c>
      <c r="G623">
        <v>29951280000</v>
      </c>
    </row>
    <row r="624" spans="1:7">
      <c r="A624" s="70">
        <v>37196</v>
      </c>
      <c r="B624">
        <v>1059.780029</v>
      </c>
      <c r="C624">
        <v>1163.380005</v>
      </c>
      <c r="D624">
        <v>1054.3100589999999</v>
      </c>
      <c r="E624">
        <v>1139.4499510000001</v>
      </c>
      <c r="F624">
        <v>1139.4499510000001</v>
      </c>
      <c r="G624">
        <v>26330000000</v>
      </c>
    </row>
    <row r="625" spans="1:7">
      <c r="A625" s="70">
        <v>37226</v>
      </c>
      <c r="B625">
        <v>1139.4499510000001</v>
      </c>
      <c r="C625">
        <v>1173.619995</v>
      </c>
      <c r="D625">
        <v>1114.530029</v>
      </c>
      <c r="E625">
        <v>1148.079956</v>
      </c>
      <c r="F625">
        <v>1148.079956</v>
      </c>
      <c r="G625">
        <v>25128570000</v>
      </c>
    </row>
    <row r="626" spans="1:7">
      <c r="A626" s="70">
        <v>37257</v>
      </c>
      <c r="B626">
        <v>1148.079956</v>
      </c>
      <c r="C626">
        <v>1176.969971</v>
      </c>
      <c r="D626">
        <v>1081.660034</v>
      </c>
      <c r="E626">
        <v>1130.1999510000001</v>
      </c>
      <c r="F626">
        <v>1130.1999510000001</v>
      </c>
      <c r="G626">
        <v>29746200000</v>
      </c>
    </row>
    <row r="627" spans="1:7">
      <c r="A627" s="70">
        <v>37288</v>
      </c>
      <c r="B627">
        <v>1130.1999510000001</v>
      </c>
      <c r="C627">
        <v>1130.1999510000001</v>
      </c>
      <c r="D627">
        <v>1074.3599850000001</v>
      </c>
      <c r="E627">
        <v>1106.7299800000001</v>
      </c>
      <c r="F627">
        <v>1106.7299800000001</v>
      </c>
      <c r="G627">
        <v>26047600000</v>
      </c>
    </row>
    <row r="628" spans="1:7">
      <c r="A628" s="70">
        <v>37316</v>
      </c>
      <c r="B628">
        <v>1106.7299800000001</v>
      </c>
      <c r="C628">
        <v>1173.9399410000001</v>
      </c>
      <c r="D628">
        <v>1106.7299800000001</v>
      </c>
      <c r="E628">
        <v>1147.3900149999999</v>
      </c>
      <c r="F628">
        <v>1147.3900149999999</v>
      </c>
      <c r="G628">
        <v>26563200000</v>
      </c>
    </row>
    <row r="629" spans="1:7">
      <c r="A629" s="70">
        <v>37347</v>
      </c>
      <c r="B629">
        <v>1147.3900149999999</v>
      </c>
      <c r="C629">
        <v>1147.839966</v>
      </c>
      <c r="D629">
        <v>1063.459961</v>
      </c>
      <c r="E629">
        <v>1076.920044</v>
      </c>
      <c r="F629">
        <v>1076.920044</v>
      </c>
      <c r="G629">
        <v>28568900000</v>
      </c>
    </row>
    <row r="630" spans="1:7">
      <c r="A630" s="70">
        <v>37377</v>
      </c>
      <c r="B630">
        <v>1076.920044</v>
      </c>
      <c r="C630">
        <v>1106.589966</v>
      </c>
      <c r="D630">
        <v>1048.959961</v>
      </c>
      <c r="E630">
        <v>1067.1400149999999</v>
      </c>
      <c r="F630">
        <v>1067.1400149999999</v>
      </c>
      <c r="G630">
        <v>26905500000</v>
      </c>
    </row>
    <row r="631" spans="1:7">
      <c r="A631" s="70">
        <v>37408</v>
      </c>
      <c r="B631">
        <v>1067.1400149999999</v>
      </c>
      <c r="C631">
        <v>1070.73999</v>
      </c>
      <c r="D631">
        <v>952.919983</v>
      </c>
      <c r="E631">
        <v>989.82000700000003</v>
      </c>
      <c r="F631">
        <v>989.82000700000003</v>
      </c>
      <c r="G631">
        <v>29981510000</v>
      </c>
    </row>
    <row r="632" spans="1:7">
      <c r="A632" s="70">
        <v>37438</v>
      </c>
      <c r="B632">
        <v>989.82000700000003</v>
      </c>
      <c r="C632">
        <v>994.46002199999998</v>
      </c>
      <c r="D632">
        <v>775.67999299999997</v>
      </c>
      <c r="E632">
        <v>911.61999500000002</v>
      </c>
      <c r="F632">
        <v>911.61999500000002</v>
      </c>
      <c r="G632">
        <v>42228720000</v>
      </c>
    </row>
    <row r="633" spans="1:7">
      <c r="A633" s="70">
        <v>37469</v>
      </c>
      <c r="B633">
        <v>911.61999500000002</v>
      </c>
      <c r="C633">
        <v>965</v>
      </c>
      <c r="D633">
        <v>833.44000200000005</v>
      </c>
      <c r="E633">
        <v>916.07000700000003</v>
      </c>
      <c r="F633">
        <v>916.07000700000003</v>
      </c>
      <c r="G633">
        <v>29298400000</v>
      </c>
    </row>
    <row r="634" spans="1:7">
      <c r="A634" s="70">
        <v>37500</v>
      </c>
      <c r="B634">
        <v>916.07000700000003</v>
      </c>
      <c r="C634">
        <v>924.02002000000005</v>
      </c>
      <c r="D634">
        <v>800.20001200000002</v>
      </c>
      <c r="E634">
        <v>815.28002900000001</v>
      </c>
      <c r="F634">
        <v>815.28002900000001</v>
      </c>
      <c r="G634">
        <v>27723710000</v>
      </c>
    </row>
    <row r="635" spans="1:7">
      <c r="A635" s="70">
        <v>37530</v>
      </c>
      <c r="B635">
        <v>815.28002900000001</v>
      </c>
      <c r="C635">
        <v>907.44000200000005</v>
      </c>
      <c r="D635">
        <v>768.63000499999998</v>
      </c>
      <c r="E635">
        <v>885.76000999999997</v>
      </c>
      <c r="F635">
        <v>885.76000999999997</v>
      </c>
      <c r="G635">
        <v>37856310000</v>
      </c>
    </row>
    <row r="636" spans="1:7">
      <c r="A636" s="70">
        <v>37561</v>
      </c>
      <c r="B636">
        <v>885.76000999999997</v>
      </c>
      <c r="C636">
        <v>941.82000700000003</v>
      </c>
      <c r="D636">
        <v>872.04998799999998</v>
      </c>
      <c r="E636">
        <v>936.30999799999995</v>
      </c>
      <c r="F636">
        <v>936.30999799999995</v>
      </c>
      <c r="G636">
        <v>29200960000</v>
      </c>
    </row>
    <row r="637" spans="1:7">
      <c r="A637" s="70">
        <v>37591</v>
      </c>
      <c r="B637">
        <v>936.30999799999995</v>
      </c>
      <c r="C637">
        <v>954.28002900000001</v>
      </c>
      <c r="D637">
        <v>869.45001200000002</v>
      </c>
      <c r="E637">
        <v>879.82000700000003</v>
      </c>
      <c r="F637">
        <v>879.82000700000003</v>
      </c>
      <c r="G637">
        <v>25993640000</v>
      </c>
    </row>
    <row r="638" spans="1:7">
      <c r="A638" s="70">
        <v>37622</v>
      </c>
      <c r="B638">
        <v>879.82000700000003</v>
      </c>
      <c r="C638">
        <v>935.04998799999998</v>
      </c>
      <c r="D638">
        <v>840.34002699999996</v>
      </c>
      <c r="E638">
        <v>855.70001200000002</v>
      </c>
      <c r="F638">
        <v>855.70001200000002</v>
      </c>
      <c r="G638">
        <v>30749580000</v>
      </c>
    </row>
    <row r="639" spans="1:7">
      <c r="A639" s="70">
        <v>37653</v>
      </c>
      <c r="B639">
        <v>855.70001200000002</v>
      </c>
      <c r="C639">
        <v>864.64001499999995</v>
      </c>
      <c r="D639">
        <v>806.28997800000002</v>
      </c>
      <c r="E639">
        <v>841.15002400000003</v>
      </c>
      <c r="F639">
        <v>841.15002400000003</v>
      </c>
      <c r="G639">
        <v>25235300000</v>
      </c>
    </row>
    <row r="640" spans="1:7">
      <c r="A640" s="70">
        <v>37681</v>
      </c>
      <c r="B640">
        <v>841.15002400000003</v>
      </c>
      <c r="C640">
        <v>895.90002400000003</v>
      </c>
      <c r="D640">
        <v>788.90002400000003</v>
      </c>
      <c r="E640">
        <v>848.17999299999997</v>
      </c>
      <c r="F640">
        <v>848.17999299999997</v>
      </c>
      <c r="G640">
        <v>30080030000</v>
      </c>
    </row>
    <row r="641" spans="1:7">
      <c r="A641" s="70">
        <v>37712</v>
      </c>
      <c r="B641">
        <v>848.17999299999997</v>
      </c>
      <c r="C641">
        <v>924.23999000000003</v>
      </c>
      <c r="D641">
        <v>847.84997599999997</v>
      </c>
      <c r="E641">
        <v>916.919983</v>
      </c>
      <c r="F641">
        <v>916.919983</v>
      </c>
      <c r="G641">
        <v>29669610000</v>
      </c>
    </row>
    <row r="642" spans="1:7">
      <c r="A642" s="70">
        <v>37742</v>
      </c>
      <c r="B642">
        <v>916.919983</v>
      </c>
      <c r="C642">
        <v>965.38000499999998</v>
      </c>
      <c r="D642">
        <v>902.830017</v>
      </c>
      <c r="E642">
        <v>963.59002699999996</v>
      </c>
      <c r="F642">
        <v>963.59002699999996</v>
      </c>
      <c r="G642">
        <v>30952100000</v>
      </c>
    </row>
    <row r="643" spans="1:7">
      <c r="A643" s="70">
        <v>37773</v>
      </c>
      <c r="B643">
        <v>963.59002699999996</v>
      </c>
      <c r="C643">
        <v>1015.330017</v>
      </c>
      <c r="D643">
        <v>963.59002699999996</v>
      </c>
      <c r="E643">
        <v>974.5</v>
      </c>
      <c r="F643">
        <v>974.5</v>
      </c>
      <c r="G643">
        <v>31219400000</v>
      </c>
    </row>
    <row r="644" spans="1:7">
      <c r="A644" s="70">
        <v>37803</v>
      </c>
      <c r="B644">
        <v>974.5</v>
      </c>
      <c r="C644">
        <v>1015.409973</v>
      </c>
      <c r="D644">
        <v>962.09997599999997</v>
      </c>
      <c r="E644">
        <v>990.30999799999995</v>
      </c>
      <c r="F644">
        <v>990.30999799999995</v>
      </c>
      <c r="G644">
        <v>31553200000</v>
      </c>
    </row>
    <row r="645" spans="1:7">
      <c r="A645" s="70">
        <v>37834</v>
      </c>
      <c r="B645">
        <v>990.30999799999995</v>
      </c>
      <c r="C645">
        <v>1011.01001</v>
      </c>
      <c r="D645">
        <v>960.84002699999996</v>
      </c>
      <c r="E645">
        <v>1008.01001</v>
      </c>
      <c r="F645">
        <v>1008.01001</v>
      </c>
      <c r="G645">
        <v>24881470000</v>
      </c>
    </row>
    <row r="646" spans="1:7">
      <c r="A646" s="70">
        <v>37865</v>
      </c>
      <c r="B646">
        <v>1008.01001</v>
      </c>
      <c r="C646">
        <v>1040.290039</v>
      </c>
      <c r="D646">
        <v>990.35998500000005</v>
      </c>
      <c r="E646">
        <v>995.96997099999999</v>
      </c>
      <c r="F646">
        <v>995.96997099999999</v>
      </c>
      <c r="G646">
        <v>29940110000</v>
      </c>
    </row>
    <row r="647" spans="1:7">
      <c r="A647" s="70">
        <v>37895</v>
      </c>
      <c r="B647">
        <v>995.96997099999999</v>
      </c>
      <c r="C647">
        <v>1053.790039</v>
      </c>
      <c r="D647">
        <v>995.96997099999999</v>
      </c>
      <c r="E647">
        <v>1050.709961</v>
      </c>
      <c r="F647">
        <v>1050.709961</v>
      </c>
      <c r="G647">
        <v>32298500000</v>
      </c>
    </row>
    <row r="648" spans="1:7">
      <c r="A648" s="70">
        <v>37926</v>
      </c>
      <c r="B648">
        <v>1050.709961</v>
      </c>
      <c r="C648">
        <v>1063.650024</v>
      </c>
      <c r="D648">
        <v>1031.1999510000001</v>
      </c>
      <c r="E648">
        <v>1058.1999510000001</v>
      </c>
      <c r="F648">
        <v>1058.1999510000001</v>
      </c>
      <c r="G648">
        <v>24463220000</v>
      </c>
    </row>
    <row r="649" spans="1:7">
      <c r="A649" s="70">
        <v>37956</v>
      </c>
      <c r="B649">
        <v>1058.1999510000001</v>
      </c>
      <c r="C649">
        <v>1112.5600589999999</v>
      </c>
      <c r="D649">
        <v>1053.410034</v>
      </c>
      <c r="E649">
        <v>1111.920044</v>
      </c>
      <c r="F649">
        <v>1111.920044</v>
      </c>
      <c r="G649">
        <v>27839130000</v>
      </c>
    </row>
    <row r="650" spans="1:7">
      <c r="A650" s="70">
        <v>37987</v>
      </c>
      <c r="B650">
        <v>1111.920044</v>
      </c>
      <c r="C650">
        <v>1155.380005</v>
      </c>
      <c r="D650">
        <v>1105.079956</v>
      </c>
      <c r="E650">
        <v>1131.130005</v>
      </c>
      <c r="F650">
        <v>1131.130005</v>
      </c>
      <c r="G650">
        <v>32820000000</v>
      </c>
    </row>
    <row r="651" spans="1:7">
      <c r="A651" s="70">
        <v>38018</v>
      </c>
      <c r="B651">
        <v>1131.130005</v>
      </c>
      <c r="C651">
        <v>1158.9799800000001</v>
      </c>
      <c r="D651">
        <v>1124.4399410000001</v>
      </c>
      <c r="E651">
        <v>1144.9399410000001</v>
      </c>
      <c r="F651">
        <v>1144.9399410000001</v>
      </c>
      <c r="G651">
        <v>27985600000</v>
      </c>
    </row>
    <row r="652" spans="1:7">
      <c r="A652" s="70">
        <v>38047</v>
      </c>
      <c r="B652">
        <v>1144.9399410000001</v>
      </c>
      <c r="C652">
        <v>1163.2299800000001</v>
      </c>
      <c r="D652">
        <v>1087.160034</v>
      </c>
      <c r="E652">
        <v>1126.209961</v>
      </c>
      <c r="F652">
        <v>1126.209961</v>
      </c>
      <c r="G652">
        <v>33597900000</v>
      </c>
    </row>
    <row r="653" spans="1:7">
      <c r="A653" s="70">
        <v>38078</v>
      </c>
      <c r="B653">
        <v>1126.209961</v>
      </c>
      <c r="C653">
        <v>1150.5699460000001</v>
      </c>
      <c r="D653">
        <v>1107.2299800000001</v>
      </c>
      <c r="E653">
        <v>1107.3000489999999</v>
      </c>
      <c r="F653">
        <v>1107.3000489999999</v>
      </c>
      <c r="G653">
        <v>31611900000</v>
      </c>
    </row>
    <row r="654" spans="1:7">
      <c r="A654" s="70">
        <v>38108</v>
      </c>
      <c r="B654">
        <v>1107.3000489999999</v>
      </c>
      <c r="C654">
        <v>1127.73999</v>
      </c>
      <c r="D654">
        <v>1076.3199460000001</v>
      </c>
      <c r="E654">
        <v>1120.6800539999999</v>
      </c>
      <c r="F654">
        <v>1120.6800539999999</v>
      </c>
      <c r="G654">
        <v>29326400000</v>
      </c>
    </row>
    <row r="655" spans="1:7">
      <c r="A655" s="70">
        <v>38139</v>
      </c>
      <c r="B655">
        <v>1120.6800539999999</v>
      </c>
      <c r="C655">
        <v>1146.339966</v>
      </c>
      <c r="D655">
        <v>1113.3199460000001</v>
      </c>
      <c r="E655">
        <v>1140.839966</v>
      </c>
      <c r="F655">
        <v>1140.839966</v>
      </c>
      <c r="G655">
        <v>27529500000</v>
      </c>
    </row>
    <row r="656" spans="1:7">
      <c r="A656" s="70">
        <v>38169</v>
      </c>
      <c r="B656">
        <v>1140.839966</v>
      </c>
      <c r="C656">
        <v>1140.839966</v>
      </c>
      <c r="D656">
        <v>1078.780029</v>
      </c>
      <c r="E656">
        <v>1101.719971</v>
      </c>
      <c r="F656">
        <v>1101.719971</v>
      </c>
      <c r="G656">
        <v>29285600000</v>
      </c>
    </row>
    <row r="657" spans="1:7">
      <c r="A657" s="70">
        <v>38200</v>
      </c>
      <c r="B657">
        <v>1101.719971</v>
      </c>
      <c r="C657">
        <v>1109.6800539999999</v>
      </c>
      <c r="D657">
        <v>1060.719971</v>
      </c>
      <c r="E657">
        <v>1104.23999</v>
      </c>
      <c r="F657">
        <v>1104.23999</v>
      </c>
      <c r="G657">
        <v>26586800000</v>
      </c>
    </row>
    <row r="658" spans="1:7">
      <c r="A658" s="70">
        <v>38231</v>
      </c>
      <c r="B658">
        <v>1104.23999</v>
      </c>
      <c r="C658">
        <v>1131.540039</v>
      </c>
      <c r="D658">
        <v>1099.1800539999999</v>
      </c>
      <c r="E658">
        <v>1114.579956</v>
      </c>
      <c r="F658">
        <v>1114.579956</v>
      </c>
      <c r="G658">
        <v>26829870000</v>
      </c>
    </row>
    <row r="659" spans="1:7">
      <c r="A659" s="70">
        <v>38261</v>
      </c>
      <c r="B659">
        <v>1114.579956</v>
      </c>
      <c r="C659">
        <v>1142.0500489999999</v>
      </c>
      <c r="D659">
        <v>1090.290039</v>
      </c>
      <c r="E659">
        <v>1130.1999510000001</v>
      </c>
      <c r="F659">
        <v>1130.1999510000001</v>
      </c>
      <c r="G659">
        <v>31511000000</v>
      </c>
    </row>
    <row r="660" spans="1:7">
      <c r="A660" s="70">
        <v>38292</v>
      </c>
      <c r="B660">
        <v>1130.1999510000001</v>
      </c>
      <c r="C660">
        <v>1188.459961</v>
      </c>
      <c r="D660">
        <v>1127.599976</v>
      </c>
      <c r="E660">
        <v>1173.8199460000001</v>
      </c>
      <c r="F660">
        <v>1173.8199460000001</v>
      </c>
      <c r="G660">
        <v>30460280000</v>
      </c>
    </row>
    <row r="661" spans="1:7">
      <c r="A661" s="70">
        <v>38322</v>
      </c>
      <c r="B661">
        <v>1173.780029</v>
      </c>
      <c r="C661">
        <v>1217.329956</v>
      </c>
      <c r="D661">
        <v>1173.780029</v>
      </c>
      <c r="E661">
        <v>1211.920044</v>
      </c>
      <c r="F661">
        <v>1211.920044</v>
      </c>
      <c r="G661">
        <v>31102500000</v>
      </c>
    </row>
    <row r="662" spans="1:7">
      <c r="A662" s="70">
        <v>38353</v>
      </c>
      <c r="B662">
        <v>1211.920044</v>
      </c>
      <c r="C662">
        <v>1217.8000489999999</v>
      </c>
      <c r="D662">
        <v>1163.75</v>
      </c>
      <c r="E662">
        <v>1181.2700199999999</v>
      </c>
      <c r="F662">
        <v>1181.2700199999999</v>
      </c>
      <c r="G662">
        <v>31498800000</v>
      </c>
    </row>
    <row r="663" spans="1:7">
      <c r="A663" s="70">
        <v>38384</v>
      </c>
      <c r="B663">
        <v>1181.2700199999999</v>
      </c>
      <c r="C663">
        <v>1212.4399410000001</v>
      </c>
      <c r="D663">
        <v>1180.9499510000001</v>
      </c>
      <c r="E663">
        <v>1203.599976</v>
      </c>
      <c r="F663">
        <v>1203.599976</v>
      </c>
      <c r="G663">
        <v>29297410000</v>
      </c>
    </row>
    <row r="664" spans="1:7">
      <c r="A664" s="70">
        <v>38412</v>
      </c>
      <c r="B664">
        <v>1203.599976</v>
      </c>
      <c r="C664">
        <v>1229.1099850000001</v>
      </c>
      <c r="D664">
        <v>1163.6899410000001</v>
      </c>
      <c r="E664">
        <v>1180.589966</v>
      </c>
      <c r="F664">
        <v>1180.589966</v>
      </c>
      <c r="G664">
        <v>39014150000</v>
      </c>
    </row>
    <row r="665" spans="1:7">
      <c r="A665" s="70">
        <v>38443</v>
      </c>
      <c r="B665">
        <v>1180.589966</v>
      </c>
      <c r="C665">
        <v>1191.880005</v>
      </c>
      <c r="D665">
        <v>1136.150024</v>
      </c>
      <c r="E665">
        <v>1156.849976</v>
      </c>
      <c r="F665">
        <v>1156.849976</v>
      </c>
      <c r="G665">
        <v>43424270000</v>
      </c>
    </row>
    <row r="666" spans="1:7">
      <c r="A666" s="70">
        <v>38473</v>
      </c>
      <c r="B666">
        <v>1156.849976</v>
      </c>
      <c r="C666">
        <v>1199.5600589999999</v>
      </c>
      <c r="D666">
        <v>1146.1800539999999</v>
      </c>
      <c r="E666">
        <v>1191.5</v>
      </c>
      <c r="F666">
        <v>1191.5</v>
      </c>
      <c r="G666">
        <v>39321990000</v>
      </c>
    </row>
    <row r="667" spans="1:7">
      <c r="A667" s="70">
        <v>38504</v>
      </c>
      <c r="B667">
        <v>1191.5</v>
      </c>
      <c r="C667">
        <v>1219.589966</v>
      </c>
      <c r="D667">
        <v>1188.3000489999999</v>
      </c>
      <c r="E667">
        <v>1191.329956</v>
      </c>
      <c r="F667">
        <v>1191.329956</v>
      </c>
      <c r="G667">
        <v>40334040000</v>
      </c>
    </row>
    <row r="668" spans="1:7">
      <c r="A668" s="70">
        <v>38534</v>
      </c>
      <c r="B668">
        <v>1191.329956</v>
      </c>
      <c r="C668">
        <v>1245.150024</v>
      </c>
      <c r="D668">
        <v>1183.5500489999999</v>
      </c>
      <c r="E668">
        <v>1234.1800539999999</v>
      </c>
      <c r="F668">
        <v>1234.1800539999999</v>
      </c>
      <c r="G668">
        <v>37464670000</v>
      </c>
    </row>
    <row r="669" spans="1:7">
      <c r="A669" s="70">
        <v>38565</v>
      </c>
      <c r="B669">
        <v>1234.1800539999999</v>
      </c>
      <c r="C669">
        <v>1245.8599850000001</v>
      </c>
      <c r="D669">
        <v>1201.0699460000001</v>
      </c>
      <c r="E669">
        <v>1220.329956</v>
      </c>
      <c r="F669">
        <v>1220.329956</v>
      </c>
      <c r="G669">
        <v>42030090000</v>
      </c>
    </row>
    <row r="670" spans="1:7">
      <c r="A670" s="70">
        <v>38596</v>
      </c>
      <c r="B670">
        <v>1220.329956</v>
      </c>
      <c r="C670">
        <v>1243.130005</v>
      </c>
      <c r="D670">
        <v>1205.349976</v>
      </c>
      <c r="E670">
        <v>1228.8100589999999</v>
      </c>
      <c r="F670">
        <v>1228.8100589999999</v>
      </c>
      <c r="G670">
        <v>44777510000</v>
      </c>
    </row>
    <row r="671" spans="1:7">
      <c r="A671" s="70">
        <v>38626</v>
      </c>
      <c r="B671">
        <v>1228.8100589999999</v>
      </c>
      <c r="C671">
        <v>1233.339966</v>
      </c>
      <c r="D671">
        <v>1168.1999510000001</v>
      </c>
      <c r="E671">
        <v>1207.01001</v>
      </c>
      <c r="F671">
        <v>1207.01001</v>
      </c>
      <c r="G671">
        <v>49793790000</v>
      </c>
    </row>
    <row r="672" spans="1:7">
      <c r="A672" s="70">
        <v>38657</v>
      </c>
      <c r="B672">
        <v>1207.01001</v>
      </c>
      <c r="C672">
        <v>1270.6400149999999</v>
      </c>
      <c r="D672">
        <v>1201.0699460000001</v>
      </c>
      <c r="E672">
        <v>1249.4799800000001</v>
      </c>
      <c r="F672">
        <v>1249.4799800000001</v>
      </c>
      <c r="G672">
        <v>45102870000</v>
      </c>
    </row>
    <row r="673" spans="1:7">
      <c r="A673" s="70">
        <v>38687</v>
      </c>
      <c r="B673">
        <v>1249.4799800000001</v>
      </c>
      <c r="C673">
        <v>1275.8000489999999</v>
      </c>
      <c r="D673">
        <v>1246.589966</v>
      </c>
      <c r="E673">
        <v>1248.290039</v>
      </c>
      <c r="F673">
        <v>1248.290039</v>
      </c>
      <c r="G673">
        <v>41756130000</v>
      </c>
    </row>
    <row r="674" spans="1:7">
      <c r="A674" s="70">
        <v>38718</v>
      </c>
      <c r="B674">
        <v>1248.290039</v>
      </c>
      <c r="C674">
        <v>1294.900024</v>
      </c>
      <c r="D674">
        <v>1245.73999</v>
      </c>
      <c r="E674">
        <v>1280.079956</v>
      </c>
      <c r="F674">
        <v>1280.079956</v>
      </c>
      <c r="G674">
        <v>49211650000</v>
      </c>
    </row>
    <row r="675" spans="1:7">
      <c r="A675" s="70">
        <v>38749</v>
      </c>
      <c r="B675">
        <v>1280.079956</v>
      </c>
      <c r="C675">
        <v>1297.5699460000001</v>
      </c>
      <c r="D675">
        <v>1253.6099850000001</v>
      </c>
      <c r="E675">
        <v>1280.660034</v>
      </c>
      <c r="F675">
        <v>1280.660034</v>
      </c>
      <c r="G675">
        <v>42859940000</v>
      </c>
    </row>
    <row r="676" spans="1:7">
      <c r="A676" s="70">
        <v>38777</v>
      </c>
      <c r="B676">
        <v>1280.660034</v>
      </c>
      <c r="C676">
        <v>1310.880005</v>
      </c>
      <c r="D676">
        <v>1268.420044</v>
      </c>
      <c r="E676">
        <v>1294.869995</v>
      </c>
      <c r="F676">
        <v>1294.869995</v>
      </c>
      <c r="G676">
        <v>50905040000</v>
      </c>
    </row>
    <row r="677" spans="1:7">
      <c r="A677" s="70">
        <v>38808</v>
      </c>
      <c r="B677">
        <v>1302.880005</v>
      </c>
      <c r="C677">
        <v>1318.160034</v>
      </c>
      <c r="D677">
        <v>1280.73999</v>
      </c>
      <c r="E677">
        <v>1310.6099850000001</v>
      </c>
      <c r="F677">
        <v>1310.6099850000001</v>
      </c>
      <c r="G677">
        <v>43308430000</v>
      </c>
    </row>
    <row r="678" spans="1:7">
      <c r="A678" s="70">
        <v>38838</v>
      </c>
      <c r="B678">
        <v>1310.6099850000001</v>
      </c>
      <c r="C678">
        <v>1326.6999510000001</v>
      </c>
      <c r="D678">
        <v>1245.339966</v>
      </c>
      <c r="E678">
        <v>1270.089966</v>
      </c>
      <c r="F678">
        <v>1270.089966</v>
      </c>
      <c r="G678">
        <v>54312830000</v>
      </c>
    </row>
    <row r="679" spans="1:7">
      <c r="A679" s="70">
        <v>38869</v>
      </c>
      <c r="B679">
        <v>1270.0500489999999</v>
      </c>
      <c r="C679">
        <v>1290.6800539999999</v>
      </c>
      <c r="D679">
        <v>1219.290039</v>
      </c>
      <c r="E679">
        <v>1270.1999510000001</v>
      </c>
      <c r="F679">
        <v>1270.1999510000001</v>
      </c>
      <c r="G679">
        <v>54873260000</v>
      </c>
    </row>
    <row r="680" spans="1:7">
      <c r="A680" s="70">
        <v>38899</v>
      </c>
      <c r="B680">
        <v>1270.0600589999999</v>
      </c>
      <c r="C680">
        <v>1280.420044</v>
      </c>
      <c r="D680">
        <v>1224.540039</v>
      </c>
      <c r="E680">
        <v>1276.660034</v>
      </c>
      <c r="F680">
        <v>1276.660034</v>
      </c>
      <c r="G680">
        <v>46348220000</v>
      </c>
    </row>
    <row r="681" spans="1:7">
      <c r="A681" s="70">
        <v>38930</v>
      </c>
      <c r="B681">
        <v>1278.530029</v>
      </c>
      <c r="C681">
        <v>1306.73999</v>
      </c>
      <c r="D681">
        <v>1261.3000489999999</v>
      </c>
      <c r="E681">
        <v>1303.8199460000001</v>
      </c>
      <c r="F681">
        <v>1303.8199460000001</v>
      </c>
      <c r="G681">
        <v>50485620000</v>
      </c>
    </row>
    <row r="682" spans="1:7">
      <c r="A682" s="70">
        <v>38961</v>
      </c>
      <c r="B682">
        <v>1303.8000489999999</v>
      </c>
      <c r="C682">
        <v>1340.280029</v>
      </c>
      <c r="D682">
        <v>1290.9300539999999</v>
      </c>
      <c r="E682">
        <v>1335.849976</v>
      </c>
      <c r="F682">
        <v>1335.849976</v>
      </c>
      <c r="G682">
        <v>49001440000</v>
      </c>
    </row>
    <row r="683" spans="1:7">
      <c r="A683" s="70">
        <v>38991</v>
      </c>
      <c r="B683">
        <v>1335.8199460000001</v>
      </c>
      <c r="C683">
        <v>1389.4499510000001</v>
      </c>
      <c r="D683">
        <v>1327.099976</v>
      </c>
      <c r="E683">
        <v>1377.9399410000001</v>
      </c>
      <c r="F683">
        <v>1377.9399410000001</v>
      </c>
      <c r="G683">
        <v>56793620000</v>
      </c>
    </row>
    <row r="684" spans="1:7">
      <c r="A684" s="70">
        <v>39022</v>
      </c>
      <c r="B684">
        <v>1377.76001</v>
      </c>
      <c r="C684">
        <v>1407.8900149999999</v>
      </c>
      <c r="D684">
        <v>1360.9799800000001</v>
      </c>
      <c r="E684">
        <v>1400.630005</v>
      </c>
      <c r="F684">
        <v>1400.630005</v>
      </c>
      <c r="G684">
        <v>55343930000</v>
      </c>
    </row>
    <row r="685" spans="1:7">
      <c r="A685" s="70">
        <v>39052</v>
      </c>
      <c r="B685">
        <v>1400.630005</v>
      </c>
      <c r="C685">
        <v>1431.8100589999999</v>
      </c>
      <c r="D685">
        <v>1385.9300539999999</v>
      </c>
      <c r="E685">
        <v>1418.3000489999999</v>
      </c>
      <c r="F685">
        <v>1418.3000489999999</v>
      </c>
      <c r="G685">
        <v>47578780000</v>
      </c>
    </row>
    <row r="686" spans="1:7">
      <c r="A686" s="70">
        <v>39083</v>
      </c>
      <c r="B686">
        <v>1418.030029</v>
      </c>
      <c r="C686">
        <v>1441.6099850000001</v>
      </c>
      <c r="D686">
        <v>1403.969971</v>
      </c>
      <c r="E686">
        <v>1438.23999</v>
      </c>
      <c r="F686">
        <v>1438.23999</v>
      </c>
      <c r="G686">
        <v>56686200000</v>
      </c>
    </row>
    <row r="687" spans="1:7">
      <c r="A687" s="70">
        <v>39114</v>
      </c>
      <c r="B687">
        <v>1437.900024</v>
      </c>
      <c r="C687">
        <v>1461.5699460000001</v>
      </c>
      <c r="D687">
        <v>1389.420044</v>
      </c>
      <c r="E687">
        <v>1406.8199460000001</v>
      </c>
      <c r="F687">
        <v>1406.8199460000001</v>
      </c>
      <c r="G687">
        <v>51844990000</v>
      </c>
    </row>
    <row r="688" spans="1:7">
      <c r="A688" s="70">
        <v>39142</v>
      </c>
      <c r="B688">
        <v>1406.8000489999999</v>
      </c>
      <c r="C688">
        <v>1438.8900149999999</v>
      </c>
      <c r="D688">
        <v>1363.9799800000001</v>
      </c>
      <c r="E688">
        <v>1420.8599850000001</v>
      </c>
      <c r="F688">
        <v>1420.8599850000001</v>
      </c>
      <c r="G688">
        <v>67622250000</v>
      </c>
    </row>
    <row r="689" spans="1:7">
      <c r="A689" s="70">
        <v>39173</v>
      </c>
      <c r="B689">
        <v>1420.829956</v>
      </c>
      <c r="C689">
        <v>1498.0200199999999</v>
      </c>
      <c r="D689">
        <v>1416.369995</v>
      </c>
      <c r="E689">
        <v>1482.369995</v>
      </c>
      <c r="F689">
        <v>1482.369995</v>
      </c>
      <c r="G689">
        <v>57032470000</v>
      </c>
    </row>
    <row r="690" spans="1:7">
      <c r="A690" s="70">
        <v>39203</v>
      </c>
      <c r="B690">
        <v>1482.369995</v>
      </c>
      <c r="C690">
        <v>1535.5600589999999</v>
      </c>
      <c r="D690">
        <v>1476.6999510000001</v>
      </c>
      <c r="E690">
        <v>1530.619995</v>
      </c>
      <c r="F690">
        <v>1530.619995</v>
      </c>
      <c r="G690">
        <v>64958050000</v>
      </c>
    </row>
    <row r="691" spans="1:7">
      <c r="A691" s="70">
        <v>39234</v>
      </c>
      <c r="B691">
        <v>1530.619995</v>
      </c>
      <c r="C691">
        <v>1540.5600589999999</v>
      </c>
      <c r="D691">
        <v>1484.1800539999999</v>
      </c>
      <c r="E691">
        <v>1503.349976</v>
      </c>
      <c r="F691">
        <v>1503.349976</v>
      </c>
      <c r="G691">
        <v>65322800000</v>
      </c>
    </row>
    <row r="692" spans="1:7">
      <c r="A692" s="70">
        <v>39264</v>
      </c>
      <c r="B692">
        <v>1504.660034</v>
      </c>
      <c r="C692">
        <v>1555.900024</v>
      </c>
      <c r="D692">
        <v>1454.25</v>
      </c>
      <c r="E692">
        <v>1455.2700199999999</v>
      </c>
      <c r="F692">
        <v>1455.2700199999999</v>
      </c>
      <c r="G692">
        <v>70337430000</v>
      </c>
    </row>
    <row r="693" spans="1:7">
      <c r="A693" s="70">
        <v>39295</v>
      </c>
      <c r="B693">
        <v>1455.1800539999999</v>
      </c>
      <c r="C693">
        <v>1503.8900149999999</v>
      </c>
      <c r="D693">
        <v>1370.599976</v>
      </c>
      <c r="E693">
        <v>1473.98999</v>
      </c>
      <c r="F693">
        <v>1473.98999</v>
      </c>
      <c r="G693">
        <v>91381760000</v>
      </c>
    </row>
    <row r="694" spans="1:7">
      <c r="A694" s="70">
        <v>39326</v>
      </c>
      <c r="B694">
        <v>1473.959961</v>
      </c>
      <c r="C694">
        <v>1538.73999</v>
      </c>
      <c r="D694">
        <v>1439.290039</v>
      </c>
      <c r="E694">
        <v>1526.75</v>
      </c>
      <c r="F694">
        <v>1526.75</v>
      </c>
      <c r="G694">
        <v>57809700000</v>
      </c>
    </row>
    <row r="695" spans="1:7">
      <c r="A695" s="70">
        <v>39356</v>
      </c>
      <c r="B695">
        <v>1527.290039</v>
      </c>
      <c r="C695">
        <v>1576.089966</v>
      </c>
      <c r="D695">
        <v>1489.5600589999999</v>
      </c>
      <c r="E695">
        <v>1549.380005</v>
      </c>
      <c r="F695">
        <v>1549.380005</v>
      </c>
      <c r="G695">
        <v>76022580000</v>
      </c>
    </row>
    <row r="696" spans="1:7">
      <c r="A696" s="70">
        <v>39387</v>
      </c>
      <c r="B696">
        <v>1545.790039</v>
      </c>
      <c r="C696">
        <v>1545.790039</v>
      </c>
      <c r="D696">
        <v>1406.099976</v>
      </c>
      <c r="E696">
        <v>1481.1400149999999</v>
      </c>
      <c r="F696">
        <v>1481.1400149999999</v>
      </c>
      <c r="G696">
        <v>86246950000</v>
      </c>
    </row>
    <row r="697" spans="1:7">
      <c r="A697" s="70">
        <v>39417</v>
      </c>
      <c r="B697">
        <v>1479.630005</v>
      </c>
      <c r="C697">
        <v>1523.5699460000001</v>
      </c>
      <c r="D697">
        <v>1435.650024</v>
      </c>
      <c r="E697">
        <v>1468.3599850000001</v>
      </c>
      <c r="F697">
        <v>1468.3599850000001</v>
      </c>
      <c r="G697">
        <v>64821670000</v>
      </c>
    </row>
    <row r="698" spans="1:7">
      <c r="A698" s="70">
        <v>39448</v>
      </c>
      <c r="B698">
        <v>1467.969971</v>
      </c>
      <c r="C698">
        <v>1471.7700199999999</v>
      </c>
      <c r="D698">
        <v>1270.0500489999999</v>
      </c>
      <c r="E698">
        <v>1378.5500489999999</v>
      </c>
      <c r="F698">
        <v>1378.5500489999999</v>
      </c>
      <c r="G698">
        <v>98475340000</v>
      </c>
    </row>
    <row r="699" spans="1:7">
      <c r="A699" s="70">
        <v>39479</v>
      </c>
      <c r="B699">
        <v>1378.599976</v>
      </c>
      <c r="C699">
        <v>1396.0200199999999</v>
      </c>
      <c r="D699">
        <v>1316.75</v>
      </c>
      <c r="E699">
        <v>1330.630005</v>
      </c>
      <c r="F699">
        <v>1330.630005</v>
      </c>
      <c r="G699">
        <v>78536130000</v>
      </c>
    </row>
    <row r="700" spans="1:7">
      <c r="A700" s="70">
        <v>39508</v>
      </c>
      <c r="B700">
        <v>1330.4499510000001</v>
      </c>
      <c r="C700">
        <v>1359.6800539999999</v>
      </c>
      <c r="D700">
        <v>1256.9799800000001</v>
      </c>
      <c r="E700">
        <v>1322.6999510000001</v>
      </c>
      <c r="F700">
        <v>1322.6999510000001</v>
      </c>
      <c r="G700">
        <v>93189170000</v>
      </c>
    </row>
    <row r="701" spans="1:7">
      <c r="A701" s="70">
        <v>39539</v>
      </c>
      <c r="B701">
        <v>1326.410034</v>
      </c>
      <c r="C701">
        <v>1404.5699460000001</v>
      </c>
      <c r="D701">
        <v>1324.349976</v>
      </c>
      <c r="E701">
        <v>1385.589966</v>
      </c>
      <c r="F701">
        <v>1385.589966</v>
      </c>
      <c r="G701">
        <v>85978630000</v>
      </c>
    </row>
    <row r="702" spans="1:7">
      <c r="A702" s="70">
        <v>39569</v>
      </c>
      <c r="B702">
        <v>1385.969971</v>
      </c>
      <c r="C702">
        <v>1440.23999</v>
      </c>
      <c r="D702">
        <v>1373.0699460000001</v>
      </c>
      <c r="E702">
        <v>1400.380005</v>
      </c>
      <c r="F702">
        <v>1400.380005</v>
      </c>
      <c r="G702">
        <v>80990480000</v>
      </c>
    </row>
    <row r="703" spans="1:7">
      <c r="A703" s="70">
        <v>39600</v>
      </c>
      <c r="B703">
        <v>1399.619995</v>
      </c>
      <c r="C703">
        <v>1404.0500489999999</v>
      </c>
      <c r="D703">
        <v>1272</v>
      </c>
      <c r="E703">
        <v>1280</v>
      </c>
      <c r="F703">
        <v>1280</v>
      </c>
      <c r="G703">
        <v>96614040000</v>
      </c>
    </row>
    <row r="704" spans="1:7">
      <c r="A704" s="70">
        <v>39630</v>
      </c>
      <c r="B704">
        <v>1276.6899410000001</v>
      </c>
      <c r="C704">
        <v>1292.170044</v>
      </c>
      <c r="D704">
        <v>1200.4399410000001</v>
      </c>
      <c r="E704">
        <v>1267.380005</v>
      </c>
      <c r="F704">
        <v>1267.380005</v>
      </c>
      <c r="G704">
        <v>124980570000</v>
      </c>
    </row>
    <row r="705" spans="1:7">
      <c r="A705" s="70">
        <v>39661</v>
      </c>
      <c r="B705">
        <v>1269.420044</v>
      </c>
      <c r="C705">
        <v>1313.150024</v>
      </c>
      <c r="D705">
        <v>1247.4499510000001</v>
      </c>
      <c r="E705">
        <v>1282.829956</v>
      </c>
      <c r="F705">
        <v>1282.829956</v>
      </c>
      <c r="G705">
        <v>86266010000</v>
      </c>
    </row>
    <row r="706" spans="1:7">
      <c r="A706" s="70">
        <v>39692</v>
      </c>
      <c r="B706">
        <v>1287.829956</v>
      </c>
      <c r="C706">
        <v>1303.040039</v>
      </c>
      <c r="D706">
        <v>1106.420044</v>
      </c>
      <c r="E706">
        <v>1166.3599850000001</v>
      </c>
      <c r="F706">
        <v>1166.3599850000001</v>
      </c>
      <c r="G706">
        <v>140007320000</v>
      </c>
    </row>
    <row r="707" spans="1:7">
      <c r="A707" s="70">
        <v>39722</v>
      </c>
      <c r="B707">
        <v>1164.170044</v>
      </c>
      <c r="C707">
        <v>1167.030029</v>
      </c>
      <c r="D707">
        <v>839.79998799999998</v>
      </c>
      <c r="E707">
        <v>968.75</v>
      </c>
      <c r="F707">
        <v>968.75</v>
      </c>
      <c r="G707">
        <v>159823030000</v>
      </c>
    </row>
    <row r="708" spans="1:7">
      <c r="A708" s="70">
        <v>39753</v>
      </c>
      <c r="B708">
        <v>968.669983</v>
      </c>
      <c r="C708">
        <v>1007.51001</v>
      </c>
      <c r="D708">
        <v>741.02002000000005</v>
      </c>
      <c r="E708">
        <v>896.23999000000003</v>
      </c>
      <c r="F708">
        <v>896.23999000000003</v>
      </c>
      <c r="G708">
        <v>115660210000</v>
      </c>
    </row>
    <row r="709" spans="1:7">
      <c r="A709" s="70">
        <v>39783</v>
      </c>
      <c r="B709">
        <v>888.60998500000005</v>
      </c>
      <c r="C709">
        <v>918.84997599999997</v>
      </c>
      <c r="D709">
        <v>815.69000200000005</v>
      </c>
      <c r="E709">
        <v>903.25</v>
      </c>
      <c r="F709">
        <v>903.25</v>
      </c>
      <c r="G709">
        <v>112884470000</v>
      </c>
    </row>
    <row r="710" spans="1:7">
      <c r="A710" s="70">
        <v>39814</v>
      </c>
      <c r="B710">
        <v>902.98999000000003</v>
      </c>
      <c r="C710">
        <v>943.84997599999997</v>
      </c>
      <c r="D710">
        <v>804.29998799999998</v>
      </c>
      <c r="E710">
        <v>825.88000499999998</v>
      </c>
      <c r="F710">
        <v>825.88000499999998</v>
      </c>
      <c r="G710">
        <v>112090640000</v>
      </c>
    </row>
    <row r="711" spans="1:7">
      <c r="A711" s="70">
        <v>39845</v>
      </c>
      <c r="B711">
        <v>823.09002699999996</v>
      </c>
      <c r="C711">
        <v>875.01000999999997</v>
      </c>
      <c r="D711">
        <v>734.52002000000005</v>
      </c>
      <c r="E711">
        <v>735.09002699999996</v>
      </c>
      <c r="F711">
        <v>735.09002699999996</v>
      </c>
      <c r="G711">
        <v>124492210000</v>
      </c>
    </row>
    <row r="712" spans="1:7">
      <c r="A712" s="70">
        <v>39873</v>
      </c>
      <c r="B712">
        <v>729.57000700000003</v>
      </c>
      <c r="C712">
        <v>832.97997999999995</v>
      </c>
      <c r="D712">
        <v>666.78997800000002</v>
      </c>
      <c r="E712">
        <v>797.86999500000002</v>
      </c>
      <c r="F712">
        <v>797.86999500000002</v>
      </c>
      <c r="G712">
        <v>161843640000</v>
      </c>
    </row>
    <row r="713" spans="1:7">
      <c r="A713" s="70">
        <v>39904</v>
      </c>
      <c r="B713">
        <v>793.59002699999996</v>
      </c>
      <c r="C713">
        <v>888.70001200000002</v>
      </c>
      <c r="D713">
        <v>783.32000700000003</v>
      </c>
      <c r="E713">
        <v>872.80999799999995</v>
      </c>
      <c r="F713">
        <v>872.80999799999995</v>
      </c>
      <c r="G713">
        <v>138855320000</v>
      </c>
    </row>
    <row r="714" spans="1:7">
      <c r="A714" s="70">
        <v>39934</v>
      </c>
      <c r="B714">
        <v>872.73999000000003</v>
      </c>
      <c r="C714">
        <v>930.169983</v>
      </c>
      <c r="D714">
        <v>866.09997599999997</v>
      </c>
      <c r="E714">
        <v>919.14001499999995</v>
      </c>
      <c r="F714">
        <v>919.14001499999995</v>
      </c>
      <c r="G714">
        <v>131614940000</v>
      </c>
    </row>
    <row r="715" spans="1:7">
      <c r="A715" s="70">
        <v>39965</v>
      </c>
      <c r="B715">
        <v>923.26000999999997</v>
      </c>
      <c r="C715">
        <v>956.22997999999995</v>
      </c>
      <c r="D715">
        <v>888.85998500000005</v>
      </c>
      <c r="E715">
        <v>919.32000700000003</v>
      </c>
      <c r="F715">
        <v>919.32000700000003</v>
      </c>
      <c r="G715">
        <v>112653150000</v>
      </c>
    </row>
    <row r="716" spans="1:7">
      <c r="A716" s="70">
        <v>39995</v>
      </c>
      <c r="B716">
        <v>920.82000700000003</v>
      </c>
      <c r="C716">
        <v>996.67999299999997</v>
      </c>
      <c r="D716">
        <v>869.32000700000003</v>
      </c>
      <c r="E716">
        <v>987.47997999999995</v>
      </c>
      <c r="F716">
        <v>987.47997999999995</v>
      </c>
      <c r="G716">
        <v>106635790000</v>
      </c>
    </row>
    <row r="717" spans="1:7">
      <c r="A717" s="70">
        <v>40026</v>
      </c>
      <c r="B717">
        <v>990.21997099999999</v>
      </c>
      <c r="C717">
        <v>1039.469971</v>
      </c>
      <c r="D717">
        <v>978.51000999999997</v>
      </c>
      <c r="E717">
        <v>1020.619995</v>
      </c>
      <c r="F717">
        <v>1020.619995</v>
      </c>
      <c r="G717">
        <v>116059270000</v>
      </c>
    </row>
    <row r="718" spans="1:7">
      <c r="A718" s="70">
        <v>40057</v>
      </c>
      <c r="B718">
        <v>1019.52002</v>
      </c>
      <c r="C718">
        <v>1080.150024</v>
      </c>
      <c r="D718">
        <v>991.96997099999999</v>
      </c>
      <c r="E718">
        <v>1057.079956</v>
      </c>
      <c r="F718">
        <v>1057.079956</v>
      </c>
      <c r="G718">
        <v>112295490000</v>
      </c>
    </row>
    <row r="719" spans="1:7">
      <c r="A719" s="70">
        <v>40087</v>
      </c>
      <c r="B719">
        <v>1054.910034</v>
      </c>
      <c r="C719">
        <v>1101.3599850000001</v>
      </c>
      <c r="D719">
        <v>1019.950012</v>
      </c>
      <c r="E719">
        <v>1036.1899410000001</v>
      </c>
      <c r="F719">
        <v>1036.1899410000001</v>
      </c>
      <c r="G719">
        <v>113410990000</v>
      </c>
    </row>
    <row r="720" spans="1:7">
      <c r="A720" s="70">
        <v>40118</v>
      </c>
      <c r="B720">
        <v>1036.1800539999999</v>
      </c>
      <c r="C720">
        <v>1113.6899410000001</v>
      </c>
      <c r="D720">
        <v>1029.380005</v>
      </c>
      <c r="E720">
        <v>1095.630005</v>
      </c>
      <c r="F720">
        <v>1095.630005</v>
      </c>
      <c r="G720">
        <v>84981530000</v>
      </c>
    </row>
    <row r="721" spans="1:7">
      <c r="A721" s="70">
        <v>40148</v>
      </c>
      <c r="B721">
        <v>1098.8900149999999</v>
      </c>
      <c r="C721">
        <v>1130.380005</v>
      </c>
      <c r="D721">
        <v>1085.8900149999999</v>
      </c>
      <c r="E721">
        <v>1115.099976</v>
      </c>
      <c r="F721">
        <v>1115.099976</v>
      </c>
      <c r="G721">
        <v>89515330000</v>
      </c>
    </row>
    <row r="722" spans="1:7">
      <c r="A722" s="70">
        <v>40179</v>
      </c>
      <c r="B722">
        <v>1116.5600589999999</v>
      </c>
      <c r="C722">
        <v>1150.4499510000001</v>
      </c>
      <c r="D722">
        <v>1071.589966</v>
      </c>
      <c r="E722">
        <v>1073.869995</v>
      </c>
      <c r="F722">
        <v>1073.869995</v>
      </c>
      <c r="G722">
        <v>90947580000</v>
      </c>
    </row>
    <row r="723" spans="1:7">
      <c r="A723" s="70">
        <v>40210</v>
      </c>
      <c r="B723">
        <v>1073.8900149999999</v>
      </c>
      <c r="C723">
        <v>1112.420044</v>
      </c>
      <c r="D723">
        <v>1044.5</v>
      </c>
      <c r="E723">
        <v>1104.48999</v>
      </c>
      <c r="F723">
        <v>1104.48999</v>
      </c>
      <c r="G723">
        <v>84561340000</v>
      </c>
    </row>
    <row r="724" spans="1:7">
      <c r="A724" s="70">
        <v>40238</v>
      </c>
      <c r="B724">
        <v>1105.3599850000001</v>
      </c>
      <c r="C724">
        <v>1180.6899410000001</v>
      </c>
      <c r="D724">
        <v>1105.3599850000001</v>
      </c>
      <c r="E724">
        <v>1169.4300539999999</v>
      </c>
      <c r="F724">
        <v>1169.4300539999999</v>
      </c>
      <c r="G724">
        <v>103683550000</v>
      </c>
    </row>
    <row r="725" spans="1:7">
      <c r="A725" s="70">
        <v>40269</v>
      </c>
      <c r="B725">
        <v>1171.2299800000001</v>
      </c>
      <c r="C725">
        <v>1219.8000489999999</v>
      </c>
      <c r="D725">
        <v>1170.6899410000001</v>
      </c>
      <c r="E725">
        <v>1186.6899410000001</v>
      </c>
      <c r="F725">
        <v>1186.6899410000001</v>
      </c>
      <c r="G725">
        <v>116741910000</v>
      </c>
    </row>
    <row r="726" spans="1:7">
      <c r="A726" s="70">
        <v>40299</v>
      </c>
      <c r="B726">
        <v>1188.579956</v>
      </c>
      <c r="C726">
        <v>1205.130005</v>
      </c>
      <c r="D726">
        <v>1040.780029</v>
      </c>
      <c r="E726">
        <v>1089.410034</v>
      </c>
      <c r="F726">
        <v>1089.410034</v>
      </c>
      <c r="G726">
        <v>127662780000</v>
      </c>
    </row>
    <row r="727" spans="1:7">
      <c r="A727" s="70">
        <v>40330</v>
      </c>
      <c r="B727">
        <v>1087.3000489999999</v>
      </c>
      <c r="C727">
        <v>1131.2299800000001</v>
      </c>
      <c r="D727">
        <v>1028.329956</v>
      </c>
      <c r="E727">
        <v>1030.709961</v>
      </c>
      <c r="F727">
        <v>1030.709961</v>
      </c>
      <c r="G727">
        <v>110106750000</v>
      </c>
    </row>
    <row r="728" spans="1:7">
      <c r="A728" s="70">
        <v>40360</v>
      </c>
      <c r="B728">
        <v>1031.099976</v>
      </c>
      <c r="C728">
        <v>1120.9499510000001</v>
      </c>
      <c r="D728">
        <v>1010.909973</v>
      </c>
      <c r="E728">
        <v>1101.599976</v>
      </c>
      <c r="F728">
        <v>1101.599976</v>
      </c>
      <c r="G728">
        <v>94778110000</v>
      </c>
    </row>
    <row r="729" spans="1:7">
      <c r="A729" s="70">
        <v>40391</v>
      </c>
      <c r="B729">
        <v>1107.530029</v>
      </c>
      <c r="C729">
        <v>1129.23999</v>
      </c>
      <c r="D729">
        <v>1039.6999510000001</v>
      </c>
      <c r="E729">
        <v>1049.329956</v>
      </c>
      <c r="F729">
        <v>1049.329956</v>
      </c>
      <c r="G729">
        <v>85738250000</v>
      </c>
    </row>
    <row r="730" spans="1:7">
      <c r="A730" s="70">
        <v>40422</v>
      </c>
      <c r="B730">
        <v>1049.719971</v>
      </c>
      <c r="C730">
        <v>1157.160034</v>
      </c>
      <c r="D730">
        <v>1049.719971</v>
      </c>
      <c r="E730">
        <v>1141.1999510000001</v>
      </c>
      <c r="F730">
        <v>1141.1999510000001</v>
      </c>
      <c r="G730">
        <v>79589450000</v>
      </c>
    </row>
    <row r="731" spans="1:7">
      <c r="A731" s="70">
        <v>40452</v>
      </c>
      <c r="B731">
        <v>1143.48999</v>
      </c>
      <c r="C731">
        <v>1196.1400149999999</v>
      </c>
      <c r="D731">
        <v>1131.869995</v>
      </c>
      <c r="E731">
        <v>1183.26001</v>
      </c>
      <c r="F731">
        <v>1183.26001</v>
      </c>
      <c r="G731">
        <v>89536270000</v>
      </c>
    </row>
    <row r="732" spans="1:7">
      <c r="A732" s="70">
        <v>40483</v>
      </c>
      <c r="B732">
        <v>1185.709961</v>
      </c>
      <c r="C732">
        <v>1227.079956</v>
      </c>
      <c r="D732">
        <v>1173</v>
      </c>
      <c r="E732">
        <v>1180.5500489999999</v>
      </c>
      <c r="F732">
        <v>1180.5500489999999</v>
      </c>
      <c r="G732">
        <v>87151070000</v>
      </c>
    </row>
    <row r="733" spans="1:7">
      <c r="A733" s="70">
        <v>40513</v>
      </c>
      <c r="B733">
        <v>1186.599976</v>
      </c>
      <c r="C733">
        <v>1262.599976</v>
      </c>
      <c r="D733">
        <v>1186.599976</v>
      </c>
      <c r="E733">
        <v>1257.6400149999999</v>
      </c>
      <c r="F733">
        <v>1257.6400149999999</v>
      </c>
      <c r="G733">
        <v>80984530000</v>
      </c>
    </row>
    <row r="734" spans="1:7">
      <c r="A734" s="70">
        <v>40544</v>
      </c>
      <c r="B734">
        <v>1257.619995</v>
      </c>
      <c r="C734">
        <v>1302.670044</v>
      </c>
      <c r="D734">
        <v>1257.619995</v>
      </c>
      <c r="E734">
        <v>1286.119995</v>
      </c>
      <c r="F734">
        <v>1286.119995</v>
      </c>
      <c r="G734">
        <v>92164940000</v>
      </c>
    </row>
    <row r="735" spans="1:7">
      <c r="A735" s="70">
        <v>40575</v>
      </c>
      <c r="B735">
        <v>1289.1400149999999</v>
      </c>
      <c r="C735">
        <v>1344.0699460000001</v>
      </c>
      <c r="D735">
        <v>1289.1400149999999</v>
      </c>
      <c r="E735">
        <v>1327.219971</v>
      </c>
      <c r="F735">
        <v>1327.219971</v>
      </c>
      <c r="G735">
        <v>59223660000</v>
      </c>
    </row>
    <row r="736" spans="1:7">
      <c r="A736" s="70">
        <v>40603</v>
      </c>
      <c r="B736">
        <v>1328.6400149999999</v>
      </c>
      <c r="C736">
        <v>1332.280029</v>
      </c>
      <c r="D736">
        <v>1249.0500489999999</v>
      </c>
      <c r="E736">
        <v>1325.829956</v>
      </c>
      <c r="F736">
        <v>1325.829956</v>
      </c>
      <c r="G736">
        <v>89507640000</v>
      </c>
    </row>
    <row r="737" spans="1:7">
      <c r="A737" s="70">
        <v>40634</v>
      </c>
      <c r="B737">
        <v>1329.4799800000001</v>
      </c>
      <c r="C737">
        <v>1364.5600589999999</v>
      </c>
      <c r="D737">
        <v>1294.6999510000001</v>
      </c>
      <c r="E737">
        <v>1363.6099850000001</v>
      </c>
      <c r="F737">
        <v>1363.6099850000001</v>
      </c>
      <c r="G737">
        <v>77364810000</v>
      </c>
    </row>
    <row r="738" spans="1:7">
      <c r="A738" s="70">
        <v>40664</v>
      </c>
      <c r="B738">
        <v>1365.209961</v>
      </c>
      <c r="C738">
        <v>1370.579956</v>
      </c>
      <c r="D738">
        <v>1311.8000489999999</v>
      </c>
      <c r="E738">
        <v>1345.1999510000001</v>
      </c>
      <c r="F738">
        <v>1345.1999510000001</v>
      </c>
      <c r="G738">
        <v>81708980000</v>
      </c>
    </row>
    <row r="739" spans="1:7">
      <c r="A739" s="70">
        <v>40695</v>
      </c>
      <c r="B739">
        <v>1345.1999510000001</v>
      </c>
      <c r="C739">
        <v>1345.1999510000001</v>
      </c>
      <c r="D739">
        <v>1258.0699460000001</v>
      </c>
      <c r="E739">
        <v>1320.6400149999999</v>
      </c>
      <c r="F739">
        <v>1320.6400149999999</v>
      </c>
      <c r="G739">
        <v>86122730000</v>
      </c>
    </row>
    <row r="740" spans="1:7">
      <c r="A740" s="70">
        <v>40725</v>
      </c>
      <c r="B740">
        <v>1320.6400149999999</v>
      </c>
      <c r="C740">
        <v>1356.4799800000001</v>
      </c>
      <c r="D740">
        <v>1282.8599850000001</v>
      </c>
      <c r="E740">
        <v>1292.280029</v>
      </c>
      <c r="F740">
        <v>1292.280029</v>
      </c>
      <c r="G740">
        <v>81102170000</v>
      </c>
    </row>
    <row r="741" spans="1:7">
      <c r="A741" s="70">
        <v>40756</v>
      </c>
      <c r="B741">
        <v>1292.589966</v>
      </c>
      <c r="C741">
        <v>1307.380005</v>
      </c>
      <c r="D741">
        <v>1101.540039</v>
      </c>
      <c r="E741">
        <v>1218.8900149999999</v>
      </c>
      <c r="F741">
        <v>1218.8900149999999</v>
      </c>
      <c r="G741">
        <v>108419170000</v>
      </c>
    </row>
    <row r="742" spans="1:7">
      <c r="A742" s="70">
        <v>40787</v>
      </c>
      <c r="B742">
        <v>1219.119995</v>
      </c>
      <c r="C742">
        <v>1229.290039</v>
      </c>
      <c r="D742">
        <v>1114.219971</v>
      </c>
      <c r="E742">
        <v>1131.420044</v>
      </c>
      <c r="F742">
        <v>1131.420044</v>
      </c>
      <c r="G742">
        <v>102786820000</v>
      </c>
    </row>
    <row r="743" spans="1:7">
      <c r="A743" s="70">
        <v>40817</v>
      </c>
      <c r="B743">
        <v>1131.209961</v>
      </c>
      <c r="C743">
        <v>1292.660034</v>
      </c>
      <c r="D743">
        <v>1074.7700199999999</v>
      </c>
      <c r="E743">
        <v>1253.3000489999999</v>
      </c>
      <c r="F743">
        <v>1253.3000489999999</v>
      </c>
      <c r="G743">
        <v>98063670000</v>
      </c>
    </row>
    <row r="744" spans="1:7">
      <c r="A744" s="70">
        <v>40848</v>
      </c>
      <c r="B744">
        <v>1251</v>
      </c>
      <c r="C744">
        <v>1277.5500489999999</v>
      </c>
      <c r="D744">
        <v>1158.660034</v>
      </c>
      <c r="E744">
        <v>1246.959961</v>
      </c>
      <c r="F744">
        <v>1246.959961</v>
      </c>
      <c r="G744">
        <v>84275050000</v>
      </c>
    </row>
    <row r="745" spans="1:7">
      <c r="A745" s="70">
        <v>40878</v>
      </c>
      <c r="B745">
        <v>1246.910034</v>
      </c>
      <c r="C745">
        <v>1269.369995</v>
      </c>
      <c r="D745">
        <v>1202.369995</v>
      </c>
      <c r="E745">
        <v>1257.599976</v>
      </c>
      <c r="F745">
        <v>1257.599976</v>
      </c>
      <c r="G745">
        <v>74742430000</v>
      </c>
    </row>
    <row r="746" spans="1:7">
      <c r="A746" s="70">
        <v>40909</v>
      </c>
      <c r="B746">
        <v>1258.8599850000001</v>
      </c>
      <c r="C746">
        <v>1333.469971</v>
      </c>
      <c r="D746">
        <v>1258.8599850000001</v>
      </c>
      <c r="E746">
        <v>1312.410034</v>
      </c>
      <c r="F746">
        <v>1312.410034</v>
      </c>
      <c r="G746">
        <v>79567560000</v>
      </c>
    </row>
    <row r="747" spans="1:7">
      <c r="A747" s="70">
        <v>40940</v>
      </c>
      <c r="B747">
        <v>1312.4499510000001</v>
      </c>
      <c r="C747">
        <v>1378.040039</v>
      </c>
      <c r="D747">
        <v>1312.4499510000001</v>
      </c>
      <c r="E747">
        <v>1365.6800539999999</v>
      </c>
      <c r="F747">
        <v>1365.6800539999999</v>
      </c>
      <c r="G747">
        <v>78385710000</v>
      </c>
    </row>
    <row r="748" spans="1:7">
      <c r="A748" s="70">
        <v>40969</v>
      </c>
      <c r="B748">
        <v>1365.900024</v>
      </c>
      <c r="C748">
        <v>1419.150024</v>
      </c>
      <c r="D748">
        <v>1340.030029</v>
      </c>
      <c r="E748">
        <v>1408.469971</v>
      </c>
      <c r="F748">
        <v>1408.469971</v>
      </c>
      <c r="G748">
        <v>83899660000</v>
      </c>
    </row>
    <row r="749" spans="1:7">
      <c r="A749" s="70">
        <v>41000</v>
      </c>
      <c r="B749">
        <v>1408.469971</v>
      </c>
      <c r="C749">
        <v>1422.380005</v>
      </c>
      <c r="D749">
        <v>1357.380005</v>
      </c>
      <c r="E749">
        <v>1397.910034</v>
      </c>
      <c r="F749">
        <v>1397.910034</v>
      </c>
      <c r="G749">
        <v>74761710000</v>
      </c>
    </row>
    <row r="750" spans="1:7">
      <c r="A750" s="70">
        <v>41030</v>
      </c>
      <c r="B750">
        <v>1397.8599850000001</v>
      </c>
      <c r="C750">
        <v>1415.3199460000001</v>
      </c>
      <c r="D750">
        <v>1291.9799800000001</v>
      </c>
      <c r="E750">
        <v>1310.329956</v>
      </c>
      <c r="F750">
        <v>1310.329956</v>
      </c>
      <c r="G750">
        <v>86920490000</v>
      </c>
    </row>
    <row r="751" spans="1:7">
      <c r="A751" s="70">
        <v>41061</v>
      </c>
      <c r="B751">
        <v>1309.869995</v>
      </c>
      <c r="C751">
        <v>1363.459961</v>
      </c>
      <c r="D751">
        <v>1266.73999</v>
      </c>
      <c r="E751">
        <v>1362.160034</v>
      </c>
      <c r="F751">
        <v>1362.160034</v>
      </c>
      <c r="G751">
        <v>81582440000</v>
      </c>
    </row>
    <row r="752" spans="1:7">
      <c r="A752" s="70">
        <v>41091</v>
      </c>
      <c r="B752">
        <v>1362.329956</v>
      </c>
      <c r="C752">
        <v>1391.73999</v>
      </c>
      <c r="D752">
        <v>1325.410034</v>
      </c>
      <c r="E752">
        <v>1379.3199460000001</v>
      </c>
      <c r="F752">
        <v>1379.3199460000001</v>
      </c>
      <c r="G752">
        <v>73103810000</v>
      </c>
    </row>
    <row r="753" spans="1:7">
      <c r="A753" s="70">
        <v>41122</v>
      </c>
      <c r="B753">
        <v>1379.3199460000001</v>
      </c>
      <c r="C753">
        <v>1426.6800539999999</v>
      </c>
      <c r="D753">
        <v>1354.650024</v>
      </c>
      <c r="E753">
        <v>1406.579956</v>
      </c>
      <c r="F753">
        <v>1406.579956</v>
      </c>
      <c r="G753">
        <v>70283810000</v>
      </c>
    </row>
    <row r="754" spans="1:7">
      <c r="A754" s="70">
        <v>41153</v>
      </c>
      <c r="B754">
        <v>1406.540039</v>
      </c>
      <c r="C754">
        <v>1474.51001</v>
      </c>
      <c r="D754">
        <v>1396.5600589999999</v>
      </c>
      <c r="E754">
        <v>1440.670044</v>
      </c>
      <c r="F754">
        <v>1440.670044</v>
      </c>
      <c r="G754">
        <v>69784280000</v>
      </c>
    </row>
    <row r="755" spans="1:7">
      <c r="A755" s="70">
        <v>41183</v>
      </c>
      <c r="B755">
        <v>1440.900024</v>
      </c>
      <c r="C755">
        <v>1470.959961</v>
      </c>
      <c r="D755">
        <v>1403.280029</v>
      </c>
      <c r="E755">
        <v>1412.160034</v>
      </c>
      <c r="F755">
        <v>1412.160034</v>
      </c>
      <c r="G755">
        <v>71752320000</v>
      </c>
    </row>
    <row r="756" spans="1:7">
      <c r="A756" s="70">
        <v>41214</v>
      </c>
      <c r="B756">
        <v>1412.1999510000001</v>
      </c>
      <c r="C756">
        <v>1434.2700199999999</v>
      </c>
      <c r="D756">
        <v>1343.349976</v>
      </c>
      <c r="E756">
        <v>1416.1800539999999</v>
      </c>
      <c r="F756">
        <v>1416.1800539999999</v>
      </c>
      <c r="G756">
        <v>71489310000</v>
      </c>
    </row>
    <row r="757" spans="1:7">
      <c r="A757" s="70">
        <v>41244</v>
      </c>
      <c r="B757">
        <v>1416.339966</v>
      </c>
      <c r="C757">
        <v>1448</v>
      </c>
      <c r="D757">
        <v>1398.1099850000001</v>
      </c>
      <c r="E757">
        <v>1426.1899410000001</v>
      </c>
      <c r="F757">
        <v>1426.1899410000001</v>
      </c>
      <c r="G757">
        <v>66388180000</v>
      </c>
    </row>
    <row r="758" spans="1:7">
      <c r="A758" s="70">
        <v>41275</v>
      </c>
      <c r="B758">
        <v>1426.1899410000001</v>
      </c>
      <c r="C758">
        <v>1509.9399410000001</v>
      </c>
      <c r="D758">
        <v>1426.1899410000001</v>
      </c>
      <c r="E758">
        <v>1498.1099850000001</v>
      </c>
      <c r="F758">
        <v>1498.1099850000001</v>
      </c>
      <c r="G758">
        <v>75848510000</v>
      </c>
    </row>
    <row r="759" spans="1:7">
      <c r="A759" s="70">
        <v>41306</v>
      </c>
      <c r="B759">
        <v>1498.1099850000001</v>
      </c>
      <c r="C759">
        <v>1530.9399410000001</v>
      </c>
      <c r="D759">
        <v>1485.01001</v>
      </c>
      <c r="E759">
        <v>1514.6800539999999</v>
      </c>
      <c r="F759">
        <v>1514.6800539999999</v>
      </c>
      <c r="G759">
        <v>69273480000</v>
      </c>
    </row>
    <row r="760" spans="1:7">
      <c r="A760" s="70">
        <v>41334</v>
      </c>
      <c r="B760">
        <v>1514.6800539999999</v>
      </c>
      <c r="C760">
        <v>1570.280029</v>
      </c>
      <c r="D760">
        <v>1501.4799800000001</v>
      </c>
      <c r="E760">
        <v>1569.1899410000001</v>
      </c>
      <c r="F760">
        <v>1569.1899410000001</v>
      </c>
      <c r="G760">
        <v>68527110000</v>
      </c>
    </row>
    <row r="761" spans="1:7">
      <c r="A761" s="70">
        <v>41365</v>
      </c>
      <c r="B761">
        <v>1569.1800539999999</v>
      </c>
      <c r="C761">
        <v>1597.5699460000001</v>
      </c>
      <c r="D761">
        <v>1536.030029</v>
      </c>
      <c r="E761">
        <v>1597.5699460000001</v>
      </c>
      <c r="F761">
        <v>1597.5699460000001</v>
      </c>
      <c r="G761">
        <v>77098000000</v>
      </c>
    </row>
    <row r="762" spans="1:7">
      <c r="A762" s="70">
        <v>41395</v>
      </c>
      <c r="B762">
        <v>1597.5500489999999</v>
      </c>
      <c r="C762">
        <v>1687.1800539999999</v>
      </c>
      <c r="D762">
        <v>1581.280029</v>
      </c>
      <c r="E762">
        <v>1630.73999</v>
      </c>
      <c r="F762">
        <v>1630.73999</v>
      </c>
      <c r="G762">
        <v>76447250000</v>
      </c>
    </row>
    <row r="763" spans="1:7">
      <c r="A763" s="70">
        <v>41426</v>
      </c>
      <c r="B763">
        <v>1631.709961</v>
      </c>
      <c r="C763">
        <v>1654.1899410000001</v>
      </c>
      <c r="D763">
        <v>1560.329956</v>
      </c>
      <c r="E763">
        <v>1606.280029</v>
      </c>
      <c r="F763">
        <v>1606.280029</v>
      </c>
      <c r="G763">
        <v>74946790000</v>
      </c>
    </row>
    <row r="764" spans="1:7">
      <c r="A764" s="70">
        <v>41456</v>
      </c>
      <c r="B764">
        <v>1609.780029</v>
      </c>
      <c r="C764">
        <v>1698.780029</v>
      </c>
      <c r="D764">
        <v>1604.5699460000001</v>
      </c>
      <c r="E764">
        <v>1685.7299800000001</v>
      </c>
      <c r="F764">
        <v>1685.7299800000001</v>
      </c>
      <c r="G764">
        <v>68106820000</v>
      </c>
    </row>
    <row r="765" spans="1:7">
      <c r="A765" s="70">
        <v>41487</v>
      </c>
      <c r="B765">
        <v>1689.420044</v>
      </c>
      <c r="C765">
        <v>1709.670044</v>
      </c>
      <c r="D765">
        <v>1627.469971</v>
      </c>
      <c r="E765">
        <v>1632.969971</v>
      </c>
      <c r="F765">
        <v>1632.969971</v>
      </c>
      <c r="G765">
        <v>64802810000</v>
      </c>
    </row>
    <row r="766" spans="1:7">
      <c r="A766" s="70">
        <v>41518</v>
      </c>
      <c r="B766">
        <v>1635.9499510000001</v>
      </c>
      <c r="C766">
        <v>1729.8599850000001</v>
      </c>
      <c r="D766">
        <v>1633.410034</v>
      </c>
      <c r="E766">
        <v>1681.5500489999999</v>
      </c>
      <c r="F766">
        <v>1681.5500489999999</v>
      </c>
      <c r="G766">
        <v>66174410000</v>
      </c>
    </row>
    <row r="767" spans="1:7">
      <c r="A767" s="70">
        <v>41548</v>
      </c>
      <c r="B767">
        <v>1682.410034</v>
      </c>
      <c r="C767">
        <v>1775.219971</v>
      </c>
      <c r="D767">
        <v>1646.469971</v>
      </c>
      <c r="E767">
        <v>1756.540039</v>
      </c>
      <c r="F767">
        <v>1756.540039</v>
      </c>
      <c r="G767">
        <v>76647400000</v>
      </c>
    </row>
    <row r="768" spans="1:7">
      <c r="A768" s="70">
        <v>41579</v>
      </c>
      <c r="B768">
        <v>1758.6999510000001</v>
      </c>
      <c r="C768">
        <v>1813.5500489999999</v>
      </c>
      <c r="D768">
        <v>1746.1999510000001</v>
      </c>
      <c r="E768">
        <v>1805.8100589999999</v>
      </c>
      <c r="F768">
        <v>1805.8100589999999</v>
      </c>
      <c r="G768">
        <v>63628190000</v>
      </c>
    </row>
    <row r="769" spans="1:7">
      <c r="A769" s="70">
        <v>41609</v>
      </c>
      <c r="B769">
        <v>1806.5500489999999</v>
      </c>
      <c r="C769">
        <v>1849.4399410000001</v>
      </c>
      <c r="D769">
        <v>1767.98999</v>
      </c>
      <c r="E769">
        <v>1848.3599850000001</v>
      </c>
      <c r="F769">
        <v>1848.3599850000001</v>
      </c>
      <c r="G769">
        <v>64958820000</v>
      </c>
    </row>
    <row r="770" spans="1:7">
      <c r="A770" s="70">
        <v>41640</v>
      </c>
      <c r="B770">
        <v>1845.8599850000001</v>
      </c>
      <c r="C770">
        <v>1850.839966</v>
      </c>
      <c r="D770">
        <v>1770.4499510000001</v>
      </c>
      <c r="E770">
        <v>1782.589966</v>
      </c>
      <c r="F770">
        <v>1782.589966</v>
      </c>
      <c r="G770">
        <v>75871910000</v>
      </c>
    </row>
    <row r="771" spans="1:7">
      <c r="A771" s="70">
        <v>41671</v>
      </c>
      <c r="B771">
        <v>1782.6800539999999</v>
      </c>
      <c r="C771">
        <v>1867.920044</v>
      </c>
      <c r="D771">
        <v>1737.920044</v>
      </c>
      <c r="E771">
        <v>1859.4499510000001</v>
      </c>
      <c r="F771">
        <v>1859.4499510000001</v>
      </c>
      <c r="G771">
        <v>69725590000</v>
      </c>
    </row>
    <row r="772" spans="1:7">
      <c r="A772" s="70">
        <v>41699</v>
      </c>
      <c r="B772">
        <v>1857.6800539999999</v>
      </c>
      <c r="C772">
        <v>1883.969971</v>
      </c>
      <c r="D772">
        <v>1834.4399410000001</v>
      </c>
      <c r="E772">
        <v>1872.339966</v>
      </c>
      <c r="F772">
        <v>1872.339966</v>
      </c>
      <c r="G772">
        <v>71885030000</v>
      </c>
    </row>
    <row r="773" spans="1:7">
      <c r="A773" s="70">
        <v>41730</v>
      </c>
      <c r="B773">
        <v>1873.959961</v>
      </c>
      <c r="C773">
        <v>1897.280029</v>
      </c>
      <c r="D773">
        <v>1814.3599850000001</v>
      </c>
      <c r="E773">
        <v>1883.9499510000001</v>
      </c>
      <c r="F773">
        <v>1883.9499510000001</v>
      </c>
      <c r="G773">
        <v>71595810000</v>
      </c>
    </row>
    <row r="774" spans="1:7">
      <c r="A774" s="70">
        <v>41760</v>
      </c>
      <c r="B774">
        <v>1884.3900149999999</v>
      </c>
      <c r="C774">
        <v>1924.030029</v>
      </c>
      <c r="D774">
        <v>1859.790039</v>
      </c>
      <c r="E774">
        <v>1923.5699460000001</v>
      </c>
      <c r="F774">
        <v>1923.5699460000001</v>
      </c>
      <c r="G774">
        <v>63623630000</v>
      </c>
    </row>
    <row r="775" spans="1:7">
      <c r="A775" s="70">
        <v>41791</v>
      </c>
      <c r="B775">
        <v>1923.869995</v>
      </c>
      <c r="C775">
        <v>1968.170044</v>
      </c>
      <c r="D775">
        <v>1915.9799800000001</v>
      </c>
      <c r="E775">
        <v>1960.2299800000001</v>
      </c>
      <c r="F775">
        <v>1960.2299800000001</v>
      </c>
      <c r="G775">
        <v>63283380000</v>
      </c>
    </row>
    <row r="776" spans="1:7">
      <c r="A776" s="70">
        <v>41821</v>
      </c>
      <c r="B776">
        <v>1962.290039</v>
      </c>
      <c r="C776">
        <v>1991.3900149999999</v>
      </c>
      <c r="D776">
        <v>1930.670044</v>
      </c>
      <c r="E776">
        <v>1930.670044</v>
      </c>
      <c r="F776">
        <v>1930.670044</v>
      </c>
      <c r="G776">
        <v>66524690000</v>
      </c>
    </row>
    <row r="777" spans="1:7">
      <c r="A777" s="70">
        <v>41852</v>
      </c>
      <c r="B777">
        <v>1929.8000489999999</v>
      </c>
      <c r="C777">
        <v>2005.040039</v>
      </c>
      <c r="D777">
        <v>1904.780029</v>
      </c>
      <c r="E777">
        <v>2003.369995</v>
      </c>
      <c r="F777">
        <v>2003.369995</v>
      </c>
      <c r="G777">
        <v>58131140000</v>
      </c>
    </row>
    <row r="778" spans="1:7">
      <c r="A778" s="70">
        <v>41883</v>
      </c>
      <c r="B778">
        <v>2004.0699460000001</v>
      </c>
      <c r="C778">
        <v>2019.26001</v>
      </c>
      <c r="D778">
        <v>1964.040039</v>
      </c>
      <c r="E778">
        <v>1972.290039</v>
      </c>
      <c r="F778">
        <v>1972.290039</v>
      </c>
      <c r="G778">
        <v>66706000000</v>
      </c>
    </row>
    <row r="779" spans="1:7">
      <c r="A779" s="70">
        <v>41913</v>
      </c>
      <c r="B779">
        <v>1971.4399410000001</v>
      </c>
      <c r="C779">
        <v>2018.1899410000001</v>
      </c>
      <c r="D779">
        <v>1820.660034</v>
      </c>
      <c r="E779">
        <v>2018.0500489999999</v>
      </c>
      <c r="F779">
        <v>2018.0500489999999</v>
      </c>
      <c r="G779">
        <v>93714040000</v>
      </c>
    </row>
    <row r="780" spans="1:7">
      <c r="A780" s="70">
        <v>41944</v>
      </c>
      <c r="B780">
        <v>2018.209961</v>
      </c>
      <c r="C780">
        <v>2075.76001</v>
      </c>
      <c r="D780">
        <v>2001.01001</v>
      </c>
      <c r="E780">
        <v>2067.5600589999999</v>
      </c>
      <c r="F780">
        <v>2067.5600589999999</v>
      </c>
      <c r="G780">
        <v>63600190000</v>
      </c>
    </row>
    <row r="781" spans="1:7">
      <c r="A781" s="70">
        <v>41974</v>
      </c>
      <c r="B781">
        <v>2065.780029</v>
      </c>
      <c r="C781">
        <v>2093.5500489999999</v>
      </c>
      <c r="D781">
        <v>1972.5600589999999</v>
      </c>
      <c r="E781">
        <v>2058.8999020000001</v>
      </c>
      <c r="F781">
        <v>2058.8999020000001</v>
      </c>
      <c r="G781">
        <v>80743820000</v>
      </c>
    </row>
    <row r="782" spans="1:7">
      <c r="A782" s="70">
        <v>42005</v>
      </c>
      <c r="B782">
        <v>2058.8999020000001</v>
      </c>
      <c r="C782">
        <v>2072.360107</v>
      </c>
      <c r="D782">
        <v>1988.119995</v>
      </c>
      <c r="E782">
        <v>1994.98999</v>
      </c>
      <c r="F782">
        <v>1994.98999</v>
      </c>
      <c r="G782">
        <v>77330040000</v>
      </c>
    </row>
    <row r="783" spans="1:7">
      <c r="A783" s="70">
        <v>42036</v>
      </c>
      <c r="B783">
        <v>1996.670044</v>
      </c>
      <c r="C783">
        <v>2119.5900879999999</v>
      </c>
      <c r="D783">
        <v>1980.900024</v>
      </c>
      <c r="E783">
        <v>2104.5</v>
      </c>
      <c r="F783">
        <v>2104.5</v>
      </c>
      <c r="G783">
        <v>68775560000</v>
      </c>
    </row>
    <row r="784" spans="1:7">
      <c r="A784" s="70">
        <v>42064</v>
      </c>
      <c r="B784">
        <v>2105.2299800000001</v>
      </c>
      <c r="C784">
        <v>2117.5200199999999</v>
      </c>
      <c r="D784">
        <v>2039.6899410000001</v>
      </c>
      <c r="E784">
        <v>2067.889893</v>
      </c>
      <c r="F784">
        <v>2067.889893</v>
      </c>
      <c r="G784">
        <v>76675850000</v>
      </c>
    </row>
    <row r="785" spans="1:7">
      <c r="A785" s="70">
        <v>42095</v>
      </c>
      <c r="B785">
        <v>2067.6298830000001</v>
      </c>
      <c r="C785">
        <v>2125.919922</v>
      </c>
      <c r="D785">
        <v>2048.3798830000001</v>
      </c>
      <c r="E785">
        <v>2085.51001</v>
      </c>
      <c r="F785">
        <v>2085.51001</v>
      </c>
      <c r="G785">
        <v>72060940000</v>
      </c>
    </row>
    <row r="786" spans="1:7">
      <c r="A786" s="70">
        <v>42125</v>
      </c>
      <c r="B786">
        <v>2087.3798830000001</v>
      </c>
      <c r="C786">
        <v>2134.719971</v>
      </c>
      <c r="D786">
        <v>2067.929932</v>
      </c>
      <c r="E786">
        <v>2107.389893</v>
      </c>
      <c r="F786">
        <v>2107.389893</v>
      </c>
      <c r="G786">
        <v>65187730000</v>
      </c>
    </row>
    <row r="787" spans="1:7">
      <c r="A787" s="70">
        <v>42156</v>
      </c>
      <c r="B787">
        <v>2108.639893</v>
      </c>
      <c r="C787">
        <v>2129.8701169999999</v>
      </c>
      <c r="D787">
        <v>2056.320068</v>
      </c>
      <c r="E787">
        <v>2063.110107</v>
      </c>
      <c r="F787">
        <v>2063.110107</v>
      </c>
      <c r="G787">
        <v>73213980000</v>
      </c>
    </row>
    <row r="788" spans="1:7">
      <c r="A788" s="70">
        <v>42186</v>
      </c>
      <c r="B788">
        <v>2067</v>
      </c>
      <c r="C788">
        <v>2132.820068</v>
      </c>
      <c r="D788">
        <v>2044.0200199999999</v>
      </c>
      <c r="E788">
        <v>2103.8400879999999</v>
      </c>
      <c r="F788">
        <v>2103.8400879999999</v>
      </c>
      <c r="G788">
        <v>77920590000</v>
      </c>
    </row>
    <row r="789" spans="1:7">
      <c r="A789" s="70">
        <v>42217</v>
      </c>
      <c r="B789">
        <v>2104.48999</v>
      </c>
      <c r="C789">
        <v>2112.6599120000001</v>
      </c>
      <c r="D789">
        <v>1867.01001</v>
      </c>
      <c r="E789">
        <v>1972.1800539999999</v>
      </c>
      <c r="F789">
        <v>1972.1800539999999</v>
      </c>
      <c r="G789">
        <v>84626790000</v>
      </c>
    </row>
    <row r="790" spans="1:7">
      <c r="A790" s="70">
        <v>42248</v>
      </c>
      <c r="B790">
        <v>1970.089966</v>
      </c>
      <c r="C790">
        <v>2020.8599850000001</v>
      </c>
      <c r="D790">
        <v>1871.910034</v>
      </c>
      <c r="E790">
        <v>1920.030029</v>
      </c>
      <c r="F790">
        <v>1920.030029</v>
      </c>
      <c r="G790">
        <v>79989370000</v>
      </c>
    </row>
    <row r="791" spans="1:7">
      <c r="A791" s="70">
        <v>42278</v>
      </c>
      <c r="B791">
        <v>1919.650024</v>
      </c>
      <c r="C791">
        <v>2094.320068</v>
      </c>
      <c r="D791">
        <v>1893.6999510000001</v>
      </c>
      <c r="E791">
        <v>2079.360107</v>
      </c>
      <c r="F791">
        <v>2079.360107</v>
      </c>
      <c r="G791">
        <v>85844900000</v>
      </c>
    </row>
    <row r="792" spans="1:7">
      <c r="A792" s="70">
        <v>42309</v>
      </c>
      <c r="B792">
        <v>2080.76001</v>
      </c>
      <c r="C792">
        <v>2116.4799800000001</v>
      </c>
      <c r="D792">
        <v>2019.3900149999999</v>
      </c>
      <c r="E792">
        <v>2080.4099120000001</v>
      </c>
      <c r="F792">
        <v>2080.4099120000001</v>
      </c>
      <c r="G792">
        <v>75943590000</v>
      </c>
    </row>
    <row r="793" spans="1:7">
      <c r="A793" s="70">
        <v>42339</v>
      </c>
      <c r="B793">
        <v>2082.929932</v>
      </c>
      <c r="C793">
        <v>2104.2700199999999</v>
      </c>
      <c r="D793">
        <v>1993.26001</v>
      </c>
      <c r="E793">
        <v>2043.9399410000001</v>
      </c>
      <c r="F793">
        <v>2043.9399410000001</v>
      </c>
      <c r="G793">
        <v>83649260000</v>
      </c>
    </row>
    <row r="794" spans="1:7">
      <c r="A794" s="70">
        <v>42370</v>
      </c>
      <c r="B794">
        <v>2038.1999510000001</v>
      </c>
      <c r="C794">
        <v>2038.1999510000001</v>
      </c>
      <c r="D794">
        <v>1812.290039</v>
      </c>
      <c r="E794">
        <v>1940.23999</v>
      </c>
      <c r="F794">
        <v>1940.23999</v>
      </c>
      <c r="G794">
        <v>92409770000</v>
      </c>
    </row>
    <row r="795" spans="1:7">
      <c r="A795" s="70">
        <v>42401</v>
      </c>
      <c r="B795">
        <v>1936.9399410000001</v>
      </c>
      <c r="C795">
        <v>1962.959961</v>
      </c>
      <c r="D795">
        <v>1810.099976</v>
      </c>
      <c r="E795">
        <v>1932.2299800000001</v>
      </c>
      <c r="F795">
        <v>1932.2299800000001</v>
      </c>
      <c r="G795">
        <v>93049560000</v>
      </c>
    </row>
    <row r="796" spans="1:7">
      <c r="A796" s="70">
        <v>42430</v>
      </c>
      <c r="B796">
        <v>1937.089966</v>
      </c>
      <c r="C796">
        <v>2072.209961</v>
      </c>
      <c r="D796">
        <v>1937.089966</v>
      </c>
      <c r="E796">
        <v>2059.73999</v>
      </c>
      <c r="F796">
        <v>2059.73999</v>
      </c>
      <c r="G796">
        <v>92639420000</v>
      </c>
    </row>
    <row r="797" spans="1:7">
      <c r="A797" s="70">
        <v>42461</v>
      </c>
      <c r="B797">
        <v>2056.6201169999999</v>
      </c>
      <c r="C797">
        <v>2111.0500489999999</v>
      </c>
      <c r="D797">
        <v>2033.8000489999999</v>
      </c>
      <c r="E797">
        <v>2065.3000489999999</v>
      </c>
      <c r="F797">
        <v>2065.3000489999999</v>
      </c>
      <c r="G797">
        <v>81124990000</v>
      </c>
    </row>
    <row r="798" spans="1:7">
      <c r="A798" s="70">
        <v>42491</v>
      </c>
      <c r="B798">
        <v>2067.169922</v>
      </c>
      <c r="C798">
        <v>2103.4799800000001</v>
      </c>
      <c r="D798">
        <v>2025.910034</v>
      </c>
      <c r="E798">
        <v>2096.9499510000001</v>
      </c>
      <c r="F798">
        <v>2096.9499510000001</v>
      </c>
      <c r="G798">
        <v>78883600000</v>
      </c>
    </row>
    <row r="799" spans="1:7">
      <c r="A799" s="70">
        <v>42522</v>
      </c>
      <c r="B799">
        <v>2093.9399410000001</v>
      </c>
      <c r="C799">
        <v>2120.5500489999999</v>
      </c>
      <c r="D799">
        <v>1991.6800539999999</v>
      </c>
      <c r="E799">
        <v>2098.860107</v>
      </c>
      <c r="F799">
        <v>2098.860107</v>
      </c>
      <c r="G799">
        <v>86852700000</v>
      </c>
    </row>
    <row r="800" spans="1:7">
      <c r="A800" s="70">
        <v>42552</v>
      </c>
      <c r="B800">
        <v>2099.3400879999999</v>
      </c>
      <c r="C800">
        <v>2177.0900879999999</v>
      </c>
      <c r="D800">
        <v>2074.0200199999999</v>
      </c>
      <c r="E800">
        <v>2173.6000979999999</v>
      </c>
      <c r="F800">
        <v>2173.6000979999999</v>
      </c>
      <c r="G800">
        <v>69530250000</v>
      </c>
    </row>
    <row r="801" spans="1:7">
      <c r="A801" s="70">
        <v>42583</v>
      </c>
      <c r="B801">
        <v>2173.1499020000001</v>
      </c>
      <c r="C801">
        <v>2193.8100589999999</v>
      </c>
      <c r="D801">
        <v>2147.580078</v>
      </c>
      <c r="E801">
        <v>2170.9499510000001</v>
      </c>
      <c r="F801">
        <v>2170.9499510000001</v>
      </c>
      <c r="G801">
        <v>75610310000</v>
      </c>
    </row>
    <row r="802" spans="1:7">
      <c r="A802" s="70">
        <v>42614</v>
      </c>
      <c r="B802">
        <v>2171.330078</v>
      </c>
      <c r="C802">
        <v>2187.8701169999999</v>
      </c>
      <c r="D802">
        <v>2119.1201169999999</v>
      </c>
      <c r="E802">
        <v>2168.2700199999999</v>
      </c>
      <c r="F802">
        <v>2168.2700199999999</v>
      </c>
      <c r="G802">
        <v>77270240000</v>
      </c>
    </row>
    <row r="803" spans="1:7">
      <c r="A803" s="70">
        <v>42644</v>
      </c>
      <c r="B803">
        <v>2164.330078</v>
      </c>
      <c r="C803">
        <v>2169.6000979999999</v>
      </c>
      <c r="D803">
        <v>2114.719971</v>
      </c>
      <c r="E803">
        <v>2126.1499020000001</v>
      </c>
      <c r="F803">
        <v>2126.1499020000001</v>
      </c>
      <c r="G803">
        <v>73196630000</v>
      </c>
    </row>
    <row r="804" spans="1:7">
      <c r="A804" s="70">
        <v>42675</v>
      </c>
      <c r="B804">
        <v>2128.679932</v>
      </c>
      <c r="C804">
        <v>2214.1000979999999</v>
      </c>
      <c r="D804">
        <v>2083.790039</v>
      </c>
      <c r="E804">
        <v>2198.8100589999999</v>
      </c>
      <c r="F804">
        <v>2198.8100589999999</v>
      </c>
      <c r="G804">
        <v>88299760000</v>
      </c>
    </row>
    <row r="805" spans="1:7">
      <c r="A805" s="70">
        <v>42705</v>
      </c>
      <c r="B805">
        <v>2200.169922</v>
      </c>
      <c r="C805">
        <v>2277.530029</v>
      </c>
      <c r="D805">
        <v>2187.4399410000001</v>
      </c>
      <c r="E805">
        <v>2238.830078</v>
      </c>
      <c r="F805">
        <v>2238.830078</v>
      </c>
      <c r="G805">
        <v>75251240000</v>
      </c>
    </row>
    <row r="806" spans="1:7">
      <c r="A806" s="70">
        <v>42736</v>
      </c>
      <c r="B806">
        <v>2251.570068</v>
      </c>
      <c r="C806">
        <v>2300.98999</v>
      </c>
      <c r="D806">
        <v>2245.1298830000001</v>
      </c>
      <c r="E806">
        <v>2278.8701169999999</v>
      </c>
      <c r="F806">
        <v>2278.8701169999999</v>
      </c>
      <c r="G806">
        <v>70483180000</v>
      </c>
    </row>
    <row r="807" spans="1:7">
      <c r="A807" s="70">
        <v>42767</v>
      </c>
      <c r="B807">
        <v>2285.5900879999999</v>
      </c>
      <c r="C807">
        <v>2371.540039</v>
      </c>
      <c r="D807">
        <v>2271.6499020000001</v>
      </c>
      <c r="E807">
        <v>2363.639893</v>
      </c>
      <c r="F807">
        <v>2363.639893</v>
      </c>
      <c r="G807">
        <v>69162420000</v>
      </c>
    </row>
    <row r="808" spans="1:7">
      <c r="A808" s="70">
        <v>42795</v>
      </c>
      <c r="B808">
        <v>2380.1298830000001</v>
      </c>
      <c r="C808">
        <v>2400.9799800000001</v>
      </c>
      <c r="D808">
        <v>2322.25</v>
      </c>
      <c r="E808">
        <v>2362.719971</v>
      </c>
      <c r="F808">
        <v>2362.719971</v>
      </c>
      <c r="G808">
        <v>81547770000</v>
      </c>
    </row>
    <row r="809" spans="1:7">
      <c r="A809" s="70">
        <v>42826</v>
      </c>
      <c r="B809">
        <v>2362.3400879999999</v>
      </c>
      <c r="C809">
        <v>2398.1599120000001</v>
      </c>
      <c r="D809">
        <v>2328.9499510000001</v>
      </c>
      <c r="E809">
        <v>2384.1999510000001</v>
      </c>
      <c r="F809">
        <v>2384.1999510000001</v>
      </c>
      <c r="G809">
        <v>65265670000</v>
      </c>
    </row>
    <row r="810" spans="1:7">
      <c r="A810" s="70">
        <v>42856</v>
      </c>
      <c r="B810">
        <v>2388.5</v>
      </c>
      <c r="C810">
        <v>2418.709961</v>
      </c>
      <c r="D810">
        <v>2352.719971</v>
      </c>
      <c r="E810">
        <v>2411.8000489999999</v>
      </c>
      <c r="F810">
        <v>2411.8000489999999</v>
      </c>
      <c r="G810">
        <v>79607170000</v>
      </c>
    </row>
    <row r="811" spans="1:7">
      <c r="A811" s="70">
        <v>42887</v>
      </c>
      <c r="B811">
        <v>2415.6499020000001</v>
      </c>
      <c r="C811">
        <v>2453.820068</v>
      </c>
      <c r="D811">
        <v>2405.6999510000001</v>
      </c>
      <c r="E811">
        <v>2423.4099120000001</v>
      </c>
      <c r="F811">
        <v>2423.4099120000001</v>
      </c>
      <c r="G811">
        <v>81002490000</v>
      </c>
    </row>
    <row r="812" spans="1:7">
      <c r="A812" s="70">
        <v>42917</v>
      </c>
      <c r="B812">
        <v>2431.389893</v>
      </c>
      <c r="C812">
        <v>2484.040039</v>
      </c>
      <c r="D812">
        <v>2407.6999510000001</v>
      </c>
      <c r="E812">
        <v>2470.3000489999999</v>
      </c>
      <c r="F812">
        <v>2470.3000489999999</v>
      </c>
      <c r="G812">
        <v>63169400000</v>
      </c>
    </row>
    <row r="813" spans="1:7">
      <c r="A813" s="70">
        <v>42948</v>
      </c>
      <c r="B813">
        <v>2477.1000979999999</v>
      </c>
      <c r="C813">
        <v>2490.8701169999999</v>
      </c>
      <c r="D813">
        <v>2417.3500979999999</v>
      </c>
      <c r="E813">
        <v>2471.6499020000001</v>
      </c>
      <c r="F813">
        <v>2471.6499020000001</v>
      </c>
      <c r="G813">
        <v>70616030000</v>
      </c>
    </row>
    <row r="814" spans="1:7">
      <c r="A814" s="70">
        <v>42979</v>
      </c>
      <c r="B814">
        <v>2474.419922</v>
      </c>
      <c r="C814">
        <v>2519.4399410000001</v>
      </c>
      <c r="D814">
        <v>2446.5500489999999</v>
      </c>
      <c r="E814">
        <v>2519.360107</v>
      </c>
      <c r="F814">
        <v>2519.360107</v>
      </c>
      <c r="G814">
        <v>66337980000</v>
      </c>
    </row>
    <row r="815" spans="1:7">
      <c r="A815" s="70">
        <v>43009</v>
      </c>
      <c r="B815">
        <v>2521.1999510000001</v>
      </c>
      <c r="C815">
        <v>2582.9799800000001</v>
      </c>
      <c r="D815">
        <v>2520.3999020000001</v>
      </c>
      <c r="E815">
        <v>2575.26001</v>
      </c>
      <c r="F815">
        <v>2575.26001</v>
      </c>
      <c r="G815">
        <v>70871570000</v>
      </c>
    </row>
    <row r="816" spans="1:7">
      <c r="A816" s="70">
        <v>43040</v>
      </c>
      <c r="B816">
        <v>2583.209961</v>
      </c>
      <c r="C816">
        <v>2657.73999</v>
      </c>
      <c r="D816">
        <v>2557.4499510000001</v>
      </c>
      <c r="E816">
        <v>2584.8400879999999</v>
      </c>
      <c r="F816">
        <v>2584.8400879999999</v>
      </c>
      <c r="G816">
        <v>95142800000</v>
      </c>
    </row>
    <row r="817" spans="1:7">
      <c r="A817" s="70">
        <v>43070</v>
      </c>
      <c r="B817">
        <v>2645.1000979999999</v>
      </c>
      <c r="C817">
        <v>2694.969971</v>
      </c>
      <c r="D817">
        <v>2605.5200199999999</v>
      </c>
      <c r="E817">
        <v>2673.610107</v>
      </c>
      <c r="F817">
        <v>2673.610107</v>
      </c>
      <c r="G817">
        <v>65251190000</v>
      </c>
    </row>
    <row r="818" spans="1:7">
      <c r="A818" s="70">
        <v>43101</v>
      </c>
      <c r="B818">
        <v>2683.7299800000001</v>
      </c>
      <c r="C818">
        <v>2810.330078</v>
      </c>
      <c r="D818">
        <v>2682.360107</v>
      </c>
      <c r="E818">
        <v>2810.3000489999999</v>
      </c>
      <c r="F818">
        <v>2810.3000489999999</v>
      </c>
      <c r="G818">
        <v>43257000000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X125"/>
  <sheetViews>
    <sheetView showGridLines="0" zoomScale="90" zoomScaleNormal="90" workbookViewId="0">
      <selection activeCell="J16" sqref="J16"/>
    </sheetView>
  </sheetViews>
  <sheetFormatPr defaultRowHeight="14.5"/>
  <cols>
    <col min="1" max="3" width="1.81640625" customWidth="1"/>
    <col min="4" max="4" width="31" customWidth="1"/>
    <col min="6" max="6" width="12.1796875" bestFit="1" customWidth="1"/>
    <col min="7" max="7" width="8.81640625" bestFit="1" customWidth="1"/>
    <col min="8" max="8" width="9.453125" bestFit="1" customWidth="1"/>
    <col min="9" max="170" width="8.81640625" bestFit="1" customWidth="1"/>
    <col min="171" max="206" width="9.81640625" bestFit="1" customWidth="1"/>
  </cols>
  <sheetData>
    <row r="1" spans="1:21">
      <c r="U1">
        <v>3</v>
      </c>
    </row>
    <row r="2" spans="1:21">
      <c r="A2" t="s">
        <v>30</v>
      </c>
      <c r="E2" s="5" t="s">
        <v>111</v>
      </c>
      <c r="F2" s="5" t="s">
        <v>112</v>
      </c>
      <c r="H2" t="s">
        <v>113</v>
      </c>
      <c r="K2">
        <v>32.47</v>
      </c>
      <c r="U2" t="s">
        <v>114</v>
      </c>
    </row>
    <row r="3" spans="1:21">
      <c r="B3" t="s">
        <v>115</v>
      </c>
      <c r="E3" s="2">
        <v>0.03</v>
      </c>
      <c r="F3" s="2">
        <v>0</v>
      </c>
      <c r="H3" t="s">
        <v>116</v>
      </c>
      <c r="K3" s="1">
        <f>E4</f>
        <v>0.15</v>
      </c>
      <c r="U3" t="s">
        <v>117</v>
      </c>
    </row>
    <row r="4" spans="1:21">
      <c r="B4" t="s">
        <v>33</v>
      </c>
      <c r="E4" s="2">
        <v>0.15</v>
      </c>
      <c r="F4" s="2">
        <f>(1+E4)/(1+E3)-1</f>
        <v>0.11650485436893199</v>
      </c>
      <c r="H4" t="s">
        <v>118</v>
      </c>
      <c r="K4">
        <v>200</v>
      </c>
      <c r="U4" t="s">
        <v>119</v>
      </c>
    </row>
    <row r="5" spans="1:21">
      <c r="B5" t="s">
        <v>36</v>
      </c>
      <c r="E5" s="40">
        <v>6.6211594473151628E-2</v>
      </c>
      <c r="F5" s="41">
        <f>(1+E5)/(1+$E$3)-1</f>
        <v>3.5156887838011297E-2</v>
      </c>
      <c r="H5" t="s">
        <v>120</v>
      </c>
      <c r="K5" s="3">
        <f>K3*K4</f>
        <v>30</v>
      </c>
      <c r="U5" s="6" t="s">
        <v>121</v>
      </c>
    </row>
    <row r="6" spans="1:21">
      <c r="B6" t="s">
        <v>38</v>
      </c>
      <c r="E6" s="2">
        <v>4.4999999999999998E-2</v>
      </c>
      <c r="F6" s="2">
        <f>(1+E6)/(1+$E$3)-1</f>
        <v>1.4563106796116498E-2</v>
      </c>
      <c r="H6" t="s">
        <v>122</v>
      </c>
      <c r="K6">
        <f>K5*K2</f>
        <v>974.09999999999991</v>
      </c>
    </row>
    <row r="7" spans="1:21">
      <c r="B7" t="s">
        <v>42</v>
      </c>
      <c r="E7" s="2">
        <f>(1-E6/E4)</f>
        <v>0.7</v>
      </c>
      <c r="F7" s="2">
        <f>(1-F6/F4)</f>
        <v>0.875</v>
      </c>
      <c r="U7" t="str">
        <f>INDEX(U2:U5,U1)</f>
        <v>https://ycharts.com/indicators/pe10</v>
      </c>
    </row>
    <row r="8" spans="1:21">
      <c r="B8" t="s">
        <v>45</v>
      </c>
      <c r="E8" s="3">
        <v>27.24</v>
      </c>
      <c r="F8" s="3">
        <f>E8</f>
        <v>27.24</v>
      </c>
      <c r="H8" t="s">
        <v>123</v>
      </c>
      <c r="K8" s="3">
        <f>K5/(1+E3)</f>
        <v>29.126213592233007</v>
      </c>
    </row>
    <row r="9" spans="1:21">
      <c r="H9" t="s">
        <v>124</v>
      </c>
      <c r="K9" s="3">
        <f>K4/(1+E3)</f>
        <v>194.17475728155338</v>
      </c>
    </row>
    <row r="10" spans="1:21">
      <c r="A10" t="s">
        <v>471</v>
      </c>
      <c r="E10">
        <f>(1-E6/E4)/(E5-E6)</f>
        <v>33.000819475689028</v>
      </c>
      <c r="F10" s="3">
        <f>(1-F6/F4)/(F5-F6)</f>
        <v>42.488555074949595</v>
      </c>
      <c r="H10" t="s">
        <v>125</v>
      </c>
      <c r="K10" s="3">
        <f>K4-K9+K5-K8</f>
        <v>6.6990291262136097</v>
      </c>
    </row>
    <row r="11" spans="1:21">
      <c r="H11" t="s">
        <v>126</v>
      </c>
      <c r="K11" s="3">
        <f>K5-K10</f>
        <v>23.30097087378639</v>
      </c>
    </row>
    <row r="12" spans="1:21">
      <c r="H12" t="s">
        <v>127</v>
      </c>
      <c r="K12" s="3">
        <f>K6/K11</f>
        <v>41.805125000000025</v>
      </c>
    </row>
    <row r="13" spans="1:21">
      <c r="B13" t="s">
        <v>128</v>
      </c>
      <c r="E13" s="3">
        <f>F53</f>
        <v>0</v>
      </c>
      <c r="F13" s="3">
        <f>E10</f>
        <v>33.000819475689028</v>
      </c>
    </row>
    <row r="14" spans="1:21">
      <c r="B14" t="s">
        <v>129</v>
      </c>
      <c r="E14" s="3">
        <f>K12</f>
        <v>41.805125000000025</v>
      </c>
      <c r="F14" s="3">
        <v>33</v>
      </c>
    </row>
    <row r="15" spans="1:21">
      <c r="B15" t="s">
        <v>62</v>
      </c>
      <c r="E15" s="3">
        <f>E13-E14</f>
        <v>-41.805125000000025</v>
      </c>
      <c r="F15" s="3">
        <f>F14-F13</f>
        <v>-8.1947568902762669E-4</v>
      </c>
    </row>
    <row r="17" spans="1:206">
      <c r="B17" t="s">
        <v>49</v>
      </c>
      <c r="G17">
        <v>1</v>
      </c>
      <c r="H17">
        <v>2</v>
      </c>
      <c r="I17">
        <v>3</v>
      </c>
      <c r="J17">
        <v>4</v>
      </c>
      <c r="K17">
        <v>5</v>
      </c>
      <c r="L17">
        <v>6</v>
      </c>
      <c r="M17">
        <v>7</v>
      </c>
      <c r="N17">
        <v>8</v>
      </c>
      <c r="O17">
        <v>9</v>
      </c>
      <c r="P17">
        <v>10</v>
      </c>
      <c r="Q17">
        <v>11</v>
      </c>
      <c r="R17">
        <v>12</v>
      </c>
      <c r="S17">
        <v>13</v>
      </c>
      <c r="T17">
        <v>14</v>
      </c>
      <c r="U17">
        <v>15</v>
      </c>
      <c r="V17">
        <v>16</v>
      </c>
      <c r="W17">
        <v>17</v>
      </c>
      <c r="X17">
        <v>18</v>
      </c>
      <c r="Y17">
        <v>19</v>
      </c>
      <c r="Z17">
        <v>20</v>
      </c>
      <c r="AA17">
        <v>21</v>
      </c>
      <c r="AB17">
        <v>22</v>
      </c>
      <c r="AC17">
        <v>23</v>
      </c>
      <c r="AD17">
        <v>24</v>
      </c>
      <c r="AE17">
        <v>25</v>
      </c>
      <c r="AF17">
        <v>26</v>
      </c>
      <c r="AG17">
        <v>27</v>
      </c>
      <c r="AH17">
        <v>28</v>
      </c>
      <c r="AI17">
        <v>29</v>
      </c>
      <c r="AJ17">
        <v>30</v>
      </c>
      <c r="AK17">
        <v>31</v>
      </c>
      <c r="AL17">
        <v>32</v>
      </c>
      <c r="AM17">
        <v>33</v>
      </c>
      <c r="AN17">
        <v>34</v>
      </c>
      <c r="AO17">
        <v>35</v>
      </c>
      <c r="AP17">
        <v>36</v>
      </c>
      <c r="AQ17">
        <v>37</v>
      </c>
      <c r="AR17">
        <v>38</v>
      </c>
      <c r="AS17">
        <v>39</v>
      </c>
      <c r="AT17">
        <v>40</v>
      </c>
      <c r="AU17">
        <v>41</v>
      </c>
      <c r="AV17">
        <v>42</v>
      </c>
      <c r="AW17">
        <v>43</v>
      </c>
      <c r="AX17">
        <v>44</v>
      </c>
      <c r="AY17">
        <v>45</v>
      </c>
      <c r="AZ17">
        <v>46</v>
      </c>
      <c r="BA17">
        <v>47</v>
      </c>
      <c r="BB17">
        <v>48</v>
      </c>
      <c r="BC17">
        <v>49</v>
      </c>
      <c r="BD17">
        <v>50</v>
      </c>
      <c r="BE17">
        <v>51</v>
      </c>
      <c r="BF17">
        <v>52</v>
      </c>
      <c r="BG17">
        <v>53</v>
      </c>
      <c r="BH17">
        <v>54</v>
      </c>
      <c r="BI17">
        <v>55</v>
      </c>
      <c r="BJ17">
        <v>56</v>
      </c>
      <c r="BK17">
        <v>57</v>
      </c>
      <c r="BL17">
        <v>58</v>
      </c>
      <c r="BM17">
        <v>59</v>
      </c>
      <c r="BN17">
        <v>60</v>
      </c>
      <c r="BO17">
        <v>61</v>
      </c>
      <c r="BP17">
        <v>62</v>
      </c>
      <c r="BQ17">
        <v>63</v>
      </c>
      <c r="BR17">
        <v>64</v>
      </c>
      <c r="BS17">
        <v>65</v>
      </c>
      <c r="BT17">
        <v>66</v>
      </c>
      <c r="BU17">
        <v>67</v>
      </c>
      <c r="BV17">
        <v>68</v>
      </c>
      <c r="BW17">
        <v>69</v>
      </c>
      <c r="BX17">
        <v>70</v>
      </c>
      <c r="BY17">
        <v>71</v>
      </c>
      <c r="BZ17">
        <v>72</v>
      </c>
      <c r="CA17">
        <v>73</v>
      </c>
      <c r="CB17">
        <v>74</v>
      </c>
      <c r="CC17">
        <v>75</v>
      </c>
      <c r="CD17">
        <v>76</v>
      </c>
      <c r="CE17">
        <v>77</v>
      </c>
      <c r="CF17">
        <v>78</v>
      </c>
      <c r="CG17">
        <v>79</v>
      </c>
      <c r="CH17">
        <v>80</v>
      </c>
      <c r="CI17">
        <v>81</v>
      </c>
      <c r="CJ17">
        <v>82</v>
      </c>
      <c r="CK17">
        <v>83</v>
      </c>
      <c r="CL17">
        <v>84</v>
      </c>
      <c r="CM17">
        <v>85</v>
      </c>
      <c r="CN17">
        <v>86</v>
      </c>
      <c r="CO17">
        <v>87</v>
      </c>
      <c r="CP17">
        <v>88</v>
      </c>
      <c r="CQ17">
        <v>89</v>
      </c>
      <c r="CR17">
        <v>90</v>
      </c>
      <c r="CS17">
        <v>91</v>
      </c>
      <c r="CT17">
        <v>92</v>
      </c>
      <c r="CU17">
        <v>93</v>
      </c>
      <c r="CV17">
        <v>94</v>
      </c>
      <c r="CW17">
        <v>95</v>
      </c>
      <c r="CX17">
        <v>96</v>
      </c>
      <c r="CY17">
        <v>97</v>
      </c>
      <c r="CZ17">
        <v>98</v>
      </c>
      <c r="DA17">
        <v>99</v>
      </c>
      <c r="DB17">
        <v>100</v>
      </c>
      <c r="DC17">
        <v>101</v>
      </c>
      <c r="DD17">
        <v>102</v>
      </c>
      <c r="DE17">
        <v>103</v>
      </c>
      <c r="DF17">
        <v>104</v>
      </c>
      <c r="DG17">
        <v>105</v>
      </c>
      <c r="DH17">
        <v>106</v>
      </c>
      <c r="DI17">
        <v>107</v>
      </c>
      <c r="DJ17">
        <v>108</v>
      </c>
      <c r="DK17">
        <v>109</v>
      </c>
      <c r="DL17">
        <v>110</v>
      </c>
      <c r="DM17">
        <v>111</v>
      </c>
      <c r="DN17">
        <v>112</v>
      </c>
      <c r="DO17">
        <v>113</v>
      </c>
      <c r="DP17">
        <v>114</v>
      </c>
      <c r="DQ17">
        <v>115</v>
      </c>
      <c r="DR17">
        <v>116</v>
      </c>
      <c r="DS17">
        <v>117</v>
      </c>
      <c r="DT17">
        <v>118</v>
      </c>
      <c r="DU17">
        <v>119</v>
      </c>
      <c r="DV17">
        <v>120</v>
      </c>
      <c r="DW17">
        <v>121</v>
      </c>
      <c r="DX17">
        <v>122</v>
      </c>
      <c r="DY17">
        <v>123</v>
      </c>
      <c r="DZ17">
        <v>124</v>
      </c>
      <c r="EA17">
        <v>125</v>
      </c>
      <c r="EB17">
        <v>126</v>
      </c>
      <c r="EC17">
        <v>127</v>
      </c>
      <c r="ED17">
        <v>128</v>
      </c>
      <c r="EE17">
        <v>129</v>
      </c>
      <c r="EF17">
        <v>130</v>
      </c>
      <c r="EG17">
        <v>131</v>
      </c>
      <c r="EH17">
        <v>132</v>
      </c>
      <c r="EI17">
        <v>133</v>
      </c>
      <c r="EJ17">
        <v>134</v>
      </c>
      <c r="EK17">
        <v>135</v>
      </c>
      <c r="EL17">
        <v>136</v>
      </c>
      <c r="EM17">
        <v>137</v>
      </c>
      <c r="EN17">
        <v>138</v>
      </c>
      <c r="EO17">
        <v>139</v>
      </c>
      <c r="EP17">
        <v>140</v>
      </c>
      <c r="EQ17">
        <v>141</v>
      </c>
      <c r="ER17">
        <v>142</v>
      </c>
      <c r="ES17">
        <v>143</v>
      </c>
      <c r="ET17">
        <v>144</v>
      </c>
      <c r="EU17">
        <v>145</v>
      </c>
      <c r="EV17">
        <v>146</v>
      </c>
      <c r="EW17">
        <v>147</v>
      </c>
      <c r="EX17">
        <v>148</v>
      </c>
      <c r="EY17">
        <v>149</v>
      </c>
      <c r="EZ17">
        <v>150</v>
      </c>
      <c r="FA17">
        <v>151</v>
      </c>
      <c r="FB17">
        <v>152</v>
      </c>
      <c r="FC17">
        <v>153</v>
      </c>
      <c r="FD17">
        <v>154</v>
      </c>
      <c r="FE17">
        <v>155</v>
      </c>
      <c r="FF17">
        <v>156</v>
      </c>
      <c r="FG17">
        <v>157</v>
      </c>
      <c r="FH17">
        <v>158</v>
      </c>
      <c r="FI17">
        <v>159</v>
      </c>
      <c r="FJ17">
        <v>160</v>
      </c>
      <c r="FK17">
        <v>161</v>
      </c>
      <c r="FL17">
        <v>162</v>
      </c>
      <c r="FM17">
        <v>163</v>
      </c>
      <c r="FN17">
        <v>164</v>
      </c>
      <c r="FO17">
        <v>165</v>
      </c>
      <c r="FP17">
        <v>166</v>
      </c>
      <c r="FQ17">
        <v>167</v>
      </c>
      <c r="FR17">
        <v>168</v>
      </c>
      <c r="FS17">
        <v>169</v>
      </c>
      <c r="FT17">
        <v>170</v>
      </c>
      <c r="FU17">
        <v>171</v>
      </c>
      <c r="FV17">
        <v>172</v>
      </c>
      <c r="FW17">
        <v>173</v>
      </c>
      <c r="FX17">
        <v>174</v>
      </c>
      <c r="FY17">
        <v>175</v>
      </c>
      <c r="FZ17">
        <v>176</v>
      </c>
      <c r="GA17">
        <v>177</v>
      </c>
      <c r="GB17">
        <v>178</v>
      </c>
      <c r="GC17">
        <v>179</v>
      </c>
      <c r="GD17">
        <v>180</v>
      </c>
      <c r="GE17">
        <v>181</v>
      </c>
      <c r="GF17">
        <v>182</v>
      </c>
      <c r="GG17">
        <v>183</v>
      </c>
      <c r="GH17">
        <v>184</v>
      </c>
      <c r="GI17">
        <v>185</v>
      </c>
      <c r="GJ17">
        <v>186</v>
      </c>
      <c r="GK17">
        <v>187</v>
      </c>
      <c r="GL17">
        <v>188</v>
      </c>
      <c r="GM17">
        <v>189</v>
      </c>
      <c r="GN17">
        <v>190</v>
      </c>
      <c r="GO17">
        <v>191</v>
      </c>
      <c r="GP17">
        <v>192</v>
      </c>
      <c r="GQ17">
        <v>193</v>
      </c>
      <c r="GR17">
        <v>194</v>
      </c>
      <c r="GS17">
        <v>195</v>
      </c>
      <c r="GT17">
        <v>196</v>
      </c>
      <c r="GU17">
        <v>197</v>
      </c>
      <c r="GV17">
        <v>198</v>
      </c>
      <c r="GW17">
        <v>199</v>
      </c>
      <c r="GX17">
        <v>200</v>
      </c>
    </row>
    <row r="19" spans="1:206">
      <c r="A19" t="s">
        <v>130</v>
      </c>
    </row>
    <row r="20" spans="1:206">
      <c r="B20" t="s">
        <v>50</v>
      </c>
    </row>
    <row r="21" spans="1:206">
      <c r="C21" t="s">
        <v>51</v>
      </c>
      <c r="G21" s="16">
        <f>F24</f>
        <v>200</v>
      </c>
      <c r="H21" s="16">
        <f t="shared" ref="H21:BS21" si="0">G24</f>
        <v>202.91262135922332</v>
      </c>
      <c r="I21" s="16">
        <f t="shared" si="0"/>
        <v>205.86765953435764</v>
      </c>
      <c r="J21" s="16">
        <f t="shared" si="0"/>
        <v>208.86573224602304</v>
      </c>
      <c r="K21" s="16">
        <f t="shared" si="0"/>
        <v>211.90746621077096</v>
      </c>
      <c r="L21" s="16">
        <f t="shared" si="0"/>
        <v>214.99349727209284</v>
      </c>
      <c r="M21" s="16">
        <f t="shared" si="0"/>
        <v>218.1244705333369</v>
      </c>
      <c r="N21" s="16">
        <f t="shared" si="0"/>
        <v>221.30104049256025</v>
      </c>
      <c r="O21" s="16">
        <f t="shared" si="0"/>
        <v>224.52387117934509</v>
      </c>
      <c r="P21" s="16">
        <f t="shared" si="0"/>
        <v>227.79363629360739</v>
      </c>
      <c r="Q21" s="16">
        <f t="shared" si="0"/>
        <v>231.1110193464269</v>
      </c>
      <c r="R21" s="16">
        <f t="shared" si="0"/>
        <v>234.47671380292826</v>
      </c>
      <c r="S21" s="16">
        <f t="shared" si="0"/>
        <v>237.89142322724274</v>
      </c>
      <c r="T21" s="16">
        <f t="shared" si="0"/>
        <v>241.35586142958124</v>
      </c>
      <c r="U21" s="16">
        <f t="shared" si="0"/>
        <v>244.87075261544896</v>
      </c>
      <c r="V21" s="16">
        <f t="shared" si="0"/>
        <v>248.43683153703319</v>
      </c>
      <c r="W21" s="16">
        <f t="shared" si="0"/>
        <v>252.0548436467958</v>
      </c>
      <c r="X21" s="16">
        <f t="shared" si="0"/>
        <v>255.72554525330253</v>
      </c>
      <c r="Y21" s="16">
        <f t="shared" si="0"/>
        <v>259.44970367932149</v>
      </c>
      <c r="Z21" s="16">
        <f t="shared" si="0"/>
        <v>263.22809742222421</v>
      </c>
      <c r="AA21" s="16">
        <f t="shared" si="0"/>
        <v>267.06151631672259</v>
      </c>
      <c r="AB21" s="16">
        <f t="shared" si="0"/>
        <v>270.95076169997583</v>
      </c>
      <c r="AC21" s="16">
        <f t="shared" si="0"/>
        <v>274.89664657910168</v>
      </c>
      <c r="AD21" s="16">
        <f t="shared" si="0"/>
        <v>278.89999580112743</v>
      </c>
      <c r="AE21" s="16">
        <f t="shared" si="0"/>
        <v>282.96164622541568</v>
      </c>
      <c r="AF21" s="16">
        <f t="shared" si="0"/>
        <v>287.08244689860135</v>
      </c>
      <c r="AG21" s="16">
        <f t="shared" si="0"/>
        <v>291.26325923207611</v>
      </c>
      <c r="AH21" s="16">
        <f t="shared" si="0"/>
        <v>295.50495718205781</v>
      </c>
      <c r="AI21" s="16">
        <f t="shared" si="0"/>
        <v>299.80842743228197</v>
      </c>
      <c r="AJ21" s="16">
        <f t="shared" si="0"/>
        <v>304.17456957935406</v>
      </c>
      <c r="AK21" s="16">
        <f t="shared" si="0"/>
        <v>308.60429632080093</v>
      </c>
      <c r="AL21" s="16">
        <f t="shared" si="0"/>
        <v>313.09853364586115</v>
      </c>
      <c r="AM21" s="16">
        <f t="shared" si="0"/>
        <v>317.65822102905327</v>
      </c>
      <c r="AN21" s="16">
        <f t="shared" si="0"/>
        <v>322.28431162656375</v>
      </c>
      <c r="AO21" s="16">
        <f t="shared" si="0"/>
        <v>326.97777247549431</v>
      </c>
      <c r="AP21" s="16">
        <f t="shared" si="0"/>
        <v>331.73958469601121</v>
      </c>
      <c r="AQ21" s="16">
        <f t="shared" si="0"/>
        <v>336.57074369643857</v>
      </c>
      <c r="AR21" s="16">
        <f t="shared" si="0"/>
        <v>341.47225938133812</v>
      </c>
      <c r="AS21" s="16">
        <f t="shared" si="0"/>
        <v>346.44515636261974</v>
      </c>
      <c r="AT21" s="16">
        <f t="shared" si="0"/>
        <v>351.49047417372583</v>
      </c>
      <c r="AU21" s="16">
        <f t="shared" si="0"/>
        <v>356.60926748693538</v>
      </c>
      <c r="AV21" s="16">
        <f t="shared" si="0"/>
        <v>361.8026063338325</v>
      </c>
      <c r="AW21" s="16">
        <f t="shared" si="0"/>
        <v>367.07157632898543</v>
      </c>
      <c r="AX21" s="16">
        <f t="shared" si="0"/>
        <v>372.41727889688332</v>
      </c>
      <c r="AY21" s="16">
        <f t="shared" si="0"/>
        <v>377.84083150217776</v>
      </c>
      <c r="AZ21" s="16">
        <f t="shared" si="0"/>
        <v>383.34336788327744</v>
      </c>
      <c r="BA21" s="16">
        <f t="shared" si="0"/>
        <v>388.9260382893446</v>
      </c>
      <c r="BB21" s="16">
        <f t="shared" si="0"/>
        <v>394.59000972074278</v>
      </c>
      <c r="BC21" s="16">
        <f t="shared" si="0"/>
        <v>400.3364661729866</v>
      </c>
      <c r="BD21" s="16">
        <f t="shared" si="0"/>
        <v>406.16660888424366</v>
      </c>
      <c r="BE21" s="16">
        <f t="shared" si="0"/>
        <v>412.08165658644134</v>
      </c>
      <c r="BF21" s="16">
        <f t="shared" si="0"/>
        <v>418.0828457600303</v>
      </c>
      <c r="BG21" s="16">
        <f t="shared" si="0"/>
        <v>424.17143089245792</v>
      </c>
      <c r="BH21" s="16">
        <f t="shared" si="0"/>
        <v>430.34868474040633</v>
      </c>
      <c r="BI21" s="16">
        <f t="shared" si="0"/>
        <v>436.61589859584916</v>
      </c>
      <c r="BJ21" s="16">
        <f t="shared" si="0"/>
        <v>442.97438255598291</v>
      </c>
      <c r="BK21" s="16">
        <f t="shared" si="0"/>
        <v>449.42546579708949</v>
      </c>
      <c r="BL21" s="16">
        <f t="shared" si="0"/>
        <v>455.97049685238687</v>
      </c>
      <c r="BM21" s="16">
        <f t="shared" si="0"/>
        <v>462.61084389392647</v>
      </c>
      <c r="BN21" s="16">
        <f t="shared" si="0"/>
        <v>469.34789501859524</v>
      </c>
      <c r="BO21" s="16">
        <f t="shared" si="0"/>
        <v>476.18305853828349</v>
      </c>
      <c r="BP21" s="16">
        <f t="shared" si="0"/>
        <v>483.11776327427788</v>
      </c>
      <c r="BQ21" s="16">
        <f t="shared" si="0"/>
        <v>490.15345885594218</v>
      </c>
      <c r="BR21" s="16">
        <f t="shared" si="0"/>
        <v>497.29161602374711</v>
      </c>
      <c r="BS21" s="16">
        <f t="shared" si="0"/>
        <v>504.53372693671434</v>
      </c>
      <c r="BT21" s="16">
        <f t="shared" ref="BT21:EE21" si="1">BS24</f>
        <v>511.88130548433645</v>
      </c>
      <c r="BU21" s="16">
        <f t="shared" si="1"/>
        <v>519.33588760304031</v>
      </c>
      <c r="BV21" s="16">
        <f t="shared" si="1"/>
        <v>526.89903159725941</v>
      </c>
      <c r="BW21" s="16">
        <f t="shared" si="1"/>
        <v>534.57231846518062</v>
      </c>
      <c r="BX21" s="16">
        <f t="shared" si="1"/>
        <v>542.35735222923665</v>
      </c>
      <c r="BY21" s="16">
        <f t="shared" si="1"/>
        <v>550.25576027140994</v>
      </c>
      <c r="BZ21" s="16">
        <f t="shared" si="1"/>
        <v>558.26919367342077</v>
      </c>
      <c r="CA21" s="16">
        <f t="shared" si="1"/>
        <v>566.39932756186863</v>
      </c>
      <c r="CB21" s="16">
        <f t="shared" si="1"/>
        <v>574.64786145840071</v>
      </c>
      <c r="CC21" s="16">
        <f t="shared" si="1"/>
        <v>583.01651963497943</v>
      </c>
      <c r="CD21" s="16">
        <f t="shared" si="1"/>
        <v>591.50705147432382</v>
      </c>
      <c r="CE21" s="16">
        <f t="shared" si="1"/>
        <v>600.12123183560038</v>
      </c>
      <c r="CF21" s="16">
        <f t="shared" si="1"/>
        <v>608.86086142543923</v>
      </c>
      <c r="CG21" s="16">
        <f t="shared" si="1"/>
        <v>617.7277671743534</v>
      </c>
      <c r="CH21" s="16">
        <f t="shared" si="1"/>
        <v>626.72380261864009</v>
      </c>
      <c r="CI21" s="16">
        <f t="shared" si="1"/>
        <v>635.85084828784363</v>
      </c>
      <c r="CJ21" s="16">
        <f t="shared" si="1"/>
        <v>645.11081209786084</v>
      </c>
      <c r="CK21" s="16">
        <f t="shared" si="1"/>
        <v>654.5056297497714</v>
      </c>
      <c r="CL21" s="16">
        <f t="shared" si="1"/>
        <v>664.03726513447691</v>
      </c>
      <c r="CM21" s="16">
        <f t="shared" si="1"/>
        <v>673.70771074323147</v>
      </c>
      <c r="CN21" s="16">
        <f t="shared" si="1"/>
        <v>683.51898808415228</v>
      </c>
      <c r="CO21" s="16">
        <f t="shared" si="1"/>
        <v>693.4731481047952</v>
      </c>
      <c r="CP21" s="16">
        <f t="shared" si="1"/>
        <v>703.57227162088452</v>
      </c>
      <c r="CQ21" s="16">
        <f t="shared" si="1"/>
        <v>713.81846975128576</v>
      </c>
      <c r="CR21" s="16">
        <f t="shared" si="1"/>
        <v>724.21388435931419</v>
      </c>
      <c r="CS21" s="16">
        <f t="shared" si="1"/>
        <v>734.7606885004692</v>
      </c>
      <c r="CT21" s="16">
        <f t="shared" si="1"/>
        <v>745.46108687668959</v>
      </c>
      <c r="CU21" s="16">
        <f t="shared" si="1"/>
        <v>756.3173162972239</v>
      </c>
      <c r="CV21" s="16">
        <f t="shared" si="1"/>
        <v>767.33164614621262</v>
      </c>
      <c r="CW21" s="16">
        <f t="shared" si="1"/>
        <v>778.50637885707977</v>
      </c>
      <c r="CX21" s="16">
        <f t="shared" si="1"/>
        <v>789.84385039383335</v>
      </c>
      <c r="CY21" s="16">
        <f t="shared" si="1"/>
        <v>801.34643073937468</v>
      </c>
      <c r="CZ21" s="16">
        <f t="shared" si="1"/>
        <v>813.01652439091902</v>
      </c>
      <c r="DA21" s="16">
        <f t="shared" si="1"/>
        <v>824.85657086263143</v>
      </c>
      <c r="DB21" s="16">
        <f t="shared" si="1"/>
        <v>836.86904519558232</v>
      </c>
      <c r="DC21" s="16">
        <f t="shared" si="1"/>
        <v>849.05645847512972</v>
      </c>
      <c r="DD21" s="16">
        <f t="shared" si="1"/>
        <v>861.42135835583542</v>
      </c>
      <c r="DE21" s="16">
        <f t="shared" si="1"/>
        <v>873.96632959402723</v>
      </c>
      <c r="DF21" s="16">
        <f t="shared" si="1"/>
        <v>886.69399458811506</v>
      </c>
      <c r="DG21" s="16">
        <f t="shared" si="1"/>
        <v>899.60701392677697</v>
      </c>
      <c r="DH21" s="16">
        <f t="shared" si="1"/>
        <v>912.70808694512812</v>
      </c>
      <c r="DI21" s="16">
        <f t="shared" si="1"/>
        <v>925.99995228898911</v>
      </c>
      <c r="DJ21" s="16">
        <f t="shared" si="1"/>
        <v>939.48538848737235</v>
      </c>
      <c r="DK21" s="16">
        <f t="shared" si="1"/>
        <v>953.16721453330501</v>
      </c>
      <c r="DL21" s="16">
        <f t="shared" si="1"/>
        <v>967.04829047311046</v>
      </c>
      <c r="DM21" s="16">
        <f t="shared" si="1"/>
        <v>981.13151800427215</v>
      </c>
      <c r="DN21" s="16">
        <f t="shared" si="1"/>
        <v>995.41984108200415</v>
      </c>
      <c r="DO21" s="16">
        <f t="shared" si="1"/>
        <v>1009.9162465346546</v>
      </c>
      <c r="DP21" s="16">
        <f t="shared" si="1"/>
        <v>1024.6237646880718</v>
      </c>
      <c r="DQ21" s="16">
        <f t="shared" si="1"/>
        <v>1039.5454699990632</v>
      </c>
      <c r="DR21" s="16">
        <f t="shared" si="1"/>
        <v>1054.6844816980786</v>
      </c>
      <c r="DS21" s="16">
        <f t="shared" si="1"/>
        <v>1070.0439644412545</v>
      </c>
      <c r="DT21" s="16">
        <f t="shared" si="1"/>
        <v>1085.6271289719523</v>
      </c>
      <c r="DU21" s="16">
        <f t="shared" si="1"/>
        <v>1101.437232791932</v>
      </c>
      <c r="DV21" s="16">
        <f t="shared" si="1"/>
        <v>1117.4775808422999</v>
      </c>
      <c r="DW21" s="16">
        <f t="shared" si="1"/>
        <v>1133.7515261943722</v>
      </c>
      <c r="DX21" s="16">
        <f t="shared" si="1"/>
        <v>1150.2624707506009</v>
      </c>
      <c r="DY21" s="16">
        <f t="shared" si="1"/>
        <v>1167.0138659557067</v>
      </c>
      <c r="DZ21" s="16">
        <f t="shared" si="1"/>
        <v>1184.0092135181685</v>
      </c>
      <c r="EA21" s="16">
        <f t="shared" si="1"/>
        <v>1201.2520661422195</v>
      </c>
      <c r="EB21" s="16">
        <f t="shared" si="1"/>
        <v>1218.7460282705042</v>
      </c>
      <c r="EC21" s="16">
        <f t="shared" si="1"/>
        <v>1236.4947568375503</v>
      </c>
      <c r="ED21" s="16">
        <f t="shared" si="1"/>
        <v>1254.5019620342136</v>
      </c>
      <c r="EE21" s="16">
        <f t="shared" si="1"/>
        <v>1272.7714080832554</v>
      </c>
      <c r="EF21" s="16">
        <f t="shared" ref="EF21:GQ21" si="2">EE24</f>
        <v>1291.3069140262155</v>
      </c>
      <c r="EG21" s="16">
        <f t="shared" si="2"/>
        <v>1310.1123545217429</v>
      </c>
      <c r="EH21" s="16">
        <f t="shared" si="2"/>
        <v>1329.1916606555546</v>
      </c>
      <c r="EI21" s="16">
        <f t="shared" si="2"/>
        <v>1348.5488207621891</v>
      </c>
      <c r="EJ21" s="16">
        <f t="shared" si="2"/>
        <v>1368.1878812587258</v>
      </c>
      <c r="EK21" s="16">
        <f t="shared" si="2"/>
        <v>1388.112947490649</v>
      </c>
      <c r="EL21" s="16">
        <f t="shared" si="2"/>
        <v>1408.3281845900276</v>
      </c>
      <c r="EM21" s="16">
        <f t="shared" si="2"/>
        <v>1428.837818346193</v>
      </c>
      <c r="EN21" s="16">
        <f t="shared" si="2"/>
        <v>1449.6461360890985</v>
      </c>
      <c r="EO21" s="16">
        <f t="shared" si="2"/>
        <v>1470.7574875855416</v>
      </c>
      <c r="EP21" s="16">
        <f t="shared" si="2"/>
        <v>1492.1762859484379</v>
      </c>
      <c r="EQ21" s="16">
        <f t="shared" si="2"/>
        <v>1513.9070085593373</v>
      </c>
      <c r="ER21" s="16">
        <f t="shared" si="2"/>
        <v>1535.9541980043762</v>
      </c>
      <c r="ES21" s="16">
        <f t="shared" si="2"/>
        <v>1558.3224630238574</v>
      </c>
      <c r="ET21" s="16">
        <f t="shared" si="2"/>
        <v>1581.0164794756613</v>
      </c>
      <c r="EU21" s="16">
        <f t="shared" si="2"/>
        <v>1604.0409913126855</v>
      </c>
      <c r="EV21" s="16">
        <f t="shared" si="2"/>
        <v>1627.4008115745207</v>
      </c>
      <c r="EW21" s="16">
        <f t="shared" si="2"/>
        <v>1651.1008233935672</v>
      </c>
      <c r="EX21" s="16">
        <f t="shared" si="2"/>
        <v>1675.1459810158037</v>
      </c>
      <c r="EY21" s="16">
        <f t="shared" si="2"/>
        <v>1699.5413108364221</v>
      </c>
      <c r="EZ21" s="16">
        <f t="shared" si="2"/>
        <v>1724.2919124505447</v>
      </c>
      <c r="FA21" s="16">
        <f t="shared" si="2"/>
        <v>1749.4029597192418</v>
      </c>
      <c r="FB21" s="16">
        <f t="shared" si="2"/>
        <v>1774.8797018510754</v>
      </c>
      <c r="FC21" s="16">
        <f t="shared" si="2"/>
        <v>1800.7274644993922</v>
      </c>
      <c r="FD21" s="16">
        <f t="shared" si="2"/>
        <v>1826.9516508755969</v>
      </c>
      <c r="FE21" s="16">
        <f t="shared" si="2"/>
        <v>1853.5577428786394</v>
      </c>
      <c r="FF21" s="16">
        <f t="shared" si="2"/>
        <v>1880.5513022409496</v>
      </c>
      <c r="FG21" s="16">
        <f t="shared" si="2"/>
        <v>1907.9379716910605</v>
      </c>
      <c r="FH21" s="16">
        <f t="shared" si="2"/>
        <v>1935.7234761331631</v>
      </c>
      <c r="FI21" s="16">
        <f t="shared" si="2"/>
        <v>1963.91362384384</v>
      </c>
      <c r="FJ21" s="16">
        <f t="shared" si="2"/>
        <v>1992.5143076862259</v>
      </c>
      <c r="FK21" s="16">
        <f t="shared" si="2"/>
        <v>2021.5315063418504</v>
      </c>
      <c r="FL21" s="16">
        <f t="shared" si="2"/>
        <v>2050.9712855604212</v>
      </c>
      <c r="FM21" s="16">
        <f t="shared" si="2"/>
        <v>2080.8397994278062</v>
      </c>
      <c r="FN21" s="16">
        <f t="shared" si="2"/>
        <v>2111.1432916524827</v>
      </c>
      <c r="FO21" s="16">
        <f t="shared" si="2"/>
        <v>2141.8880968707226</v>
      </c>
      <c r="FP21" s="16">
        <f t="shared" si="2"/>
        <v>2173.0806419707819</v>
      </c>
      <c r="FQ21" s="16">
        <f t="shared" si="2"/>
        <v>2204.7274474363758</v>
      </c>
      <c r="FR21" s="16">
        <f t="shared" si="2"/>
        <v>2236.8351287097212</v>
      </c>
      <c r="FS21" s="16">
        <f t="shared" si="2"/>
        <v>2269.4103975744256</v>
      </c>
      <c r="FT21" s="16">
        <f t="shared" si="2"/>
        <v>2302.4600635585193</v>
      </c>
      <c r="FU21" s="16">
        <f t="shared" si="2"/>
        <v>2335.9910353579153</v>
      </c>
      <c r="FV21" s="16">
        <f t="shared" si="2"/>
        <v>2370.0103222806033</v>
      </c>
      <c r="FW21" s="16">
        <f t="shared" si="2"/>
        <v>2404.5250357118739</v>
      </c>
      <c r="FX21" s="16">
        <f t="shared" si="2"/>
        <v>2439.5423906008814</v>
      </c>
      <c r="FY21" s="16">
        <f t="shared" si="2"/>
        <v>2475.0697069688554</v>
      </c>
      <c r="FZ21" s="16">
        <f t="shared" si="2"/>
        <v>2511.1144114392755</v>
      </c>
      <c r="GA21" s="16">
        <f t="shared" si="2"/>
        <v>2547.684038790333</v>
      </c>
      <c r="GB21" s="16">
        <f t="shared" si="2"/>
        <v>2584.7862335299983</v>
      </c>
      <c r="GC21" s="16">
        <f t="shared" si="2"/>
        <v>2622.4287514940274</v>
      </c>
      <c r="GD21" s="16">
        <f t="shared" si="2"/>
        <v>2660.6194614672413</v>
      </c>
      <c r="GE21" s="16">
        <f t="shared" si="2"/>
        <v>2699.3663468284144</v>
      </c>
      <c r="GF21" s="16">
        <f t="shared" si="2"/>
        <v>2738.6775072191194</v>
      </c>
      <c r="GG21" s="16">
        <f t="shared" si="2"/>
        <v>2778.5611602368735</v>
      </c>
      <c r="GH21" s="16">
        <f t="shared" si="2"/>
        <v>2819.0256431529442</v>
      </c>
      <c r="GI21" s="16">
        <f t="shared" si="2"/>
        <v>2860.0794146551716</v>
      </c>
      <c r="GJ21" s="16">
        <f t="shared" si="2"/>
        <v>2901.7310566161691</v>
      </c>
      <c r="GK21" s="16">
        <f t="shared" si="2"/>
        <v>2943.9892758872784</v>
      </c>
      <c r="GL21" s="16">
        <f t="shared" si="2"/>
        <v>2986.8629061186466</v>
      </c>
      <c r="GM21" s="16">
        <f t="shared" si="2"/>
        <v>3030.3609096058112</v>
      </c>
      <c r="GN21" s="16">
        <f t="shared" si="2"/>
        <v>3074.4923791631777</v>
      </c>
      <c r="GO21" s="16">
        <f t="shared" si="2"/>
        <v>3119.2665400247774</v>
      </c>
      <c r="GP21" s="16">
        <f t="shared" si="2"/>
        <v>3164.6927517727108</v>
      </c>
      <c r="GQ21" s="16">
        <f t="shared" si="2"/>
        <v>3210.7805102936723</v>
      </c>
      <c r="GR21" s="16">
        <f t="shared" ref="GR21:GX21" si="3">GQ24</f>
        <v>3257.5394497639686</v>
      </c>
      <c r="GS21" s="16">
        <f t="shared" si="3"/>
        <v>3304.979344663444</v>
      </c>
      <c r="GT21" s="16">
        <f t="shared" si="3"/>
        <v>3353.1101118187371</v>
      </c>
      <c r="GU21" s="16">
        <f t="shared" si="3"/>
        <v>3401.9418124762915</v>
      </c>
      <c r="GV21" s="16">
        <f t="shared" si="3"/>
        <v>3451.4846544055581</v>
      </c>
      <c r="GW21" s="16">
        <f t="shared" si="3"/>
        <v>3501.7489940328232</v>
      </c>
      <c r="GX21" s="16">
        <f t="shared" si="3"/>
        <v>3552.745338606117</v>
      </c>
    </row>
    <row r="22" spans="1:206">
      <c r="C22" t="s">
        <v>52</v>
      </c>
      <c r="E22" s="2">
        <f>F4</f>
        <v>0.11650485436893199</v>
      </c>
      <c r="G22" s="16">
        <f>$E$22*G21</f>
        <v>23.300970873786397</v>
      </c>
      <c r="H22" s="16">
        <f t="shared" ref="H22:BS22" si="4">$E$22*H21</f>
        <v>23.640305401074553</v>
      </c>
      <c r="I22" s="16">
        <f t="shared" si="4"/>
        <v>23.984581693323211</v>
      </c>
      <c r="J22" s="16">
        <f t="shared" si="4"/>
        <v>24.333871717983257</v>
      </c>
      <c r="K22" s="16">
        <f t="shared" si="4"/>
        <v>24.688248490575248</v>
      </c>
      <c r="L22" s="16">
        <f t="shared" si="4"/>
        <v>25.047786089952552</v>
      </c>
      <c r="M22" s="16">
        <f t="shared" si="4"/>
        <v>25.412559673786813</v>
      </c>
      <c r="N22" s="16">
        <f t="shared" si="4"/>
        <v>25.782645494278853</v>
      </c>
      <c r="O22" s="16">
        <f t="shared" si="4"/>
        <v>26.158120914098447</v>
      </c>
      <c r="P22" s="16">
        <f t="shared" si="4"/>
        <v>26.539064422556191</v>
      </c>
      <c r="Q22" s="16">
        <f t="shared" si="4"/>
        <v>26.925555652010889</v>
      </c>
      <c r="R22" s="16">
        <f t="shared" si="4"/>
        <v>27.317675394515902</v>
      </c>
      <c r="S22" s="16">
        <f t="shared" si="4"/>
        <v>27.71550561870788</v>
      </c>
      <c r="T22" s="16">
        <f t="shared" si="4"/>
        <v>28.119129486941493</v>
      </c>
      <c r="U22" s="16">
        <f t="shared" si="4"/>
        <v>28.528631372673654</v>
      </c>
      <c r="V22" s="16">
        <f t="shared" si="4"/>
        <v>28.94409687810094</v>
      </c>
      <c r="W22" s="16">
        <f t="shared" si="4"/>
        <v>29.365612852053868</v>
      </c>
      <c r="X22" s="16">
        <f t="shared" si="4"/>
        <v>29.793267408151738</v>
      </c>
      <c r="Y22" s="16">
        <f t="shared" si="4"/>
        <v>30.227149943221907</v>
      </c>
      <c r="Z22" s="16">
        <f t="shared" si="4"/>
        <v>30.667351155987273</v>
      </c>
      <c r="AA22" s="16">
        <f t="shared" si="4"/>
        <v>31.113963066025917</v>
      </c>
      <c r="AB22" s="16">
        <f t="shared" si="4"/>
        <v>31.567079033006877</v>
      </c>
      <c r="AC22" s="16">
        <f t="shared" si="4"/>
        <v>32.026793776206006</v>
      </c>
      <c r="AD22" s="16">
        <f t="shared" si="4"/>
        <v>32.493203394306093</v>
      </c>
      <c r="AE22" s="16">
        <f t="shared" si="4"/>
        <v>32.966405385485309</v>
      </c>
      <c r="AF22" s="16">
        <f t="shared" si="4"/>
        <v>33.446498667798203</v>
      </c>
      <c r="AG22" s="16">
        <f t="shared" si="4"/>
        <v>33.933583599853513</v>
      </c>
      <c r="AH22" s="16">
        <f t="shared" si="4"/>
        <v>34.427762001793127</v>
      </c>
      <c r="AI22" s="16">
        <f t="shared" si="4"/>
        <v>34.929137176576525</v>
      </c>
      <c r="AJ22" s="16">
        <f t="shared" si="4"/>
        <v>35.437813931575214</v>
      </c>
      <c r="AK22" s="16">
        <f t="shared" si="4"/>
        <v>35.953898600481644</v>
      </c>
      <c r="AL22" s="16">
        <f t="shared" si="4"/>
        <v>36.477499065537202</v>
      </c>
      <c r="AM22" s="16">
        <f t="shared" si="4"/>
        <v>37.00872478008386</v>
      </c>
      <c r="AN22" s="16">
        <f t="shared" si="4"/>
        <v>37.547686791444306</v>
      </c>
      <c r="AO22" s="16">
        <f t="shared" si="4"/>
        <v>38.094497764135241</v>
      </c>
      <c r="AP22" s="16">
        <f t="shared" si="4"/>
        <v>38.649272003418766</v>
      </c>
      <c r="AQ22" s="16">
        <f t="shared" si="4"/>
        <v>39.212125479196708</v>
      </c>
      <c r="AR22" s="16">
        <f t="shared" si="4"/>
        <v>39.783175850252967</v>
      </c>
      <c r="AS22" s="16">
        <f t="shared" si="4"/>
        <v>40.362542488848881</v>
      </c>
      <c r="AT22" s="16">
        <f t="shared" si="4"/>
        <v>40.950346505676777</v>
      </c>
      <c r="AU22" s="16">
        <f t="shared" si="4"/>
        <v>41.546710775176919</v>
      </c>
      <c r="AV22" s="16">
        <f t="shared" si="4"/>
        <v>42.151759961223185</v>
      </c>
      <c r="AW22" s="16">
        <f t="shared" si="4"/>
        <v>42.765620543182749</v>
      </c>
      <c r="AX22" s="16">
        <f t="shared" si="4"/>
        <v>43.388420842355316</v>
      </c>
      <c r="AY22" s="16">
        <f t="shared" si="4"/>
        <v>44.02029104879739</v>
      </c>
      <c r="AZ22" s="16">
        <f t="shared" si="4"/>
        <v>44.661363248537157</v>
      </c>
      <c r="BA22" s="16">
        <f t="shared" si="4"/>
        <v>45.311771451185756</v>
      </c>
      <c r="BB22" s="16">
        <f t="shared" si="4"/>
        <v>45.971651617950599</v>
      </c>
      <c r="BC22" s="16">
        <f t="shared" si="4"/>
        <v>46.641141690056671</v>
      </c>
      <c r="BD22" s="16">
        <f t="shared" si="4"/>
        <v>47.320381617581766</v>
      </c>
      <c r="BE22" s="16">
        <f t="shared" si="4"/>
        <v>48.009513388711589</v>
      </c>
      <c r="BF22" s="16">
        <f t="shared" si="4"/>
        <v>48.708681059420982</v>
      </c>
      <c r="BG22" s="16">
        <f t="shared" si="4"/>
        <v>49.418030783587305</v>
      </c>
      <c r="BH22" s="16">
        <f t="shared" si="4"/>
        <v>50.137710843542465</v>
      </c>
      <c r="BI22" s="16">
        <f t="shared" si="4"/>
        <v>50.867871681069779</v>
      </c>
      <c r="BJ22" s="16">
        <f t="shared" si="4"/>
        <v>51.608665928852353</v>
      </c>
      <c r="BK22" s="16">
        <f t="shared" si="4"/>
        <v>52.360248442379337</v>
      </c>
      <c r="BL22" s="16">
        <f t="shared" si="4"/>
        <v>53.122776332316896</v>
      </c>
      <c r="BM22" s="16">
        <f t="shared" si="4"/>
        <v>53.896408997350633</v>
      </c>
      <c r="BN22" s="16">
        <f t="shared" si="4"/>
        <v>54.681308157506216</v>
      </c>
      <c r="BO22" s="16">
        <f t="shared" si="4"/>
        <v>55.477637887955332</v>
      </c>
      <c r="BP22" s="16">
        <f t="shared" si="4"/>
        <v>56.285564653313905</v>
      </c>
      <c r="BQ22" s="16">
        <f t="shared" si="4"/>
        <v>57.105257342439842</v>
      </c>
      <c r="BR22" s="16">
        <f t="shared" si="4"/>
        <v>57.9368873037375</v>
      </c>
      <c r="BS22" s="16">
        <f t="shared" si="4"/>
        <v>58.780628380976403</v>
      </c>
      <c r="BT22" s="16">
        <f t="shared" ref="BT22:EE22" si="5">$E$22*BT21</f>
        <v>59.636656949631401</v>
      </c>
      <c r="BU22" s="16">
        <f t="shared" si="5"/>
        <v>60.50515195375224</v>
      </c>
      <c r="BV22" s="16">
        <f t="shared" si="5"/>
        <v>61.386294943370004</v>
      </c>
      <c r="BW22" s="16">
        <f t="shared" si="5"/>
        <v>62.2802701124482</v>
      </c>
      <c r="BX22" s="16">
        <f t="shared" si="5"/>
        <v>63.187264337386765</v>
      </c>
      <c r="BY22" s="16">
        <f t="shared" si="5"/>
        <v>64.107467216086562</v>
      </c>
      <c r="BZ22" s="16">
        <f t="shared" si="5"/>
        <v>65.041071107582979</v>
      </c>
      <c r="CA22" s="16">
        <f t="shared" si="5"/>
        <v>65.988271172256503</v>
      </c>
      <c r="CB22" s="16">
        <f t="shared" si="5"/>
        <v>66.949265412629174</v>
      </c>
      <c r="CC22" s="16">
        <f t="shared" si="5"/>
        <v>67.924254714754852</v>
      </c>
      <c r="CD22" s="16">
        <f t="shared" si="5"/>
        <v>68.913442890212451</v>
      </c>
      <c r="CE22" s="16">
        <f t="shared" si="5"/>
        <v>69.91703671871069</v>
      </c>
      <c r="CF22" s="16">
        <f t="shared" si="5"/>
        <v>70.93524599131328</v>
      </c>
      <c r="CG22" s="16">
        <f t="shared" si="5"/>
        <v>71.968283554293563</v>
      </c>
      <c r="CH22" s="16">
        <f t="shared" si="5"/>
        <v>73.016365353627933</v>
      </c>
      <c r="CI22" s="16">
        <f t="shared" si="5"/>
        <v>74.079710480137095</v>
      </c>
      <c r="CJ22" s="16">
        <f t="shared" si="5"/>
        <v>75.158541215284728</v>
      </c>
      <c r="CK22" s="16">
        <f t="shared" si="5"/>
        <v>76.25308307764324</v>
      </c>
      <c r="CL22" s="16">
        <f t="shared" si="5"/>
        <v>77.363564870036114</v>
      </c>
      <c r="CM22" s="16">
        <f t="shared" si="5"/>
        <v>78.490218727366738</v>
      </c>
      <c r="CN22" s="16">
        <f t="shared" si="5"/>
        <v>79.633280165143915</v>
      </c>
      <c r="CO22" s="16">
        <f t="shared" si="5"/>
        <v>80.792988128713972</v>
      </c>
      <c r="CP22" s="16">
        <f t="shared" si="5"/>
        <v>81.969585043209804</v>
      </c>
      <c r="CQ22" s="16">
        <f t="shared" si="5"/>
        <v>83.163316864227426</v>
      </c>
      <c r="CR22" s="16">
        <f t="shared" si="5"/>
        <v>84.374433129240444</v>
      </c>
      <c r="CS22" s="16">
        <f t="shared" si="5"/>
        <v>85.60318700976336</v>
      </c>
      <c r="CT22" s="16">
        <f t="shared" si="5"/>
        <v>86.849835364274483</v>
      </c>
      <c r="CU22" s="16">
        <f t="shared" si="5"/>
        <v>88.114638791909542</v>
      </c>
      <c r="CV22" s="16">
        <f t="shared" si="5"/>
        <v>89.397861686937347</v>
      </c>
      <c r="CW22" s="16">
        <f t="shared" si="5"/>
        <v>90.699772294028676</v>
      </c>
      <c r="CX22" s="16">
        <f t="shared" si="5"/>
        <v>92.020642764330063</v>
      </c>
      <c r="CY22" s="16">
        <f t="shared" si="5"/>
        <v>93.360749212354293</v>
      </c>
      <c r="CZ22" s="16">
        <f t="shared" si="5"/>
        <v>94.720371773699256</v>
      </c>
      <c r="DA22" s="16">
        <f t="shared" si="5"/>
        <v>96.099794663607497</v>
      </c>
      <c r="DB22" s="16">
        <f t="shared" si="5"/>
        <v>97.499306236378473</v>
      </c>
      <c r="DC22" s="16">
        <f t="shared" si="5"/>
        <v>98.919199045646138</v>
      </c>
      <c r="DD22" s="16">
        <f t="shared" si="5"/>
        <v>100.35976990553418</v>
      </c>
      <c r="DE22" s="16">
        <f t="shared" si="5"/>
        <v>101.82131995270215</v>
      </c>
      <c r="DF22" s="16">
        <f t="shared" si="5"/>
        <v>103.30415470929491</v>
      </c>
      <c r="DG22" s="16">
        <f t="shared" si="5"/>
        <v>104.80858414680893</v>
      </c>
      <c r="DH22" s="16">
        <f t="shared" si="5"/>
        <v>106.33492275088867</v>
      </c>
      <c r="DI22" s="16">
        <f t="shared" si="5"/>
        <v>107.88348958706665</v>
      </c>
      <c r="DJ22" s="16">
        <f t="shared" si="5"/>
        <v>109.45460836746081</v>
      </c>
      <c r="DK22" s="16">
        <f t="shared" si="5"/>
        <v>111.04860751844325</v>
      </c>
      <c r="DL22" s="16">
        <f t="shared" si="5"/>
        <v>112.66582024929437</v>
      </c>
      <c r="DM22" s="16">
        <f t="shared" si="5"/>
        <v>114.3065846218569</v>
      </c>
      <c r="DN22" s="16">
        <f t="shared" si="5"/>
        <v>115.97124362120432</v>
      </c>
      <c r="DO22" s="16">
        <f t="shared" si="5"/>
        <v>117.66014522733835</v>
      </c>
      <c r="DP22" s="16">
        <f t="shared" si="5"/>
        <v>119.37364248793064</v>
      </c>
      <c r="DQ22" s="16">
        <f t="shared" si="5"/>
        <v>121.11209359212381</v>
      </c>
      <c r="DR22" s="16">
        <f t="shared" si="5"/>
        <v>122.87586194540715</v>
      </c>
      <c r="DS22" s="16">
        <f t="shared" si="5"/>
        <v>124.665316245583</v>
      </c>
      <c r="DT22" s="16">
        <f t="shared" si="5"/>
        <v>126.48083055983905</v>
      </c>
      <c r="DU22" s="16">
        <f t="shared" si="5"/>
        <v>128.32278440294348</v>
      </c>
      <c r="DV22" s="16">
        <f t="shared" si="5"/>
        <v>130.19156281657857</v>
      </c>
      <c r="DW22" s="16">
        <f t="shared" si="5"/>
        <v>132.08755644982972</v>
      </c>
      <c r="DX22" s="16">
        <f t="shared" si="5"/>
        <v>134.01116164084664</v>
      </c>
      <c r="DY22" s="16">
        <f t="shared" si="5"/>
        <v>135.96278049969393</v>
      </c>
      <c r="DZ22" s="16">
        <f t="shared" si="5"/>
        <v>137.94282099240792</v>
      </c>
      <c r="EA22" s="16">
        <f t="shared" si="5"/>
        <v>139.95169702627794</v>
      </c>
      <c r="EB22" s="16">
        <f t="shared" si="5"/>
        <v>141.98982853636937</v>
      </c>
      <c r="EC22" s="16">
        <f t="shared" si="5"/>
        <v>144.05764157330677</v>
      </c>
      <c r="ED22" s="16">
        <f t="shared" si="5"/>
        <v>146.15556839233551</v>
      </c>
      <c r="EE22" s="16">
        <f t="shared" si="5"/>
        <v>148.28404754368017</v>
      </c>
      <c r="EF22" s="16">
        <f t="shared" ref="EF22:GQ22" si="6">$E$22*EF21</f>
        <v>150.44352396421922</v>
      </c>
      <c r="EG22" s="16">
        <f t="shared" si="6"/>
        <v>152.63444907049424</v>
      </c>
      <c r="EH22" s="16">
        <f t="shared" si="6"/>
        <v>154.85728085307426</v>
      </c>
      <c r="EI22" s="16">
        <f t="shared" si="6"/>
        <v>157.1124839722938</v>
      </c>
      <c r="EJ22" s="16">
        <f t="shared" si="6"/>
        <v>159.40052985538546</v>
      </c>
      <c r="EK22" s="16">
        <f t="shared" si="6"/>
        <v>161.72189679502699</v>
      </c>
      <c r="EL22" s="16">
        <f t="shared" si="6"/>
        <v>164.07707004932354</v>
      </c>
      <c r="EM22" s="16">
        <f t="shared" si="6"/>
        <v>166.46654194324572</v>
      </c>
      <c r="EN22" s="16">
        <f t="shared" si="6"/>
        <v>168.89081197154539</v>
      </c>
      <c r="EO22" s="16">
        <f t="shared" si="6"/>
        <v>171.35038690316983</v>
      </c>
      <c r="EP22" s="16">
        <f t="shared" si="6"/>
        <v>173.84578088719658</v>
      </c>
      <c r="EQ22" s="16">
        <f t="shared" si="6"/>
        <v>176.37751556031105</v>
      </c>
      <c r="ER22" s="16">
        <f t="shared" si="6"/>
        <v>178.94612015584957</v>
      </c>
      <c r="ES22" s="16">
        <f t="shared" si="6"/>
        <v>181.5521316144299</v>
      </c>
      <c r="ET22" s="16">
        <f t="shared" si="6"/>
        <v>184.19609469619346</v>
      </c>
      <c r="EU22" s="16">
        <f t="shared" si="6"/>
        <v>186.87856209468171</v>
      </c>
      <c r="EV22" s="16">
        <f t="shared" si="6"/>
        <v>189.60009455237127</v>
      </c>
      <c r="EW22" s="16">
        <f t="shared" si="6"/>
        <v>192.36126097789125</v>
      </c>
      <c r="EX22" s="16">
        <f t="shared" si="6"/>
        <v>195.16263856494791</v>
      </c>
      <c r="EY22" s="16">
        <f t="shared" si="6"/>
        <v>198.00481291298112</v>
      </c>
      <c r="EZ22" s="16">
        <f t="shared" si="6"/>
        <v>200.88837814957793</v>
      </c>
      <c r="FA22" s="16">
        <f t="shared" si="6"/>
        <v>203.81393705466886</v>
      </c>
      <c r="FB22" s="16">
        <f t="shared" si="6"/>
        <v>206.78210118653297</v>
      </c>
      <c r="FC22" s="16">
        <f t="shared" si="6"/>
        <v>209.79349100963785</v>
      </c>
      <c r="FD22" s="16">
        <f t="shared" si="6"/>
        <v>212.84873602434129</v>
      </c>
      <c r="FE22" s="16">
        <f t="shared" si="6"/>
        <v>215.94847489848217</v>
      </c>
      <c r="FF22" s="16">
        <f t="shared" si="6"/>
        <v>219.09335560088724</v>
      </c>
      <c r="FG22" s="16">
        <f t="shared" si="6"/>
        <v>222.28403553682247</v>
      </c>
      <c r="FH22" s="16">
        <f t="shared" si="6"/>
        <v>225.52118168541696</v>
      </c>
      <c r="FI22" s="16">
        <f t="shared" si="6"/>
        <v>228.80547073908807</v>
      </c>
      <c r="FJ22" s="16">
        <f t="shared" si="6"/>
        <v>232.13758924499709</v>
      </c>
      <c r="FK22" s="16">
        <f t="shared" si="6"/>
        <v>235.518233748565</v>
      </c>
      <c r="FL22" s="16">
        <f t="shared" si="6"/>
        <v>238.94811093907808</v>
      </c>
      <c r="FM22" s="16">
        <f t="shared" si="6"/>
        <v>242.42793779741419</v>
      </c>
      <c r="FN22" s="16">
        <f t="shared" si="6"/>
        <v>245.9584417459202</v>
      </c>
      <c r="FO22" s="16">
        <f t="shared" si="6"/>
        <v>249.54036080047243</v>
      </c>
      <c r="FP22" s="16">
        <f t="shared" si="6"/>
        <v>253.17444372475117</v>
      </c>
      <c r="FQ22" s="16">
        <f t="shared" si="6"/>
        <v>256.86145018676211</v>
      </c>
      <c r="FR22" s="16">
        <f t="shared" si="6"/>
        <v>260.60215091763729</v>
      </c>
      <c r="FS22" s="16">
        <f t="shared" si="6"/>
        <v>264.39732787274852</v>
      </c>
      <c r="FT22" s="16">
        <f t="shared" si="6"/>
        <v>268.2477743951672</v>
      </c>
      <c r="FU22" s="16">
        <f t="shared" si="6"/>
        <v>272.1542953815046</v>
      </c>
      <c r="FV22" s="16">
        <f t="shared" si="6"/>
        <v>276.11770745016725</v>
      </c>
      <c r="FW22" s="16">
        <f t="shared" si="6"/>
        <v>280.13883911206284</v>
      </c>
      <c r="FX22" s="16">
        <f t="shared" si="6"/>
        <v>284.2185309437919</v>
      </c>
      <c r="FY22" s="16">
        <f t="shared" si="6"/>
        <v>288.35763576336166</v>
      </c>
      <c r="FZ22" s="16">
        <f t="shared" si="6"/>
        <v>292.55701880845913</v>
      </c>
      <c r="GA22" s="16">
        <f t="shared" si="6"/>
        <v>296.81755791732024</v>
      </c>
      <c r="GB22" s="16">
        <f t="shared" si="6"/>
        <v>301.14014371223266</v>
      </c>
      <c r="GC22" s="16">
        <f t="shared" si="6"/>
        <v>305.52567978571182</v>
      </c>
      <c r="GD22" s="16">
        <f t="shared" si="6"/>
        <v>309.97508288938718</v>
      </c>
      <c r="GE22" s="16">
        <f t="shared" si="6"/>
        <v>314.48928312564038</v>
      </c>
      <c r="GF22" s="16">
        <f t="shared" si="6"/>
        <v>319.06922414203319</v>
      </c>
      <c r="GG22" s="16">
        <f t="shared" si="6"/>
        <v>323.71586332856765</v>
      </c>
      <c r="GH22" s="16">
        <f t="shared" si="6"/>
        <v>328.43017201781862</v>
      </c>
      <c r="GI22" s="16">
        <f t="shared" si="6"/>
        <v>333.21313568798104</v>
      </c>
      <c r="GJ22" s="16">
        <f t="shared" si="6"/>
        <v>338.06575416887392</v>
      </c>
      <c r="GK22" s="16">
        <f t="shared" si="6"/>
        <v>342.98904185094489</v>
      </c>
      <c r="GL22" s="16">
        <f t="shared" si="6"/>
        <v>347.9840278973179</v>
      </c>
      <c r="GM22" s="16">
        <f t="shared" si="6"/>
        <v>353.05175645892933</v>
      </c>
      <c r="GN22" s="16">
        <f t="shared" si="6"/>
        <v>358.19328689279723</v>
      </c>
      <c r="GO22" s="16">
        <f t="shared" si="6"/>
        <v>363.40969398346908</v>
      </c>
      <c r="GP22" s="16">
        <f t="shared" si="6"/>
        <v>368.70206816769428</v>
      </c>
      <c r="GQ22" s="16">
        <f t="shared" si="6"/>
        <v>374.07151576236942</v>
      </c>
      <c r="GR22" s="16">
        <f t="shared" ref="GR22:GX22" si="7">$E$22*GR21</f>
        <v>379.51915919580199</v>
      </c>
      <c r="GS22" s="16">
        <f t="shared" si="7"/>
        <v>385.04613724234281</v>
      </c>
      <c r="GT22" s="16">
        <f t="shared" si="7"/>
        <v>390.6536052604352</v>
      </c>
      <c r="GU22" s="16">
        <f t="shared" si="7"/>
        <v>396.34273543413087</v>
      </c>
      <c r="GV22" s="16">
        <f t="shared" si="7"/>
        <v>402.11471701812309</v>
      </c>
      <c r="GW22" s="16">
        <f t="shared" si="7"/>
        <v>407.97075658634816</v>
      </c>
      <c r="GX22" s="16">
        <f t="shared" si="7"/>
        <v>413.91207828420761</v>
      </c>
    </row>
    <row r="23" spans="1:206">
      <c r="C23" t="s">
        <v>53</v>
      </c>
      <c r="E23" s="2">
        <f>F7</f>
        <v>0.875</v>
      </c>
      <c r="G23" s="16">
        <f>G22*$E$23</f>
        <v>20.388349514563096</v>
      </c>
      <c r="H23" s="16">
        <f t="shared" ref="H23:BS23" si="8">H22*$E$23</f>
        <v>20.685267225940233</v>
      </c>
      <c r="I23" s="16">
        <f t="shared" si="8"/>
        <v>20.98650898165781</v>
      </c>
      <c r="J23" s="16">
        <f t="shared" si="8"/>
        <v>21.292137753235352</v>
      </c>
      <c r="K23" s="16">
        <f t="shared" si="8"/>
        <v>21.602217429253344</v>
      </c>
      <c r="L23" s="16">
        <f t="shared" si="8"/>
        <v>21.916812828708483</v>
      </c>
      <c r="M23" s="16">
        <f t="shared" si="8"/>
        <v>22.235989714563463</v>
      </c>
      <c r="N23" s="16">
        <f t="shared" si="8"/>
        <v>22.559814807493996</v>
      </c>
      <c r="O23" s="16">
        <f t="shared" si="8"/>
        <v>22.888355799836141</v>
      </c>
      <c r="P23" s="16">
        <f t="shared" si="8"/>
        <v>23.221681369736668</v>
      </c>
      <c r="Q23" s="16">
        <f t="shared" si="8"/>
        <v>23.559861195509527</v>
      </c>
      <c r="R23" s="16">
        <f t="shared" si="8"/>
        <v>23.902965970201414</v>
      </c>
      <c r="S23" s="16">
        <f t="shared" si="8"/>
        <v>24.251067416369395</v>
      </c>
      <c r="T23" s="16">
        <f t="shared" si="8"/>
        <v>24.604238301073806</v>
      </c>
      <c r="U23" s="16">
        <f t="shared" si="8"/>
        <v>24.962552451089447</v>
      </c>
      <c r="V23" s="16">
        <f t="shared" si="8"/>
        <v>25.326084768338323</v>
      </c>
      <c r="W23" s="16">
        <f t="shared" si="8"/>
        <v>25.694911245547136</v>
      </c>
      <c r="X23" s="16">
        <f t="shared" si="8"/>
        <v>26.069108982132772</v>
      </c>
      <c r="Y23" s="16">
        <f t="shared" si="8"/>
        <v>26.448756200319167</v>
      </c>
      <c r="Z23" s="16">
        <f t="shared" si="8"/>
        <v>26.833932261488865</v>
      </c>
      <c r="AA23" s="16">
        <f t="shared" si="8"/>
        <v>27.224717682772678</v>
      </c>
      <c r="AB23" s="16">
        <f t="shared" si="8"/>
        <v>27.621194153881017</v>
      </c>
      <c r="AC23" s="16">
        <f t="shared" si="8"/>
        <v>28.023444554180255</v>
      </c>
      <c r="AD23" s="16">
        <f t="shared" si="8"/>
        <v>28.431552970017833</v>
      </c>
      <c r="AE23" s="16">
        <f t="shared" si="8"/>
        <v>28.845604712299647</v>
      </c>
      <c r="AF23" s="16">
        <f t="shared" si="8"/>
        <v>29.265686334323426</v>
      </c>
      <c r="AG23" s="16">
        <f t="shared" si="8"/>
        <v>29.691885649871825</v>
      </c>
      <c r="AH23" s="16">
        <f t="shared" si="8"/>
        <v>30.124291751568986</v>
      </c>
      <c r="AI23" s="16">
        <f t="shared" si="8"/>
        <v>30.56299502950446</v>
      </c>
      <c r="AJ23" s="16">
        <f t="shared" si="8"/>
        <v>31.008087190128311</v>
      </c>
      <c r="AK23" s="16">
        <f t="shared" si="8"/>
        <v>31.459661275421439</v>
      </c>
      <c r="AL23" s="16">
        <f t="shared" si="8"/>
        <v>31.917811682345054</v>
      </c>
      <c r="AM23" s="16">
        <f t="shared" si="8"/>
        <v>32.382634182573376</v>
      </c>
      <c r="AN23" s="16">
        <f t="shared" si="8"/>
        <v>32.854225942513764</v>
      </c>
      <c r="AO23" s="16">
        <f t="shared" si="8"/>
        <v>33.332685543618339</v>
      </c>
      <c r="AP23" s="16">
        <f t="shared" si="8"/>
        <v>33.818113002991417</v>
      </c>
      <c r="AQ23" s="16">
        <f t="shared" si="8"/>
        <v>34.310609794297122</v>
      </c>
      <c r="AR23" s="16">
        <f t="shared" si="8"/>
        <v>34.810278868971345</v>
      </c>
      <c r="AS23" s="16">
        <f t="shared" si="8"/>
        <v>35.317224677742772</v>
      </c>
      <c r="AT23" s="16">
        <f t="shared" si="8"/>
        <v>35.831553192467183</v>
      </c>
      <c r="AU23" s="16">
        <f t="shared" si="8"/>
        <v>36.353371928279806</v>
      </c>
      <c r="AV23" s="16">
        <f t="shared" si="8"/>
        <v>36.882789966070284</v>
      </c>
      <c r="AW23" s="16">
        <f t="shared" si="8"/>
        <v>37.419917975284903</v>
      </c>
      <c r="AX23" s="16">
        <f t="shared" si="8"/>
        <v>37.964868237060898</v>
      </c>
      <c r="AY23" s="16">
        <f t="shared" si="8"/>
        <v>38.517754667697716</v>
      </c>
      <c r="AZ23" s="16">
        <f t="shared" si="8"/>
        <v>39.078692842470012</v>
      </c>
      <c r="BA23" s="16">
        <f t="shared" si="8"/>
        <v>39.647800019787539</v>
      </c>
      <c r="BB23" s="16">
        <f t="shared" si="8"/>
        <v>40.225195165706772</v>
      </c>
      <c r="BC23" s="16">
        <f t="shared" si="8"/>
        <v>40.810998978799589</v>
      </c>
      <c r="BD23" s="16">
        <f t="shared" si="8"/>
        <v>41.405333915384048</v>
      </c>
      <c r="BE23" s="16">
        <f t="shared" si="8"/>
        <v>42.008324215122641</v>
      </c>
      <c r="BF23" s="16">
        <f t="shared" si="8"/>
        <v>42.620095926993358</v>
      </c>
      <c r="BG23" s="16">
        <f t="shared" si="8"/>
        <v>43.240776935638891</v>
      </c>
      <c r="BH23" s="16">
        <f t="shared" si="8"/>
        <v>43.87049698809966</v>
      </c>
      <c r="BI23" s="16">
        <f t="shared" si="8"/>
        <v>44.509387720936054</v>
      </c>
      <c r="BJ23" s="16">
        <f t="shared" si="8"/>
        <v>45.157582687745808</v>
      </c>
      <c r="BK23" s="16">
        <f t="shared" si="8"/>
        <v>45.815217387081923</v>
      </c>
      <c r="BL23" s="16">
        <f t="shared" si="8"/>
        <v>46.482429290777283</v>
      </c>
      <c r="BM23" s="16">
        <f t="shared" si="8"/>
        <v>47.159357872681802</v>
      </c>
      <c r="BN23" s="16">
        <f t="shared" si="8"/>
        <v>47.846144637817936</v>
      </c>
      <c r="BO23" s="16">
        <f t="shared" si="8"/>
        <v>48.542933151960916</v>
      </c>
      <c r="BP23" s="16">
        <f t="shared" si="8"/>
        <v>49.24986907164967</v>
      </c>
      <c r="BQ23" s="16">
        <f t="shared" si="8"/>
        <v>49.967100174634865</v>
      </c>
      <c r="BR23" s="16">
        <f t="shared" si="8"/>
        <v>50.694776390770315</v>
      </c>
      <c r="BS23" s="16">
        <f t="shared" si="8"/>
        <v>51.433049833354353</v>
      </c>
      <c r="BT23" s="16">
        <f t="shared" ref="BT23:EE23" si="9">BT22*$E$23</f>
        <v>52.182074830927476</v>
      </c>
      <c r="BU23" s="16">
        <f t="shared" si="9"/>
        <v>52.942007959533207</v>
      </c>
      <c r="BV23" s="16">
        <f t="shared" si="9"/>
        <v>53.713008075448755</v>
      </c>
      <c r="BW23" s="16">
        <f t="shared" si="9"/>
        <v>54.495236348392176</v>
      </c>
      <c r="BX23" s="16">
        <f t="shared" si="9"/>
        <v>55.288856295213421</v>
      </c>
      <c r="BY23" s="16">
        <f t="shared" si="9"/>
        <v>56.094033814075743</v>
      </c>
      <c r="BZ23" s="16">
        <f t="shared" si="9"/>
        <v>56.910937219135107</v>
      </c>
      <c r="CA23" s="16">
        <f t="shared" si="9"/>
        <v>57.739737275724437</v>
      </c>
      <c r="CB23" s="16">
        <f t="shared" si="9"/>
        <v>58.580607236050525</v>
      </c>
      <c r="CC23" s="16">
        <f t="shared" si="9"/>
        <v>59.433722875410496</v>
      </c>
      <c r="CD23" s="16">
        <f t="shared" si="9"/>
        <v>60.299262528935898</v>
      </c>
      <c r="CE23" s="16">
        <f t="shared" si="9"/>
        <v>61.177407128871856</v>
      </c>
      <c r="CF23" s="16">
        <f t="shared" si="9"/>
        <v>62.068340242399117</v>
      </c>
      <c r="CG23" s="16">
        <f t="shared" si="9"/>
        <v>62.972248110006866</v>
      </c>
      <c r="CH23" s="16">
        <f t="shared" si="9"/>
        <v>63.889319684424443</v>
      </c>
      <c r="CI23" s="16">
        <f t="shared" si="9"/>
        <v>64.819746670119955</v>
      </c>
      <c r="CJ23" s="16">
        <f t="shared" si="9"/>
        <v>65.763723563374143</v>
      </c>
      <c r="CK23" s="16">
        <f t="shared" si="9"/>
        <v>66.721447692937829</v>
      </c>
      <c r="CL23" s="16">
        <f t="shared" si="9"/>
        <v>67.693119261281595</v>
      </c>
      <c r="CM23" s="16">
        <f t="shared" si="9"/>
        <v>68.678941386445899</v>
      </c>
      <c r="CN23" s="16">
        <f t="shared" si="9"/>
        <v>69.679120144500928</v>
      </c>
      <c r="CO23" s="16">
        <f t="shared" si="9"/>
        <v>70.693864612624722</v>
      </c>
      <c r="CP23" s="16">
        <f t="shared" si="9"/>
        <v>71.723386912808579</v>
      </c>
      <c r="CQ23" s="16">
        <f t="shared" si="9"/>
        <v>72.767902256198994</v>
      </c>
      <c r="CR23" s="16">
        <f t="shared" si="9"/>
        <v>73.827628988085394</v>
      </c>
      <c r="CS23" s="16">
        <f t="shared" si="9"/>
        <v>74.90278863354294</v>
      </c>
      <c r="CT23" s="16">
        <f t="shared" si="9"/>
        <v>75.993605943740178</v>
      </c>
      <c r="CU23" s="16">
        <f t="shared" si="9"/>
        <v>77.100308942920847</v>
      </c>
      <c r="CV23" s="16">
        <f t="shared" si="9"/>
        <v>78.223128976070171</v>
      </c>
      <c r="CW23" s="16">
        <f t="shared" si="9"/>
        <v>79.362300757275094</v>
      </c>
      <c r="CX23" s="16">
        <f t="shared" si="9"/>
        <v>80.518062418788801</v>
      </c>
      <c r="CY23" s="16">
        <f t="shared" si="9"/>
        <v>81.690655560810001</v>
      </c>
      <c r="CZ23" s="16">
        <f t="shared" si="9"/>
        <v>82.880325301986844</v>
      </c>
      <c r="DA23" s="16">
        <f t="shared" si="9"/>
        <v>84.087320330656553</v>
      </c>
      <c r="DB23" s="16">
        <f t="shared" si="9"/>
        <v>85.311892956831159</v>
      </c>
      <c r="DC23" s="16">
        <f t="shared" si="9"/>
        <v>86.554299164940375</v>
      </c>
      <c r="DD23" s="16">
        <f t="shared" si="9"/>
        <v>87.814798667342401</v>
      </c>
      <c r="DE23" s="16">
        <f t="shared" si="9"/>
        <v>89.09365495861438</v>
      </c>
      <c r="DF23" s="16">
        <f t="shared" si="9"/>
        <v>90.391135370633037</v>
      </c>
      <c r="DG23" s="16">
        <f t="shared" si="9"/>
        <v>91.70751112845781</v>
      </c>
      <c r="DH23" s="16">
        <f t="shared" si="9"/>
        <v>93.04305740702759</v>
      </c>
      <c r="DI23" s="16">
        <f t="shared" si="9"/>
        <v>94.398053388683323</v>
      </c>
      <c r="DJ23" s="16">
        <f t="shared" si="9"/>
        <v>95.772782321528211</v>
      </c>
      <c r="DK23" s="16">
        <f t="shared" si="9"/>
        <v>97.167531578637835</v>
      </c>
      <c r="DL23" s="16">
        <f t="shared" si="9"/>
        <v>98.582592718132574</v>
      </c>
      <c r="DM23" s="16">
        <f t="shared" si="9"/>
        <v>100.01826154412478</v>
      </c>
      <c r="DN23" s="16">
        <f t="shared" si="9"/>
        <v>101.47483816855379</v>
      </c>
      <c r="DO23" s="16">
        <f t="shared" si="9"/>
        <v>102.95262707392105</v>
      </c>
      <c r="DP23" s="16">
        <f t="shared" si="9"/>
        <v>104.45193717693931</v>
      </c>
      <c r="DQ23" s="16">
        <f t="shared" si="9"/>
        <v>105.97308189310834</v>
      </c>
      <c r="DR23" s="16">
        <f t="shared" si="9"/>
        <v>107.51637920223126</v>
      </c>
      <c r="DS23" s="16">
        <f t="shared" si="9"/>
        <v>109.08215171488513</v>
      </c>
      <c r="DT23" s="16">
        <f t="shared" si="9"/>
        <v>110.67072673985916</v>
      </c>
      <c r="DU23" s="16">
        <f t="shared" si="9"/>
        <v>112.28243635257554</v>
      </c>
      <c r="DV23" s="16">
        <f t="shared" si="9"/>
        <v>113.91761746450625</v>
      </c>
      <c r="DW23" s="16">
        <f t="shared" si="9"/>
        <v>115.57661189360101</v>
      </c>
      <c r="DX23" s="16">
        <f t="shared" si="9"/>
        <v>117.2597664357408</v>
      </c>
      <c r="DY23" s="16">
        <f t="shared" si="9"/>
        <v>118.96743293723219</v>
      </c>
      <c r="DZ23" s="16">
        <f t="shared" si="9"/>
        <v>120.69996836835693</v>
      </c>
      <c r="EA23" s="16">
        <f t="shared" si="9"/>
        <v>122.45773489799319</v>
      </c>
      <c r="EB23" s="16">
        <f t="shared" si="9"/>
        <v>124.2410999693232</v>
      </c>
      <c r="EC23" s="16">
        <f t="shared" si="9"/>
        <v>126.05043637664342</v>
      </c>
      <c r="ED23" s="16">
        <f t="shared" si="9"/>
        <v>127.88612234329358</v>
      </c>
      <c r="EE23" s="16">
        <f t="shared" si="9"/>
        <v>129.74854160072016</v>
      </c>
      <c r="EF23" s="16">
        <f t="shared" ref="EF23:GQ23" si="10">EF22*$E$23</f>
        <v>131.63808346869183</v>
      </c>
      <c r="EG23" s="16">
        <f t="shared" si="10"/>
        <v>133.55514293668247</v>
      </c>
      <c r="EH23" s="16">
        <f t="shared" si="10"/>
        <v>135.50012074643996</v>
      </c>
      <c r="EI23" s="16">
        <f t="shared" si="10"/>
        <v>137.47342347575707</v>
      </c>
      <c r="EJ23" s="16">
        <f t="shared" si="10"/>
        <v>139.47546362346228</v>
      </c>
      <c r="EK23" s="16">
        <f t="shared" si="10"/>
        <v>141.50665969564861</v>
      </c>
      <c r="EL23" s="16">
        <f t="shared" si="10"/>
        <v>143.5674362931581</v>
      </c>
      <c r="EM23" s="16">
        <f t="shared" si="10"/>
        <v>145.65822420033999</v>
      </c>
      <c r="EN23" s="16">
        <f t="shared" si="10"/>
        <v>147.77946047510221</v>
      </c>
      <c r="EO23" s="16">
        <f t="shared" si="10"/>
        <v>149.93158854027359</v>
      </c>
      <c r="EP23" s="16">
        <f t="shared" si="10"/>
        <v>152.11505827629702</v>
      </c>
      <c r="EQ23" s="16">
        <f t="shared" si="10"/>
        <v>154.33032611527216</v>
      </c>
      <c r="ER23" s="16">
        <f t="shared" si="10"/>
        <v>156.57785513636838</v>
      </c>
      <c r="ES23" s="16">
        <f t="shared" si="10"/>
        <v>158.85811516262615</v>
      </c>
      <c r="ET23" s="16">
        <f t="shared" si="10"/>
        <v>161.17158285916926</v>
      </c>
      <c r="EU23" s="16">
        <f t="shared" si="10"/>
        <v>163.5187418328465</v>
      </c>
      <c r="EV23" s="16">
        <f t="shared" si="10"/>
        <v>165.90008273332487</v>
      </c>
      <c r="EW23" s="16">
        <f t="shared" si="10"/>
        <v>168.31610335565483</v>
      </c>
      <c r="EX23" s="16">
        <f t="shared" si="10"/>
        <v>170.76730874432943</v>
      </c>
      <c r="EY23" s="16">
        <f t="shared" si="10"/>
        <v>173.25421129885848</v>
      </c>
      <c r="EZ23" s="16">
        <f t="shared" si="10"/>
        <v>175.7773308808807</v>
      </c>
      <c r="FA23" s="16">
        <f t="shared" si="10"/>
        <v>178.33719492283524</v>
      </c>
      <c r="FB23" s="16">
        <f t="shared" si="10"/>
        <v>180.93433853821634</v>
      </c>
      <c r="FC23" s="16">
        <f t="shared" si="10"/>
        <v>183.56930463343312</v>
      </c>
      <c r="FD23" s="16">
        <f t="shared" si="10"/>
        <v>186.24264402129864</v>
      </c>
      <c r="FE23" s="16">
        <f t="shared" si="10"/>
        <v>188.95491553617191</v>
      </c>
      <c r="FF23" s="16">
        <f t="shared" si="10"/>
        <v>191.70668615077633</v>
      </c>
      <c r="FG23" s="16">
        <f t="shared" si="10"/>
        <v>194.49853109471965</v>
      </c>
      <c r="FH23" s="16">
        <f t="shared" si="10"/>
        <v>197.33103397473985</v>
      </c>
      <c r="FI23" s="16">
        <f t="shared" si="10"/>
        <v>200.20478689670205</v>
      </c>
      <c r="FJ23" s="16">
        <f t="shared" si="10"/>
        <v>203.12039058937245</v>
      </c>
      <c r="FK23" s="16">
        <f t="shared" si="10"/>
        <v>206.07845452999436</v>
      </c>
      <c r="FL23" s="16">
        <f t="shared" si="10"/>
        <v>209.07959707169331</v>
      </c>
      <c r="FM23" s="16">
        <f t="shared" si="10"/>
        <v>212.12444557273741</v>
      </c>
      <c r="FN23" s="16">
        <f t="shared" si="10"/>
        <v>215.21363652768017</v>
      </c>
      <c r="FO23" s="16">
        <f t="shared" si="10"/>
        <v>218.34781570041338</v>
      </c>
      <c r="FP23" s="16">
        <f t="shared" si="10"/>
        <v>221.52763825915727</v>
      </c>
      <c r="FQ23" s="16">
        <f t="shared" si="10"/>
        <v>224.75376891341685</v>
      </c>
      <c r="FR23" s="16">
        <f t="shared" si="10"/>
        <v>228.02688205293262</v>
      </c>
      <c r="FS23" s="16">
        <f t="shared" si="10"/>
        <v>231.34766188865495</v>
      </c>
      <c r="FT23" s="16">
        <f t="shared" si="10"/>
        <v>234.7168025957713</v>
      </c>
      <c r="FU23" s="16">
        <f t="shared" si="10"/>
        <v>238.13500845881651</v>
      </c>
      <c r="FV23" s="16">
        <f t="shared" si="10"/>
        <v>241.60299401889634</v>
      </c>
      <c r="FW23" s="16">
        <f t="shared" si="10"/>
        <v>245.12148422305498</v>
      </c>
      <c r="FX23" s="16">
        <f t="shared" si="10"/>
        <v>248.69121457581792</v>
      </c>
      <c r="FY23" s="16">
        <f t="shared" si="10"/>
        <v>252.31293129294144</v>
      </c>
      <c r="FZ23" s="16">
        <f t="shared" si="10"/>
        <v>255.98739145740174</v>
      </c>
      <c r="GA23" s="16">
        <f t="shared" si="10"/>
        <v>259.71536317765521</v>
      </c>
      <c r="GB23" s="16">
        <f t="shared" si="10"/>
        <v>263.49762574820357</v>
      </c>
      <c r="GC23" s="16">
        <f t="shared" si="10"/>
        <v>267.33496981249783</v>
      </c>
      <c r="GD23" s="16">
        <f t="shared" si="10"/>
        <v>271.2281975282138</v>
      </c>
      <c r="GE23" s="16">
        <f t="shared" si="10"/>
        <v>275.17812273493536</v>
      </c>
      <c r="GF23" s="16">
        <f t="shared" si="10"/>
        <v>279.18557112427902</v>
      </c>
      <c r="GG23" s="16">
        <f t="shared" si="10"/>
        <v>283.2513804124967</v>
      </c>
      <c r="GH23" s="16">
        <f t="shared" si="10"/>
        <v>287.37640051559129</v>
      </c>
      <c r="GI23" s="16">
        <f t="shared" si="10"/>
        <v>291.56149372698343</v>
      </c>
      <c r="GJ23" s="16">
        <f t="shared" si="10"/>
        <v>295.8075348977647</v>
      </c>
      <c r="GK23" s="16">
        <f t="shared" si="10"/>
        <v>300.11541161957678</v>
      </c>
      <c r="GL23" s="16">
        <f t="shared" si="10"/>
        <v>304.48602441015316</v>
      </c>
      <c r="GM23" s="16">
        <f t="shared" si="10"/>
        <v>308.92028690156314</v>
      </c>
      <c r="GN23" s="16">
        <f t="shared" si="10"/>
        <v>313.41912603119761</v>
      </c>
      <c r="GO23" s="16">
        <f t="shared" si="10"/>
        <v>317.98348223553546</v>
      </c>
      <c r="GP23" s="16">
        <f t="shared" si="10"/>
        <v>322.61430964673252</v>
      </c>
      <c r="GQ23" s="16">
        <f t="shared" si="10"/>
        <v>327.31257629207323</v>
      </c>
      <c r="GR23" s="16">
        <f t="shared" ref="GR23:GX23" si="11">GR22*$E$23</f>
        <v>332.07926429632676</v>
      </c>
      <c r="GS23" s="16">
        <f t="shared" si="11"/>
        <v>336.91537008704995</v>
      </c>
      <c r="GT23" s="16">
        <f t="shared" si="11"/>
        <v>341.82190460288081</v>
      </c>
      <c r="GU23" s="16">
        <f t="shared" si="11"/>
        <v>346.79989350486449</v>
      </c>
      <c r="GV23" s="16">
        <f t="shared" si="11"/>
        <v>351.85037739085772</v>
      </c>
      <c r="GW23" s="16">
        <f t="shared" si="11"/>
        <v>356.97441201305463</v>
      </c>
      <c r="GX23" s="16">
        <f t="shared" si="11"/>
        <v>362.17306849868169</v>
      </c>
    </row>
    <row r="24" spans="1:206">
      <c r="C24" t="s">
        <v>54</v>
      </c>
      <c r="F24">
        <f>K4</f>
        <v>200</v>
      </c>
      <c r="G24" s="16">
        <f>G21+G22-G23</f>
        <v>202.91262135922332</v>
      </c>
      <c r="H24" s="16">
        <f t="shared" ref="H24:BS24" si="12">H21+H22-H23</f>
        <v>205.86765953435764</v>
      </c>
      <c r="I24" s="16">
        <f t="shared" si="12"/>
        <v>208.86573224602304</v>
      </c>
      <c r="J24" s="16">
        <f t="shared" si="12"/>
        <v>211.90746621077096</v>
      </c>
      <c r="K24" s="16">
        <f t="shared" si="12"/>
        <v>214.99349727209284</v>
      </c>
      <c r="L24" s="16">
        <f t="shared" si="12"/>
        <v>218.1244705333369</v>
      </c>
      <c r="M24" s="16">
        <f t="shared" si="12"/>
        <v>221.30104049256025</v>
      </c>
      <c r="N24" s="16">
        <f t="shared" si="12"/>
        <v>224.52387117934509</v>
      </c>
      <c r="O24" s="16">
        <f t="shared" si="12"/>
        <v>227.79363629360739</v>
      </c>
      <c r="P24" s="16">
        <f t="shared" si="12"/>
        <v>231.1110193464269</v>
      </c>
      <c r="Q24" s="16">
        <f t="shared" si="12"/>
        <v>234.47671380292826</v>
      </c>
      <c r="R24" s="16">
        <f t="shared" si="12"/>
        <v>237.89142322724274</v>
      </c>
      <c r="S24" s="16">
        <f t="shared" si="12"/>
        <v>241.35586142958124</v>
      </c>
      <c r="T24" s="16">
        <f t="shared" si="12"/>
        <v>244.87075261544896</v>
      </c>
      <c r="U24" s="16">
        <f t="shared" si="12"/>
        <v>248.43683153703319</v>
      </c>
      <c r="V24" s="16">
        <f t="shared" si="12"/>
        <v>252.0548436467958</v>
      </c>
      <c r="W24" s="16">
        <f t="shared" si="12"/>
        <v>255.72554525330253</v>
      </c>
      <c r="X24" s="16">
        <f t="shared" si="12"/>
        <v>259.44970367932149</v>
      </c>
      <c r="Y24" s="16">
        <f t="shared" si="12"/>
        <v>263.22809742222421</v>
      </c>
      <c r="Z24" s="16">
        <f t="shared" si="12"/>
        <v>267.06151631672259</v>
      </c>
      <c r="AA24" s="16">
        <f t="shared" si="12"/>
        <v>270.95076169997583</v>
      </c>
      <c r="AB24" s="16">
        <f t="shared" si="12"/>
        <v>274.89664657910168</v>
      </c>
      <c r="AC24" s="16">
        <f t="shared" si="12"/>
        <v>278.89999580112743</v>
      </c>
      <c r="AD24" s="16">
        <f t="shared" si="12"/>
        <v>282.96164622541568</v>
      </c>
      <c r="AE24" s="16">
        <f t="shared" si="12"/>
        <v>287.08244689860135</v>
      </c>
      <c r="AF24" s="16">
        <f t="shared" si="12"/>
        <v>291.26325923207611</v>
      </c>
      <c r="AG24" s="16">
        <f t="shared" si="12"/>
        <v>295.50495718205781</v>
      </c>
      <c r="AH24" s="16">
        <f t="shared" si="12"/>
        <v>299.80842743228197</v>
      </c>
      <c r="AI24" s="16">
        <f t="shared" si="12"/>
        <v>304.17456957935406</v>
      </c>
      <c r="AJ24" s="16">
        <f t="shared" si="12"/>
        <v>308.60429632080093</v>
      </c>
      <c r="AK24" s="16">
        <f t="shared" si="12"/>
        <v>313.09853364586115</v>
      </c>
      <c r="AL24" s="16">
        <f t="shared" si="12"/>
        <v>317.65822102905327</v>
      </c>
      <c r="AM24" s="16">
        <f t="shared" si="12"/>
        <v>322.28431162656375</v>
      </c>
      <c r="AN24" s="16">
        <f t="shared" si="12"/>
        <v>326.97777247549431</v>
      </c>
      <c r="AO24" s="16">
        <f t="shared" si="12"/>
        <v>331.73958469601121</v>
      </c>
      <c r="AP24" s="16">
        <f t="shared" si="12"/>
        <v>336.57074369643857</v>
      </c>
      <c r="AQ24" s="16">
        <f t="shared" si="12"/>
        <v>341.47225938133812</v>
      </c>
      <c r="AR24" s="16">
        <f t="shared" si="12"/>
        <v>346.44515636261974</v>
      </c>
      <c r="AS24" s="16">
        <f t="shared" si="12"/>
        <v>351.49047417372583</v>
      </c>
      <c r="AT24" s="16">
        <f t="shared" si="12"/>
        <v>356.60926748693538</v>
      </c>
      <c r="AU24" s="16">
        <f t="shared" si="12"/>
        <v>361.8026063338325</v>
      </c>
      <c r="AV24" s="16">
        <f t="shared" si="12"/>
        <v>367.07157632898543</v>
      </c>
      <c r="AW24" s="16">
        <f t="shared" si="12"/>
        <v>372.41727889688332</v>
      </c>
      <c r="AX24" s="16">
        <f t="shared" si="12"/>
        <v>377.84083150217776</v>
      </c>
      <c r="AY24" s="16">
        <f t="shared" si="12"/>
        <v>383.34336788327744</v>
      </c>
      <c r="AZ24" s="16">
        <f t="shared" si="12"/>
        <v>388.9260382893446</v>
      </c>
      <c r="BA24" s="16">
        <f t="shared" si="12"/>
        <v>394.59000972074278</v>
      </c>
      <c r="BB24" s="16">
        <f t="shared" si="12"/>
        <v>400.3364661729866</v>
      </c>
      <c r="BC24" s="16">
        <f t="shared" si="12"/>
        <v>406.16660888424366</v>
      </c>
      <c r="BD24" s="16">
        <f t="shared" si="12"/>
        <v>412.08165658644134</v>
      </c>
      <c r="BE24" s="16">
        <f t="shared" si="12"/>
        <v>418.0828457600303</v>
      </c>
      <c r="BF24" s="16">
        <f t="shared" si="12"/>
        <v>424.17143089245792</v>
      </c>
      <c r="BG24" s="16">
        <f t="shared" si="12"/>
        <v>430.34868474040633</v>
      </c>
      <c r="BH24" s="16">
        <f t="shared" si="12"/>
        <v>436.61589859584916</v>
      </c>
      <c r="BI24" s="16">
        <f t="shared" si="12"/>
        <v>442.97438255598291</v>
      </c>
      <c r="BJ24" s="16">
        <f t="shared" si="12"/>
        <v>449.42546579708949</v>
      </c>
      <c r="BK24" s="16">
        <f t="shared" si="12"/>
        <v>455.97049685238687</v>
      </c>
      <c r="BL24" s="16">
        <f t="shared" si="12"/>
        <v>462.61084389392647</v>
      </c>
      <c r="BM24" s="16">
        <f t="shared" si="12"/>
        <v>469.34789501859524</v>
      </c>
      <c r="BN24" s="16">
        <f t="shared" si="12"/>
        <v>476.18305853828349</v>
      </c>
      <c r="BO24" s="16">
        <f t="shared" si="12"/>
        <v>483.11776327427788</v>
      </c>
      <c r="BP24" s="16">
        <f t="shared" si="12"/>
        <v>490.15345885594218</v>
      </c>
      <c r="BQ24" s="16">
        <f t="shared" si="12"/>
        <v>497.29161602374711</v>
      </c>
      <c r="BR24" s="16">
        <f t="shared" si="12"/>
        <v>504.53372693671434</v>
      </c>
      <c r="BS24" s="16">
        <f t="shared" si="12"/>
        <v>511.88130548433645</v>
      </c>
      <c r="BT24" s="16">
        <f t="shared" ref="BT24:EE24" si="13">BT21+BT22-BT23</f>
        <v>519.33588760304031</v>
      </c>
      <c r="BU24" s="16">
        <f t="shared" si="13"/>
        <v>526.89903159725941</v>
      </c>
      <c r="BV24" s="16">
        <f t="shared" si="13"/>
        <v>534.57231846518062</v>
      </c>
      <c r="BW24" s="16">
        <f t="shared" si="13"/>
        <v>542.35735222923665</v>
      </c>
      <c r="BX24" s="16">
        <f t="shared" si="13"/>
        <v>550.25576027140994</v>
      </c>
      <c r="BY24" s="16">
        <f t="shared" si="13"/>
        <v>558.26919367342077</v>
      </c>
      <c r="BZ24" s="16">
        <f t="shared" si="13"/>
        <v>566.39932756186863</v>
      </c>
      <c r="CA24" s="16">
        <f t="shared" si="13"/>
        <v>574.64786145840071</v>
      </c>
      <c r="CB24" s="16">
        <f t="shared" si="13"/>
        <v>583.01651963497943</v>
      </c>
      <c r="CC24" s="16">
        <f t="shared" si="13"/>
        <v>591.50705147432382</v>
      </c>
      <c r="CD24" s="16">
        <f t="shared" si="13"/>
        <v>600.12123183560038</v>
      </c>
      <c r="CE24" s="16">
        <f t="shared" si="13"/>
        <v>608.86086142543923</v>
      </c>
      <c r="CF24" s="16">
        <f t="shared" si="13"/>
        <v>617.7277671743534</v>
      </c>
      <c r="CG24" s="16">
        <f t="shared" si="13"/>
        <v>626.72380261864009</v>
      </c>
      <c r="CH24" s="16">
        <f t="shared" si="13"/>
        <v>635.85084828784363</v>
      </c>
      <c r="CI24" s="16">
        <f t="shared" si="13"/>
        <v>645.11081209786084</v>
      </c>
      <c r="CJ24" s="16">
        <f t="shared" si="13"/>
        <v>654.5056297497714</v>
      </c>
      <c r="CK24" s="16">
        <f t="shared" si="13"/>
        <v>664.03726513447691</v>
      </c>
      <c r="CL24" s="16">
        <f t="shared" si="13"/>
        <v>673.70771074323147</v>
      </c>
      <c r="CM24" s="16">
        <f t="shared" si="13"/>
        <v>683.51898808415228</v>
      </c>
      <c r="CN24" s="16">
        <f t="shared" si="13"/>
        <v>693.4731481047952</v>
      </c>
      <c r="CO24" s="16">
        <f t="shared" si="13"/>
        <v>703.57227162088452</v>
      </c>
      <c r="CP24" s="16">
        <f t="shared" si="13"/>
        <v>713.81846975128576</v>
      </c>
      <c r="CQ24" s="16">
        <f t="shared" si="13"/>
        <v>724.21388435931419</v>
      </c>
      <c r="CR24" s="16">
        <f t="shared" si="13"/>
        <v>734.7606885004692</v>
      </c>
      <c r="CS24" s="16">
        <f t="shared" si="13"/>
        <v>745.46108687668959</v>
      </c>
      <c r="CT24" s="16">
        <f t="shared" si="13"/>
        <v>756.3173162972239</v>
      </c>
      <c r="CU24" s="16">
        <f t="shared" si="13"/>
        <v>767.33164614621262</v>
      </c>
      <c r="CV24" s="16">
        <f t="shared" si="13"/>
        <v>778.50637885707977</v>
      </c>
      <c r="CW24" s="16">
        <f t="shared" si="13"/>
        <v>789.84385039383335</v>
      </c>
      <c r="CX24" s="16">
        <f t="shared" si="13"/>
        <v>801.34643073937468</v>
      </c>
      <c r="CY24" s="16">
        <f t="shared" si="13"/>
        <v>813.01652439091902</v>
      </c>
      <c r="CZ24" s="16">
        <f t="shared" si="13"/>
        <v>824.85657086263143</v>
      </c>
      <c r="DA24" s="16">
        <f t="shared" si="13"/>
        <v>836.86904519558232</v>
      </c>
      <c r="DB24" s="16">
        <f t="shared" si="13"/>
        <v>849.05645847512972</v>
      </c>
      <c r="DC24" s="16">
        <f t="shared" si="13"/>
        <v>861.42135835583542</v>
      </c>
      <c r="DD24" s="16">
        <f t="shared" si="13"/>
        <v>873.96632959402723</v>
      </c>
      <c r="DE24" s="16">
        <f t="shared" si="13"/>
        <v>886.69399458811506</v>
      </c>
      <c r="DF24" s="16">
        <f t="shared" si="13"/>
        <v>899.60701392677697</v>
      </c>
      <c r="DG24" s="16">
        <f t="shared" si="13"/>
        <v>912.70808694512812</v>
      </c>
      <c r="DH24" s="16">
        <f t="shared" si="13"/>
        <v>925.99995228898911</v>
      </c>
      <c r="DI24" s="16">
        <f t="shared" si="13"/>
        <v>939.48538848737235</v>
      </c>
      <c r="DJ24" s="16">
        <f t="shared" si="13"/>
        <v>953.16721453330501</v>
      </c>
      <c r="DK24" s="16">
        <f t="shared" si="13"/>
        <v>967.04829047311046</v>
      </c>
      <c r="DL24" s="16">
        <f t="shared" si="13"/>
        <v>981.13151800427215</v>
      </c>
      <c r="DM24" s="16">
        <f t="shared" si="13"/>
        <v>995.41984108200415</v>
      </c>
      <c r="DN24" s="16">
        <f t="shared" si="13"/>
        <v>1009.9162465346546</v>
      </c>
      <c r="DO24" s="16">
        <f t="shared" si="13"/>
        <v>1024.6237646880718</v>
      </c>
      <c r="DP24" s="16">
        <f t="shared" si="13"/>
        <v>1039.5454699990632</v>
      </c>
      <c r="DQ24" s="16">
        <f t="shared" si="13"/>
        <v>1054.6844816980786</v>
      </c>
      <c r="DR24" s="16">
        <f t="shared" si="13"/>
        <v>1070.0439644412545</v>
      </c>
      <c r="DS24" s="16">
        <f t="shared" si="13"/>
        <v>1085.6271289719523</v>
      </c>
      <c r="DT24" s="16">
        <f t="shared" si="13"/>
        <v>1101.437232791932</v>
      </c>
      <c r="DU24" s="16">
        <f t="shared" si="13"/>
        <v>1117.4775808422999</v>
      </c>
      <c r="DV24" s="16">
        <f t="shared" si="13"/>
        <v>1133.7515261943722</v>
      </c>
      <c r="DW24" s="16">
        <f t="shared" si="13"/>
        <v>1150.2624707506009</v>
      </c>
      <c r="DX24" s="16">
        <f t="shared" si="13"/>
        <v>1167.0138659557067</v>
      </c>
      <c r="DY24" s="16">
        <f t="shared" si="13"/>
        <v>1184.0092135181685</v>
      </c>
      <c r="DZ24" s="16">
        <f t="shared" si="13"/>
        <v>1201.2520661422195</v>
      </c>
      <c r="EA24" s="16">
        <f t="shared" si="13"/>
        <v>1218.7460282705042</v>
      </c>
      <c r="EB24" s="16">
        <f t="shared" si="13"/>
        <v>1236.4947568375503</v>
      </c>
      <c r="EC24" s="16">
        <f t="shared" si="13"/>
        <v>1254.5019620342136</v>
      </c>
      <c r="ED24" s="16">
        <f t="shared" si="13"/>
        <v>1272.7714080832554</v>
      </c>
      <c r="EE24" s="16">
        <f t="shared" si="13"/>
        <v>1291.3069140262155</v>
      </c>
      <c r="EF24" s="16">
        <f t="shared" ref="EF24:GQ24" si="14">EF21+EF22-EF23</f>
        <v>1310.1123545217429</v>
      </c>
      <c r="EG24" s="16">
        <f t="shared" si="14"/>
        <v>1329.1916606555546</v>
      </c>
      <c r="EH24" s="16">
        <f t="shared" si="14"/>
        <v>1348.5488207621891</v>
      </c>
      <c r="EI24" s="16">
        <f t="shared" si="14"/>
        <v>1368.1878812587258</v>
      </c>
      <c r="EJ24" s="16">
        <f t="shared" si="14"/>
        <v>1388.112947490649</v>
      </c>
      <c r="EK24" s="16">
        <f t="shared" si="14"/>
        <v>1408.3281845900276</v>
      </c>
      <c r="EL24" s="16">
        <f t="shared" si="14"/>
        <v>1428.837818346193</v>
      </c>
      <c r="EM24" s="16">
        <f t="shared" si="14"/>
        <v>1449.6461360890985</v>
      </c>
      <c r="EN24" s="16">
        <f t="shared" si="14"/>
        <v>1470.7574875855416</v>
      </c>
      <c r="EO24" s="16">
        <f t="shared" si="14"/>
        <v>1492.1762859484379</v>
      </c>
      <c r="EP24" s="16">
        <f t="shared" si="14"/>
        <v>1513.9070085593373</v>
      </c>
      <c r="EQ24" s="16">
        <f t="shared" si="14"/>
        <v>1535.9541980043762</v>
      </c>
      <c r="ER24" s="16">
        <f t="shared" si="14"/>
        <v>1558.3224630238574</v>
      </c>
      <c r="ES24" s="16">
        <f t="shared" si="14"/>
        <v>1581.0164794756613</v>
      </c>
      <c r="ET24" s="16">
        <f t="shared" si="14"/>
        <v>1604.0409913126855</v>
      </c>
      <c r="EU24" s="16">
        <f t="shared" si="14"/>
        <v>1627.4008115745207</v>
      </c>
      <c r="EV24" s="16">
        <f t="shared" si="14"/>
        <v>1651.1008233935672</v>
      </c>
      <c r="EW24" s="16">
        <f t="shared" si="14"/>
        <v>1675.1459810158037</v>
      </c>
      <c r="EX24" s="16">
        <f t="shared" si="14"/>
        <v>1699.5413108364221</v>
      </c>
      <c r="EY24" s="16">
        <f t="shared" si="14"/>
        <v>1724.2919124505447</v>
      </c>
      <c r="EZ24" s="16">
        <f t="shared" si="14"/>
        <v>1749.4029597192418</v>
      </c>
      <c r="FA24" s="16">
        <f t="shared" si="14"/>
        <v>1774.8797018510754</v>
      </c>
      <c r="FB24" s="16">
        <f t="shared" si="14"/>
        <v>1800.7274644993922</v>
      </c>
      <c r="FC24" s="16">
        <f t="shared" si="14"/>
        <v>1826.9516508755969</v>
      </c>
      <c r="FD24" s="16">
        <f t="shared" si="14"/>
        <v>1853.5577428786394</v>
      </c>
      <c r="FE24" s="16">
        <f t="shared" si="14"/>
        <v>1880.5513022409496</v>
      </c>
      <c r="FF24" s="16">
        <f t="shared" si="14"/>
        <v>1907.9379716910605</v>
      </c>
      <c r="FG24" s="16">
        <f t="shared" si="14"/>
        <v>1935.7234761331631</v>
      </c>
      <c r="FH24" s="16">
        <f t="shared" si="14"/>
        <v>1963.91362384384</v>
      </c>
      <c r="FI24" s="16">
        <f t="shared" si="14"/>
        <v>1992.5143076862259</v>
      </c>
      <c r="FJ24" s="16">
        <f t="shared" si="14"/>
        <v>2021.5315063418504</v>
      </c>
      <c r="FK24" s="16">
        <f t="shared" si="14"/>
        <v>2050.9712855604212</v>
      </c>
      <c r="FL24" s="16">
        <f t="shared" si="14"/>
        <v>2080.8397994278062</v>
      </c>
      <c r="FM24" s="16">
        <f t="shared" si="14"/>
        <v>2111.1432916524827</v>
      </c>
      <c r="FN24" s="16">
        <f t="shared" si="14"/>
        <v>2141.8880968707226</v>
      </c>
      <c r="FO24" s="16">
        <f t="shared" si="14"/>
        <v>2173.0806419707819</v>
      </c>
      <c r="FP24" s="16">
        <f t="shared" si="14"/>
        <v>2204.7274474363758</v>
      </c>
      <c r="FQ24" s="16">
        <f t="shared" si="14"/>
        <v>2236.8351287097212</v>
      </c>
      <c r="FR24" s="16">
        <f t="shared" si="14"/>
        <v>2269.4103975744256</v>
      </c>
      <c r="FS24" s="16">
        <f t="shared" si="14"/>
        <v>2302.4600635585193</v>
      </c>
      <c r="FT24" s="16">
        <f t="shared" si="14"/>
        <v>2335.9910353579153</v>
      </c>
      <c r="FU24" s="16">
        <f t="shared" si="14"/>
        <v>2370.0103222806033</v>
      </c>
      <c r="FV24" s="16">
        <f t="shared" si="14"/>
        <v>2404.5250357118739</v>
      </c>
      <c r="FW24" s="16">
        <f t="shared" si="14"/>
        <v>2439.5423906008814</v>
      </c>
      <c r="FX24" s="16">
        <f t="shared" si="14"/>
        <v>2475.0697069688554</v>
      </c>
      <c r="FY24" s="16">
        <f t="shared" si="14"/>
        <v>2511.1144114392755</v>
      </c>
      <c r="FZ24" s="16">
        <f t="shared" si="14"/>
        <v>2547.684038790333</v>
      </c>
      <c r="GA24" s="16">
        <f t="shared" si="14"/>
        <v>2584.7862335299983</v>
      </c>
      <c r="GB24" s="16">
        <f t="shared" si="14"/>
        <v>2622.4287514940274</v>
      </c>
      <c r="GC24" s="16">
        <f t="shared" si="14"/>
        <v>2660.6194614672413</v>
      </c>
      <c r="GD24" s="16">
        <f t="shared" si="14"/>
        <v>2699.3663468284144</v>
      </c>
      <c r="GE24" s="16">
        <f t="shared" si="14"/>
        <v>2738.6775072191194</v>
      </c>
      <c r="GF24" s="16">
        <f t="shared" si="14"/>
        <v>2778.5611602368735</v>
      </c>
      <c r="GG24" s="16">
        <f t="shared" si="14"/>
        <v>2819.0256431529442</v>
      </c>
      <c r="GH24" s="16">
        <f t="shared" si="14"/>
        <v>2860.0794146551716</v>
      </c>
      <c r="GI24" s="16">
        <f t="shared" si="14"/>
        <v>2901.7310566161691</v>
      </c>
      <c r="GJ24" s="16">
        <f t="shared" si="14"/>
        <v>2943.9892758872784</v>
      </c>
      <c r="GK24" s="16">
        <f t="shared" si="14"/>
        <v>2986.8629061186466</v>
      </c>
      <c r="GL24" s="16">
        <f t="shared" si="14"/>
        <v>3030.3609096058112</v>
      </c>
      <c r="GM24" s="16">
        <f t="shared" si="14"/>
        <v>3074.4923791631777</v>
      </c>
      <c r="GN24" s="16">
        <f t="shared" si="14"/>
        <v>3119.2665400247774</v>
      </c>
      <c r="GO24" s="16">
        <f t="shared" si="14"/>
        <v>3164.6927517727108</v>
      </c>
      <c r="GP24" s="16">
        <f t="shared" si="14"/>
        <v>3210.7805102936723</v>
      </c>
      <c r="GQ24" s="16">
        <f t="shared" si="14"/>
        <v>3257.5394497639686</v>
      </c>
      <c r="GR24" s="16">
        <f t="shared" ref="GR24:GX24" si="15">GR21+GR22-GR23</f>
        <v>3304.979344663444</v>
      </c>
      <c r="GS24" s="16">
        <f t="shared" si="15"/>
        <v>3353.1101118187371</v>
      </c>
      <c r="GT24" s="16">
        <f t="shared" si="15"/>
        <v>3401.9418124762915</v>
      </c>
      <c r="GU24" s="16">
        <f t="shared" si="15"/>
        <v>3451.4846544055581</v>
      </c>
      <c r="GV24" s="16">
        <f t="shared" si="15"/>
        <v>3501.7489940328232</v>
      </c>
      <c r="GW24" s="16">
        <f t="shared" si="15"/>
        <v>3552.745338606117</v>
      </c>
      <c r="GX24" s="16">
        <f t="shared" si="15"/>
        <v>3604.4843483916429</v>
      </c>
    </row>
    <row r="26" spans="1:206">
      <c r="C26" t="s">
        <v>55</v>
      </c>
      <c r="E26" s="2">
        <f>F5</f>
        <v>3.5156887838011297E-2</v>
      </c>
      <c r="F26" s="68"/>
    </row>
    <row r="27" spans="1:206">
      <c r="C27" t="s">
        <v>56</v>
      </c>
      <c r="F27" s="68"/>
    </row>
    <row r="29" spans="1:206">
      <c r="C29" t="s">
        <v>131</v>
      </c>
      <c r="E29" s="2">
        <f>E3</f>
        <v>0.03</v>
      </c>
      <c r="F29" s="69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/>
      <c r="CN29" s="68"/>
      <c r="CO29" s="68"/>
      <c r="CP29" s="68"/>
      <c r="CQ29" s="68"/>
      <c r="CR29" s="68"/>
      <c r="CS29" s="68"/>
      <c r="CT29" s="68"/>
      <c r="CU29" s="68"/>
      <c r="CV29" s="68"/>
      <c r="CW29" s="68"/>
      <c r="CX29" s="68"/>
      <c r="CY29" s="68"/>
      <c r="CZ29" s="68"/>
      <c r="DA29" s="68"/>
      <c r="DB29" s="68"/>
      <c r="DC29" s="68"/>
      <c r="DD29" s="68"/>
      <c r="DE29" s="68"/>
      <c r="DF29" s="68"/>
      <c r="DG29" s="68"/>
      <c r="DH29" s="68"/>
      <c r="DI29" s="68"/>
      <c r="DJ29" s="68"/>
      <c r="DK29" s="68"/>
      <c r="DL29" s="68"/>
      <c r="DM29" s="68"/>
      <c r="DN29" s="68"/>
      <c r="DO29" s="68"/>
      <c r="DP29" s="68"/>
      <c r="DQ29" s="68"/>
      <c r="DR29" s="68"/>
      <c r="DS29" s="68"/>
      <c r="DT29" s="68"/>
      <c r="DU29" s="68"/>
      <c r="DV29" s="68"/>
      <c r="DW29" s="68"/>
      <c r="DX29" s="68"/>
      <c r="DY29" s="68"/>
      <c r="DZ29" s="68"/>
      <c r="EA29" s="68"/>
      <c r="EB29" s="68"/>
      <c r="EC29" s="68"/>
      <c r="ED29" s="68"/>
      <c r="EE29" s="68"/>
      <c r="EF29" s="68"/>
      <c r="EG29" s="68"/>
      <c r="EH29" s="68"/>
      <c r="EI29" s="68"/>
      <c r="EJ29" s="68"/>
      <c r="EK29" s="68"/>
      <c r="EL29" s="68"/>
      <c r="EM29" s="68"/>
      <c r="EN29" s="68"/>
      <c r="EO29" s="68"/>
      <c r="EP29" s="68"/>
      <c r="EQ29" s="68"/>
      <c r="ER29" s="68"/>
      <c r="ES29" s="68"/>
      <c r="ET29" s="68"/>
      <c r="EU29" s="68"/>
      <c r="EV29" s="68"/>
      <c r="EW29" s="68"/>
      <c r="EX29" s="68"/>
      <c r="EY29" s="68"/>
      <c r="EZ29" s="68"/>
      <c r="FA29" s="68"/>
      <c r="FB29" s="68"/>
      <c r="FC29" s="68"/>
      <c r="FD29" s="68"/>
      <c r="FE29" s="68"/>
      <c r="FF29" s="68"/>
      <c r="FG29" s="68"/>
      <c r="FH29" s="68"/>
      <c r="FI29" s="68"/>
      <c r="FJ29" s="68"/>
      <c r="FK29" s="68"/>
      <c r="FL29" s="68"/>
      <c r="FM29" s="68"/>
      <c r="FN29" s="68"/>
      <c r="FO29" s="68"/>
      <c r="FP29" s="68"/>
      <c r="FQ29" s="68"/>
      <c r="FR29" s="68"/>
      <c r="FS29" s="68"/>
      <c r="FT29" s="68"/>
      <c r="FU29" s="68"/>
      <c r="FV29" s="68"/>
      <c r="FW29" s="68"/>
      <c r="FX29" s="68"/>
      <c r="FY29" s="68"/>
      <c r="FZ29" s="68"/>
      <c r="GA29" s="68"/>
      <c r="GB29" s="68"/>
      <c r="GC29" s="68"/>
      <c r="GD29" s="68"/>
      <c r="GE29" s="68"/>
      <c r="GF29" s="68"/>
      <c r="GG29" s="68"/>
      <c r="GH29" s="68"/>
      <c r="GI29" s="68"/>
      <c r="GJ29" s="68"/>
      <c r="GK29" s="68"/>
      <c r="GL29" s="68"/>
      <c r="GM29" s="68"/>
      <c r="GN29" s="68"/>
      <c r="GO29" s="68"/>
      <c r="GP29" s="68"/>
      <c r="GQ29" s="68"/>
      <c r="GR29" s="68"/>
      <c r="GS29" s="68"/>
      <c r="GT29" s="68"/>
      <c r="GU29" s="68"/>
      <c r="GV29" s="68"/>
      <c r="GW29" s="68"/>
      <c r="GX29" s="68"/>
    </row>
    <row r="30" spans="1:206">
      <c r="C30" t="s">
        <v>132</v>
      </c>
      <c r="F30" s="69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  <c r="CW30" s="68"/>
      <c r="CX30" s="68"/>
      <c r="CY30" s="68"/>
      <c r="CZ30" s="68"/>
      <c r="DA30" s="68"/>
      <c r="DB30" s="68"/>
      <c r="DC30" s="68"/>
      <c r="DD30" s="68"/>
      <c r="DE30" s="68"/>
      <c r="DF30" s="68"/>
      <c r="DG30" s="68"/>
      <c r="DH30" s="68"/>
      <c r="DI30" s="68"/>
      <c r="DJ30" s="68"/>
      <c r="DK30" s="68"/>
      <c r="DL30" s="68"/>
      <c r="DM30" s="68"/>
      <c r="DN30" s="68"/>
      <c r="DO30" s="68"/>
      <c r="DP30" s="68"/>
      <c r="DQ30" s="68"/>
      <c r="DR30" s="68"/>
      <c r="DS30" s="68"/>
      <c r="DT30" s="68"/>
      <c r="DU30" s="68"/>
      <c r="DV30" s="68"/>
      <c r="DW30" s="68"/>
      <c r="DX30" s="68"/>
      <c r="DY30" s="68"/>
      <c r="DZ30" s="68"/>
      <c r="EA30" s="68"/>
      <c r="EB30" s="68"/>
      <c r="EC30" s="68"/>
      <c r="ED30" s="68"/>
      <c r="EE30" s="68"/>
      <c r="EF30" s="68"/>
      <c r="EG30" s="68"/>
      <c r="EH30" s="68"/>
      <c r="EI30" s="68"/>
      <c r="EJ30" s="68"/>
      <c r="EK30" s="68"/>
      <c r="EL30" s="68"/>
      <c r="EM30" s="68"/>
      <c r="EN30" s="68"/>
      <c r="EO30" s="68"/>
      <c r="EP30" s="68"/>
      <c r="EQ30" s="68"/>
      <c r="ER30" s="68"/>
      <c r="ES30" s="68"/>
      <c r="ET30" s="68"/>
      <c r="EU30" s="68"/>
      <c r="EV30" s="68"/>
      <c r="EW30" s="68"/>
      <c r="EX30" s="68"/>
      <c r="EY30" s="68"/>
      <c r="EZ30" s="68"/>
      <c r="FA30" s="68"/>
      <c r="FB30" s="68"/>
      <c r="FC30" s="68"/>
      <c r="FD30" s="68"/>
      <c r="FE30" s="68"/>
      <c r="FF30" s="68"/>
      <c r="FG30" s="68"/>
      <c r="FH30" s="68"/>
      <c r="FI30" s="68"/>
      <c r="FJ30" s="68"/>
      <c r="FK30" s="68"/>
      <c r="FL30" s="68"/>
      <c r="FM30" s="68"/>
      <c r="FN30" s="68"/>
      <c r="FO30" s="68"/>
      <c r="FP30" s="68"/>
      <c r="FQ30" s="68"/>
      <c r="FR30" s="68"/>
      <c r="FS30" s="68"/>
      <c r="FT30" s="68"/>
      <c r="FU30" s="68"/>
      <c r="FV30" s="68"/>
      <c r="FW30" s="68"/>
      <c r="FX30" s="68"/>
      <c r="FY30" s="68"/>
      <c r="FZ30" s="68"/>
      <c r="GA30" s="68"/>
      <c r="GB30" s="68"/>
      <c r="GC30" s="68"/>
      <c r="GD30" s="68"/>
      <c r="GE30" s="68"/>
      <c r="GF30" s="68"/>
      <c r="GG30" s="68"/>
      <c r="GH30" s="68"/>
      <c r="GI30" s="68"/>
      <c r="GJ30" s="68"/>
      <c r="GK30" s="68"/>
      <c r="GL30" s="68"/>
      <c r="GM30" s="68"/>
      <c r="GN30" s="68"/>
      <c r="GO30" s="68"/>
      <c r="GP30" s="68"/>
      <c r="GQ30" s="68"/>
      <c r="GR30" s="68"/>
      <c r="GS30" s="68"/>
      <c r="GT30" s="68"/>
      <c r="GU30" s="68"/>
      <c r="GV30" s="68"/>
      <c r="GW30" s="68"/>
      <c r="GX30" s="68"/>
    </row>
    <row r="31" spans="1:206">
      <c r="C31" t="s">
        <v>133</v>
      </c>
      <c r="E31" s="2">
        <f>E5</f>
        <v>6.6211594473151628E-2</v>
      </c>
      <c r="F31" s="15">
        <f>NPV(E31,G30:GX30)</f>
        <v>0</v>
      </c>
    </row>
    <row r="33" spans="1:206">
      <c r="A33" t="s">
        <v>428</v>
      </c>
    </row>
    <row r="34" spans="1:206"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</row>
    <row r="35" spans="1:206">
      <c r="C35" t="s">
        <v>51</v>
      </c>
      <c r="G35" s="3">
        <f>F38</f>
        <v>200</v>
      </c>
      <c r="H35" s="3">
        <f t="shared" ref="H35:BS35" si="16">G38</f>
        <v>209</v>
      </c>
      <c r="I35" s="3">
        <f t="shared" si="16"/>
        <v>218.405</v>
      </c>
      <c r="J35" s="3">
        <f t="shared" si="16"/>
        <v>228.233225</v>
      </c>
      <c r="K35" s="3">
        <f t="shared" si="16"/>
        <v>238.50372012500003</v>
      </c>
      <c r="L35" s="3">
        <f t="shared" si="16"/>
        <v>249.23638753062505</v>
      </c>
      <c r="M35" s="3">
        <f t="shared" si="16"/>
        <v>260.45202496950316</v>
      </c>
      <c r="N35" s="3">
        <f t="shared" si="16"/>
        <v>272.17236609313079</v>
      </c>
      <c r="O35" s="3">
        <f t="shared" si="16"/>
        <v>284.4201225673217</v>
      </c>
      <c r="P35" s="3">
        <f t="shared" si="16"/>
        <v>297.2190280828512</v>
      </c>
      <c r="Q35" s="3">
        <f t="shared" si="16"/>
        <v>310.5938843465795</v>
      </c>
      <c r="R35" s="3">
        <f t="shared" si="16"/>
        <v>324.57060914217561</v>
      </c>
      <c r="S35" s="3">
        <f t="shared" si="16"/>
        <v>339.1762865535735</v>
      </c>
      <c r="T35" s="3">
        <f t="shared" si="16"/>
        <v>354.43921944848432</v>
      </c>
      <c r="U35" s="3">
        <f t="shared" si="16"/>
        <v>370.38898432366614</v>
      </c>
      <c r="V35" s="3">
        <f t="shared" si="16"/>
        <v>387.05648861823107</v>
      </c>
      <c r="W35" s="3">
        <f t="shared" si="16"/>
        <v>404.47403060605149</v>
      </c>
      <c r="X35" s="3">
        <f t="shared" si="16"/>
        <v>422.6753619833238</v>
      </c>
      <c r="Y35" s="3">
        <f t="shared" si="16"/>
        <v>441.69575327257337</v>
      </c>
      <c r="Z35" s="3">
        <f t="shared" si="16"/>
        <v>461.57206216983917</v>
      </c>
      <c r="AA35" s="3">
        <f t="shared" si="16"/>
        <v>482.34280496748187</v>
      </c>
      <c r="AB35" s="3">
        <f t="shared" si="16"/>
        <v>504.0482311910186</v>
      </c>
      <c r="AC35" s="3">
        <f t="shared" si="16"/>
        <v>526.73040159461448</v>
      </c>
      <c r="AD35" s="3">
        <f t="shared" si="16"/>
        <v>550.4332696663721</v>
      </c>
      <c r="AE35" s="3">
        <f t="shared" si="16"/>
        <v>575.20276680135885</v>
      </c>
      <c r="AF35" s="3">
        <f t="shared" si="16"/>
        <v>601.08689130741993</v>
      </c>
      <c r="AG35" s="3">
        <f t="shared" si="16"/>
        <v>628.1358014162538</v>
      </c>
      <c r="AH35" s="3">
        <f t="shared" si="16"/>
        <v>656.40191247998519</v>
      </c>
      <c r="AI35" s="3">
        <f t="shared" si="16"/>
        <v>685.9399985415846</v>
      </c>
      <c r="AJ35" s="3">
        <f t="shared" si="16"/>
        <v>716.80729847595592</v>
      </c>
      <c r="AK35" s="3">
        <f t="shared" si="16"/>
        <v>749.06362690737387</v>
      </c>
      <c r="AL35" s="3">
        <f t="shared" si="16"/>
        <v>782.77149011820575</v>
      </c>
      <c r="AM35" s="3">
        <f t="shared" si="16"/>
        <v>817.99620717352502</v>
      </c>
      <c r="AN35" s="3">
        <f t="shared" si="16"/>
        <v>854.80603649633372</v>
      </c>
      <c r="AO35" s="3">
        <f t="shared" si="16"/>
        <v>893.27230813866879</v>
      </c>
      <c r="AP35" s="3">
        <f t="shared" si="16"/>
        <v>933.46956200490888</v>
      </c>
      <c r="AQ35" s="3">
        <f t="shared" si="16"/>
        <v>975.47569229512987</v>
      </c>
      <c r="AR35" s="3">
        <f t="shared" si="16"/>
        <v>1019.3720984484107</v>
      </c>
      <c r="AS35" s="3">
        <f t="shared" si="16"/>
        <v>1065.243842878589</v>
      </c>
      <c r="AT35" s="3">
        <f t="shared" si="16"/>
        <v>1113.1798158081253</v>
      </c>
      <c r="AU35" s="3">
        <f t="shared" si="16"/>
        <v>1163.2729075194911</v>
      </c>
      <c r="AV35" s="3">
        <f t="shared" si="16"/>
        <v>1215.6201883578683</v>
      </c>
      <c r="AW35" s="3">
        <f t="shared" si="16"/>
        <v>1270.3230968339722</v>
      </c>
      <c r="AX35" s="3">
        <f t="shared" si="16"/>
        <v>1327.487636191501</v>
      </c>
      <c r="AY35" s="3">
        <f t="shared" si="16"/>
        <v>1387.2245798201186</v>
      </c>
      <c r="AZ35" s="3">
        <f t="shared" si="16"/>
        <v>1449.6496859120241</v>
      </c>
      <c r="BA35" s="3">
        <f t="shared" si="16"/>
        <v>1514.8839217780651</v>
      </c>
      <c r="BB35" s="3">
        <f t="shared" si="16"/>
        <v>1583.0536982580782</v>
      </c>
      <c r="BC35" s="3">
        <f t="shared" si="16"/>
        <v>1654.2911146796916</v>
      </c>
      <c r="BD35" s="3">
        <f t="shared" si="16"/>
        <v>1728.7342148402779</v>
      </c>
      <c r="BE35" s="3">
        <f t="shared" si="16"/>
        <v>1806.5272545080902</v>
      </c>
      <c r="BF35" s="3">
        <f t="shared" si="16"/>
        <v>1887.8209809609541</v>
      </c>
      <c r="BG35" s="3">
        <f t="shared" si="16"/>
        <v>1972.7729251041972</v>
      </c>
      <c r="BH35" s="3">
        <f t="shared" si="16"/>
        <v>2061.5477067338857</v>
      </c>
      <c r="BI35" s="3">
        <f t="shared" si="16"/>
        <v>2154.3173535369106</v>
      </c>
      <c r="BJ35" s="3">
        <f t="shared" si="16"/>
        <v>2251.2616344460716</v>
      </c>
      <c r="BK35" s="3">
        <f t="shared" si="16"/>
        <v>2352.5684079961447</v>
      </c>
      <c r="BL35" s="3">
        <f t="shared" si="16"/>
        <v>2458.4339863559712</v>
      </c>
      <c r="BM35" s="3">
        <f t="shared" si="16"/>
        <v>2569.0635157419897</v>
      </c>
      <c r="BN35" s="3">
        <f t="shared" si="16"/>
        <v>2684.6713739503793</v>
      </c>
      <c r="BO35" s="3">
        <f t="shared" si="16"/>
        <v>2805.4815857781468</v>
      </c>
      <c r="BP35" s="3">
        <f t="shared" si="16"/>
        <v>2931.7282571381634</v>
      </c>
      <c r="BQ35" s="3">
        <f t="shared" si="16"/>
        <v>3063.6560287093807</v>
      </c>
      <c r="BR35" s="3">
        <f t="shared" si="16"/>
        <v>3201.5205500013026</v>
      </c>
      <c r="BS35" s="3">
        <f t="shared" si="16"/>
        <v>3345.5889747513611</v>
      </c>
      <c r="BT35" s="3">
        <f t="shared" ref="BT35:EE35" si="17">BS38</f>
        <v>3496.140478615172</v>
      </c>
      <c r="BU35" s="3">
        <f t="shared" si="17"/>
        <v>3653.4668001528544</v>
      </c>
      <c r="BV35" s="3">
        <f t="shared" si="17"/>
        <v>3817.872806159733</v>
      </c>
      <c r="BW35" s="3">
        <f t="shared" si="17"/>
        <v>3989.677082436921</v>
      </c>
      <c r="BX35" s="3">
        <f t="shared" si="17"/>
        <v>4169.2125511465829</v>
      </c>
      <c r="BY35" s="3">
        <f t="shared" si="17"/>
        <v>4356.8271159481792</v>
      </c>
      <c r="BZ35" s="3">
        <f t="shared" si="17"/>
        <v>4552.8843361658473</v>
      </c>
      <c r="CA35" s="3">
        <f t="shared" si="17"/>
        <v>4757.764131293311</v>
      </c>
      <c r="CB35" s="3">
        <f t="shared" si="17"/>
        <v>4971.8635172015101</v>
      </c>
      <c r="CC35" s="3">
        <f t="shared" si="17"/>
        <v>5195.5973754755778</v>
      </c>
      <c r="CD35" s="3">
        <f t="shared" si="17"/>
        <v>5429.3992573719788</v>
      </c>
      <c r="CE35" s="3">
        <f t="shared" si="17"/>
        <v>5673.7222239537177</v>
      </c>
      <c r="CF35" s="3">
        <f t="shared" si="17"/>
        <v>5929.0397240316352</v>
      </c>
      <c r="CG35" s="3">
        <f t="shared" si="17"/>
        <v>6195.8465116130583</v>
      </c>
      <c r="CH35" s="3">
        <f t="shared" si="17"/>
        <v>6474.6596046356462</v>
      </c>
      <c r="CI35" s="3">
        <f t="shared" si="17"/>
        <v>6766.0192868442509</v>
      </c>
      <c r="CJ35" s="3">
        <f t="shared" si="17"/>
        <v>7070.4901547522422</v>
      </c>
      <c r="CK35" s="3">
        <f t="shared" si="17"/>
        <v>7388.6622117160932</v>
      </c>
      <c r="CL35" s="3">
        <f t="shared" si="17"/>
        <v>7721.1520112433182</v>
      </c>
      <c r="CM35" s="3">
        <f t="shared" si="17"/>
        <v>8068.6038517492671</v>
      </c>
      <c r="CN35" s="3">
        <f t="shared" si="17"/>
        <v>8431.6910250779838</v>
      </c>
      <c r="CO35" s="3">
        <f t="shared" si="17"/>
        <v>8811.1171212064928</v>
      </c>
      <c r="CP35" s="3">
        <f t="shared" si="17"/>
        <v>9207.6173916607859</v>
      </c>
      <c r="CQ35" s="3">
        <f t="shared" si="17"/>
        <v>9621.9601742855211</v>
      </c>
      <c r="CR35" s="3">
        <f t="shared" si="17"/>
        <v>10054.94838212837</v>
      </c>
      <c r="CS35" s="3">
        <f t="shared" si="17"/>
        <v>10507.421059324148</v>
      </c>
      <c r="CT35" s="3">
        <f t="shared" si="17"/>
        <v>10980.255006993735</v>
      </c>
      <c r="CU35" s="3">
        <f t="shared" si="17"/>
        <v>11474.366482308453</v>
      </c>
      <c r="CV35" s="3">
        <f t="shared" si="17"/>
        <v>11990.712974012335</v>
      </c>
      <c r="CW35" s="3">
        <f t="shared" si="17"/>
        <v>12530.29505784289</v>
      </c>
      <c r="CX35" s="3">
        <f t="shared" si="17"/>
        <v>13094.15833544582</v>
      </c>
      <c r="CY35" s="3">
        <f t="shared" si="17"/>
        <v>13683.395460540882</v>
      </c>
      <c r="CZ35" s="3">
        <f t="shared" si="17"/>
        <v>14299.148256265222</v>
      </c>
      <c r="DA35" s="3">
        <f t="shared" si="17"/>
        <v>14942.609927797155</v>
      </c>
      <c r="DB35" s="3">
        <f t="shared" si="17"/>
        <v>15615.027374548026</v>
      </c>
      <c r="DC35" s="3">
        <f t="shared" si="17"/>
        <v>16317.703606402689</v>
      </c>
      <c r="DD35" s="3">
        <f t="shared" si="17"/>
        <v>17052.000268690808</v>
      </c>
      <c r="DE35" s="3">
        <f t="shared" si="17"/>
        <v>17819.340280781893</v>
      </c>
      <c r="DF35" s="3">
        <f t="shared" si="17"/>
        <v>18621.210593417076</v>
      </c>
      <c r="DG35" s="3">
        <f t="shared" si="17"/>
        <v>19459.165070120845</v>
      </c>
      <c r="DH35" s="3">
        <f t="shared" si="17"/>
        <v>20334.827498276285</v>
      </c>
      <c r="DI35" s="3">
        <f t="shared" si="17"/>
        <v>21249.894735698719</v>
      </c>
      <c r="DJ35" s="3">
        <f t="shared" si="17"/>
        <v>22206.13999880516</v>
      </c>
      <c r="DK35" s="3">
        <f t="shared" si="17"/>
        <v>23205.416298751392</v>
      </c>
      <c r="DL35" s="3">
        <f t="shared" si="17"/>
        <v>24249.660032195206</v>
      </c>
      <c r="DM35" s="3">
        <f t="shared" si="17"/>
        <v>25340.894733643989</v>
      </c>
      <c r="DN35" s="3">
        <f t="shared" si="17"/>
        <v>26481.234996657968</v>
      </c>
      <c r="DO35" s="3">
        <f t="shared" si="17"/>
        <v>27672.890571507578</v>
      </c>
      <c r="DP35" s="3">
        <f t="shared" si="17"/>
        <v>28918.170647225419</v>
      </c>
      <c r="DQ35" s="3">
        <f t="shared" si="17"/>
        <v>30219.488326350562</v>
      </c>
      <c r="DR35" s="3">
        <f t="shared" si="17"/>
        <v>31579.365301036334</v>
      </c>
      <c r="DS35" s="3">
        <f t="shared" si="17"/>
        <v>33000.436739582976</v>
      </c>
      <c r="DT35" s="3">
        <f t="shared" si="17"/>
        <v>34485.456392864216</v>
      </c>
      <c r="DU35" s="3">
        <f t="shared" si="17"/>
        <v>36037.301930543101</v>
      </c>
      <c r="DV35" s="3">
        <f t="shared" si="17"/>
        <v>37658.980517417542</v>
      </c>
      <c r="DW35" s="3">
        <f t="shared" si="17"/>
        <v>39353.634640701333</v>
      </c>
      <c r="DX35" s="3">
        <f t="shared" si="17"/>
        <v>41124.548199532896</v>
      </c>
      <c r="DY35" s="3">
        <f t="shared" si="17"/>
        <v>42975.152868511876</v>
      </c>
      <c r="DZ35" s="3">
        <f t="shared" si="17"/>
        <v>44909.034747594909</v>
      </c>
      <c r="EA35" s="3">
        <f t="shared" si="17"/>
        <v>46929.941311236682</v>
      </c>
      <c r="EB35" s="3">
        <f t="shared" si="17"/>
        <v>49041.788670242327</v>
      </c>
      <c r="EC35" s="3">
        <f t="shared" si="17"/>
        <v>51248.669160403231</v>
      </c>
      <c r="ED35" s="3">
        <f t="shared" si="17"/>
        <v>53554.859272621376</v>
      </c>
      <c r="EE35" s="3">
        <f t="shared" si="17"/>
        <v>55964.827939889336</v>
      </c>
      <c r="EF35" s="3">
        <f t="shared" ref="EF35:GQ35" si="18">EE38</f>
        <v>58483.245197184355</v>
      </c>
      <c r="EG35" s="3">
        <f t="shared" si="18"/>
        <v>61114.991231057647</v>
      </c>
      <c r="EH35" s="3">
        <f t="shared" si="18"/>
        <v>63865.165836455235</v>
      </c>
      <c r="EI35" s="3">
        <f t="shared" si="18"/>
        <v>66739.098299095727</v>
      </c>
      <c r="EJ35" s="3">
        <f t="shared" si="18"/>
        <v>69742.35772255504</v>
      </c>
      <c r="EK35" s="3">
        <f t="shared" si="18"/>
        <v>72880.763820070017</v>
      </c>
      <c r="EL35" s="3">
        <f t="shared" si="18"/>
        <v>76160.398191973174</v>
      </c>
      <c r="EM35" s="3">
        <f t="shared" si="18"/>
        <v>79587.616110611954</v>
      </c>
      <c r="EN35" s="3">
        <f t="shared" si="18"/>
        <v>83169.058835589502</v>
      </c>
      <c r="EO35" s="3">
        <f t="shared" si="18"/>
        <v>86911.666483191031</v>
      </c>
      <c r="EP35" s="3">
        <f t="shared" si="18"/>
        <v>90822.691474934618</v>
      </c>
      <c r="EQ35" s="3">
        <f t="shared" si="18"/>
        <v>94909.71259130667</v>
      </c>
      <c r="ER35" s="3">
        <f t="shared" si="18"/>
        <v>99180.649657915477</v>
      </c>
      <c r="ES35" s="3">
        <f t="shared" si="18"/>
        <v>103643.77889252167</v>
      </c>
      <c r="ET35" s="3">
        <f t="shared" si="18"/>
        <v>108307.74894268515</v>
      </c>
      <c r="EU35" s="3">
        <f t="shared" si="18"/>
        <v>113181.59764510598</v>
      </c>
      <c r="EV35" s="3">
        <f t="shared" si="18"/>
        <v>118274.76953913576</v>
      </c>
      <c r="EW35" s="3">
        <f t="shared" si="18"/>
        <v>123597.13416839685</v>
      </c>
      <c r="EX35" s="3">
        <f t="shared" si="18"/>
        <v>129159.0052059747</v>
      </c>
      <c r="EY35" s="3">
        <f t="shared" si="18"/>
        <v>134971.16044024355</v>
      </c>
      <c r="EZ35" s="3">
        <f t="shared" si="18"/>
        <v>141044.8626600545</v>
      </c>
      <c r="FA35" s="3">
        <f t="shared" si="18"/>
        <v>147391.88147975696</v>
      </c>
      <c r="FB35" s="3">
        <f t="shared" si="18"/>
        <v>154024.51614634602</v>
      </c>
      <c r="FC35" s="3">
        <f t="shared" si="18"/>
        <v>160955.6193729316</v>
      </c>
      <c r="FD35" s="3">
        <f t="shared" si="18"/>
        <v>168198.62224471351</v>
      </c>
      <c r="FE35" s="3">
        <f t="shared" si="18"/>
        <v>175767.56024572562</v>
      </c>
      <c r="FF35" s="3">
        <f t="shared" si="18"/>
        <v>183677.10045678329</v>
      </c>
      <c r="FG35" s="3">
        <f t="shared" si="18"/>
        <v>191942.56997733854</v>
      </c>
      <c r="FH35" s="3">
        <f t="shared" si="18"/>
        <v>200579.98562631878</v>
      </c>
      <c r="FI35" s="3">
        <f t="shared" si="18"/>
        <v>209606.08497950312</v>
      </c>
      <c r="FJ35" s="3">
        <f t="shared" si="18"/>
        <v>219038.35880358075</v>
      </c>
      <c r="FK35" s="3">
        <f t="shared" si="18"/>
        <v>228895.0849497419</v>
      </c>
      <c r="FL35" s="3">
        <f t="shared" si="18"/>
        <v>239195.36377248028</v>
      </c>
      <c r="FM35" s="3">
        <f t="shared" si="18"/>
        <v>249959.15514224191</v>
      </c>
      <c r="FN35" s="3">
        <f t="shared" si="18"/>
        <v>261207.31712364277</v>
      </c>
      <c r="FO35" s="3">
        <f t="shared" si="18"/>
        <v>272961.64639420668</v>
      </c>
      <c r="FP35" s="3">
        <f t="shared" si="18"/>
        <v>285244.92048194597</v>
      </c>
      <c r="FQ35" s="3">
        <f t="shared" si="18"/>
        <v>298080.94190363353</v>
      </c>
      <c r="FR35" s="3">
        <f t="shared" si="18"/>
        <v>311494.58428929705</v>
      </c>
      <c r="FS35" s="3">
        <f t="shared" si="18"/>
        <v>325511.84058231546</v>
      </c>
      <c r="FT35" s="3">
        <f t="shared" si="18"/>
        <v>340159.87340851966</v>
      </c>
      <c r="FU35" s="3">
        <f t="shared" si="18"/>
        <v>355467.06771190302</v>
      </c>
      <c r="FV35" s="3">
        <f t="shared" si="18"/>
        <v>371463.08575893869</v>
      </c>
      <c r="FW35" s="3">
        <f t="shared" si="18"/>
        <v>388178.92461809091</v>
      </c>
      <c r="FX35" s="3">
        <f t="shared" si="18"/>
        <v>405646.976225905</v>
      </c>
      <c r="FY35" s="3">
        <f t="shared" si="18"/>
        <v>423901.09015607071</v>
      </c>
      <c r="FZ35" s="3">
        <f t="shared" si="18"/>
        <v>442976.63921309391</v>
      </c>
      <c r="GA35" s="3">
        <f t="shared" si="18"/>
        <v>462910.58797768317</v>
      </c>
      <c r="GB35" s="3">
        <f t="shared" si="18"/>
        <v>483741.56443667889</v>
      </c>
      <c r="GC35" s="3">
        <f t="shared" si="18"/>
        <v>505509.93483632948</v>
      </c>
      <c r="GD35" s="3">
        <f t="shared" si="18"/>
        <v>528257.88190396433</v>
      </c>
      <c r="GE35" s="3">
        <f t="shared" si="18"/>
        <v>552029.48658964271</v>
      </c>
      <c r="GF35" s="3">
        <f t="shared" si="18"/>
        <v>576870.81348617666</v>
      </c>
      <c r="GG35" s="3">
        <f t="shared" si="18"/>
        <v>602830.00009305461</v>
      </c>
      <c r="GH35" s="3">
        <f t="shared" si="18"/>
        <v>629957.35009724204</v>
      </c>
      <c r="GI35" s="3">
        <f t="shared" si="18"/>
        <v>658305.43085161794</v>
      </c>
      <c r="GJ35" s="3">
        <f t="shared" si="18"/>
        <v>687929.17523994087</v>
      </c>
      <c r="GK35" s="3">
        <f t="shared" si="18"/>
        <v>718885.98812573822</v>
      </c>
      <c r="GL35" s="3">
        <f t="shared" si="18"/>
        <v>751235.85759139643</v>
      </c>
      <c r="GM35" s="3">
        <f t="shared" si="18"/>
        <v>785041.47118300921</v>
      </c>
      <c r="GN35" s="3">
        <f t="shared" si="18"/>
        <v>820368.33738624456</v>
      </c>
      <c r="GO35" s="3">
        <f t="shared" si="18"/>
        <v>857284.91256862553</v>
      </c>
      <c r="GP35" s="3">
        <f t="shared" si="18"/>
        <v>895862.73363421368</v>
      </c>
      <c r="GQ35" s="3">
        <f t="shared" si="18"/>
        <v>936176.55664775334</v>
      </c>
      <c r="GR35" s="3">
        <f t="shared" ref="GR35:GX35" si="19">GQ38</f>
        <v>978304.50169690233</v>
      </c>
      <c r="GS35" s="3">
        <f t="shared" si="19"/>
        <v>1022328.204273263</v>
      </c>
      <c r="GT35" s="3">
        <f t="shared" si="19"/>
        <v>1068332.97346556</v>
      </c>
      <c r="GU35" s="3">
        <f t="shared" si="19"/>
        <v>1116407.95727151</v>
      </c>
      <c r="GV35" s="3">
        <f t="shared" si="19"/>
        <v>1166646.3153487279</v>
      </c>
      <c r="GW35" s="3">
        <f t="shared" si="19"/>
        <v>1219145.3995394206</v>
      </c>
      <c r="GX35" s="3">
        <f t="shared" si="19"/>
        <v>1274006.9425186946</v>
      </c>
    </row>
    <row r="36" spans="1:206">
      <c r="C36" t="s">
        <v>52</v>
      </c>
      <c r="E36" s="2">
        <f>E4</f>
        <v>0.15</v>
      </c>
      <c r="G36" s="3">
        <f>G35*$E$36</f>
        <v>30</v>
      </c>
      <c r="H36" s="3">
        <f t="shared" ref="H36:BS36" si="20">H35*$E$36</f>
        <v>31.349999999999998</v>
      </c>
      <c r="I36" s="3">
        <f t="shared" si="20"/>
        <v>32.760750000000002</v>
      </c>
      <c r="J36" s="3">
        <f t="shared" si="20"/>
        <v>34.234983749999998</v>
      </c>
      <c r="K36" s="3">
        <f t="shared" si="20"/>
        <v>35.775558018750004</v>
      </c>
      <c r="L36" s="3">
        <f t="shared" si="20"/>
        <v>37.385458129593758</v>
      </c>
      <c r="M36" s="3">
        <f t="shared" si="20"/>
        <v>39.067803745425472</v>
      </c>
      <c r="N36" s="3">
        <f t="shared" si="20"/>
        <v>40.825854913969614</v>
      </c>
      <c r="O36" s="3">
        <f t="shared" si="20"/>
        <v>42.663018385098255</v>
      </c>
      <c r="P36" s="3">
        <f t="shared" si="20"/>
        <v>44.582854212427677</v>
      </c>
      <c r="Q36" s="3">
        <f t="shared" si="20"/>
        <v>46.589082651986921</v>
      </c>
      <c r="R36" s="3">
        <f t="shared" si="20"/>
        <v>48.685591371326339</v>
      </c>
      <c r="S36" s="3">
        <f t="shared" si="20"/>
        <v>50.876442983036021</v>
      </c>
      <c r="T36" s="3">
        <f t="shared" si="20"/>
        <v>53.165882917272647</v>
      </c>
      <c r="U36" s="3">
        <f t="shared" si="20"/>
        <v>55.558347648549919</v>
      </c>
      <c r="V36" s="3">
        <f t="shared" si="20"/>
        <v>58.058473292734661</v>
      </c>
      <c r="W36" s="3">
        <f t="shared" si="20"/>
        <v>60.671104590907717</v>
      </c>
      <c r="X36" s="3">
        <f t="shared" si="20"/>
        <v>63.401304297498569</v>
      </c>
      <c r="Y36" s="3">
        <f t="shared" si="20"/>
        <v>66.254362990886008</v>
      </c>
      <c r="Z36" s="3">
        <f t="shared" si="20"/>
        <v>69.23580932547587</v>
      </c>
      <c r="AA36" s="3">
        <f t="shared" si="20"/>
        <v>72.351420745122283</v>
      </c>
      <c r="AB36" s="3">
        <f t="shared" si="20"/>
        <v>75.607234678652787</v>
      </c>
      <c r="AC36" s="3">
        <f t="shared" si="20"/>
        <v>79.009560239192169</v>
      </c>
      <c r="AD36" s="3">
        <f t="shared" si="20"/>
        <v>82.564990449955815</v>
      </c>
      <c r="AE36" s="3">
        <f t="shared" si="20"/>
        <v>86.280415020203819</v>
      </c>
      <c r="AF36" s="3">
        <f t="shared" si="20"/>
        <v>90.16303369611299</v>
      </c>
      <c r="AG36" s="3">
        <f t="shared" si="20"/>
        <v>94.22037021243807</v>
      </c>
      <c r="AH36" s="3">
        <f t="shared" si="20"/>
        <v>98.460286871997781</v>
      </c>
      <c r="AI36" s="3">
        <f t="shared" si="20"/>
        <v>102.89099978123768</v>
      </c>
      <c r="AJ36" s="3">
        <f t="shared" si="20"/>
        <v>107.52109477139338</v>
      </c>
      <c r="AK36" s="3">
        <f t="shared" si="20"/>
        <v>112.35954403610607</v>
      </c>
      <c r="AL36" s="3">
        <f t="shared" si="20"/>
        <v>117.41572351773085</v>
      </c>
      <c r="AM36" s="3">
        <f t="shared" si="20"/>
        <v>122.69943107602874</v>
      </c>
      <c r="AN36" s="3">
        <f t="shared" si="20"/>
        <v>128.22090547445006</v>
      </c>
      <c r="AO36" s="3">
        <f t="shared" si="20"/>
        <v>133.99084622080031</v>
      </c>
      <c r="AP36" s="3">
        <f t="shared" si="20"/>
        <v>140.02043430073633</v>
      </c>
      <c r="AQ36" s="3">
        <f t="shared" si="20"/>
        <v>146.32135384426948</v>
      </c>
      <c r="AR36" s="3">
        <f t="shared" si="20"/>
        <v>152.9058147672616</v>
      </c>
      <c r="AS36" s="3">
        <f t="shared" si="20"/>
        <v>159.78657643178835</v>
      </c>
      <c r="AT36" s="3">
        <f t="shared" si="20"/>
        <v>166.97697237121881</v>
      </c>
      <c r="AU36" s="3">
        <f t="shared" si="20"/>
        <v>174.49093612792367</v>
      </c>
      <c r="AV36" s="3">
        <f t="shared" si="20"/>
        <v>182.34302825368025</v>
      </c>
      <c r="AW36" s="3">
        <f t="shared" si="20"/>
        <v>190.54846452509582</v>
      </c>
      <c r="AX36" s="3">
        <f t="shared" si="20"/>
        <v>199.12314542872514</v>
      </c>
      <c r="AY36" s="3">
        <f t="shared" si="20"/>
        <v>208.08368697301779</v>
      </c>
      <c r="AZ36" s="3">
        <f t="shared" si="20"/>
        <v>217.4474528868036</v>
      </c>
      <c r="BA36" s="3">
        <f t="shared" si="20"/>
        <v>227.23258826670977</v>
      </c>
      <c r="BB36" s="3">
        <f t="shared" si="20"/>
        <v>237.45805473871172</v>
      </c>
      <c r="BC36" s="3">
        <f t="shared" si="20"/>
        <v>248.14366720195375</v>
      </c>
      <c r="BD36" s="3">
        <f t="shared" si="20"/>
        <v>259.31013222604167</v>
      </c>
      <c r="BE36" s="3">
        <f t="shared" si="20"/>
        <v>270.97908817621351</v>
      </c>
      <c r="BF36" s="3">
        <f t="shared" si="20"/>
        <v>283.17314714414312</v>
      </c>
      <c r="BG36" s="3">
        <f t="shared" si="20"/>
        <v>295.91593876562956</v>
      </c>
      <c r="BH36" s="3">
        <f t="shared" si="20"/>
        <v>309.23215601008286</v>
      </c>
      <c r="BI36" s="3">
        <f t="shared" si="20"/>
        <v>323.14760303053657</v>
      </c>
      <c r="BJ36" s="3">
        <f t="shared" si="20"/>
        <v>337.68924516691072</v>
      </c>
      <c r="BK36" s="3">
        <f t="shared" si="20"/>
        <v>352.88526119942168</v>
      </c>
      <c r="BL36" s="3">
        <f t="shared" si="20"/>
        <v>368.7650979533957</v>
      </c>
      <c r="BM36" s="3">
        <f t="shared" si="20"/>
        <v>385.35952736129843</v>
      </c>
      <c r="BN36" s="3">
        <f t="shared" si="20"/>
        <v>402.70070609255691</v>
      </c>
      <c r="BO36" s="3">
        <f t="shared" si="20"/>
        <v>420.82223786672199</v>
      </c>
      <c r="BP36" s="3">
        <f t="shared" si="20"/>
        <v>439.75923857072451</v>
      </c>
      <c r="BQ36" s="3">
        <f t="shared" si="20"/>
        <v>459.54840430640712</v>
      </c>
      <c r="BR36" s="3">
        <f t="shared" si="20"/>
        <v>480.22808250019534</v>
      </c>
      <c r="BS36" s="3">
        <f t="shared" si="20"/>
        <v>501.83834621270415</v>
      </c>
      <c r="BT36" s="3">
        <f t="shared" ref="BT36:EE36" si="21">BT35*$E$36</f>
        <v>524.42107179227582</v>
      </c>
      <c r="BU36" s="3">
        <f t="shared" si="21"/>
        <v>548.02002002292818</v>
      </c>
      <c r="BV36" s="3">
        <f t="shared" si="21"/>
        <v>572.68092092395989</v>
      </c>
      <c r="BW36" s="3">
        <f t="shared" si="21"/>
        <v>598.45156236553817</v>
      </c>
      <c r="BX36" s="3">
        <f t="shared" si="21"/>
        <v>625.38188267198746</v>
      </c>
      <c r="BY36" s="3">
        <f t="shared" si="21"/>
        <v>653.52406739222681</v>
      </c>
      <c r="BZ36" s="3">
        <f t="shared" si="21"/>
        <v>682.93265042487712</v>
      </c>
      <c r="CA36" s="3">
        <f t="shared" si="21"/>
        <v>713.66461969399666</v>
      </c>
      <c r="CB36" s="3">
        <f t="shared" si="21"/>
        <v>745.7795275802265</v>
      </c>
      <c r="CC36" s="3">
        <f t="shared" si="21"/>
        <v>779.33960632133665</v>
      </c>
      <c r="CD36" s="3">
        <f t="shared" si="21"/>
        <v>814.40988860579682</v>
      </c>
      <c r="CE36" s="3">
        <f t="shared" si="21"/>
        <v>851.05833359305768</v>
      </c>
      <c r="CF36" s="3">
        <f t="shared" si="21"/>
        <v>889.3559586047453</v>
      </c>
      <c r="CG36" s="3">
        <f t="shared" si="21"/>
        <v>929.37697674195874</v>
      </c>
      <c r="CH36" s="3">
        <f t="shared" si="21"/>
        <v>971.19894069534689</v>
      </c>
      <c r="CI36" s="3">
        <f t="shared" si="21"/>
        <v>1014.9028930266376</v>
      </c>
      <c r="CJ36" s="3">
        <f t="shared" si="21"/>
        <v>1060.5735232128363</v>
      </c>
      <c r="CK36" s="3">
        <f t="shared" si="21"/>
        <v>1108.2993317574139</v>
      </c>
      <c r="CL36" s="3">
        <f t="shared" si="21"/>
        <v>1158.1728016864977</v>
      </c>
      <c r="CM36" s="3">
        <f t="shared" si="21"/>
        <v>1210.2905777623901</v>
      </c>
      <c r="CN36" s="3">
        <f t="shared" si="21"/>
        <v>1264.7536537616975</v>
      </c>
      <c r="CO36" s="3">
        <f t="shared" si="21"/>
        <v>1321.6675681809738</v>
      </c>
      <c r="CP36" s="3">
        <f t="shared" si="21"/>
        <v>1381.1426087491179</v>
      </c>
      <c r="CQ36" s="3">
        <f t="shared" si="21"/>
        <v>1443.2940261428282</v>
      </c>
      <c r="CR36" s="3">
        <f t="shared" si="21"/>
        <v>1508.2422573192555</v>
      </c>
      <c r="CS36" s="3">
        <f t="shared" si="21"/>
        <v>1576.113158898622</v>
      </c>
      <c r="CT36" s="3">
        <f t="shared" si="21"/>
        <v>1647.0382510490601</v>
      </c>
      <c r="CU36" s="3">
        <f t="shared" si="21"/>
        <v>1721.1549723462679</v>
      </c>
      <c r="CV36" s="3">
        <f t="shared" si="21"/>
        <v>1798.6069461018501</v>
      </c>
      <c r="CW36" s="3">
        <f t="shared" si="21"/>
        <v>1879.5442586764334</v>
      </c>
      <c r="CX36" s="3">
        <f t="shared" si="21"/>
        <v>1964.1237503168729</v>
      </c>
      <c r="CY36" s="3">
        <f t="shared" si="21"/>
        <v>2052.5093190811322</v>
      </c>
      <c r="CZ36" s="3">
        <f t="shared" si="21"/>
        <v>2144.8722384397834</v>
      </c>
      <c r="DA36" s="3">
        <f t="shared" si="21"/>
        <v>2241.3914891695731</v>
      </c>
      <c r="DB36" s="3">
        <f t="shared" si="21"/>
        <v>2342.2541061822039</v>
      </c>
      <c r="DC36" s="3">
        <f t="shared" si="21"/>
        <v>2447.6555409604034</v>
      </c>
      <c r="DD36" s="3">
        <f t="shared" si="21"/>
        <v>2557.8000403036212</v>
      </c>
      <c r="DE36" s="3">
        <f t="shared" si="21"/>
        <v>2672.9010421172839</v>
      </c>
      <c r="DF36" s="3">
        <f t="shared" si="21"/>
        <v>2793.1815890125613</v>
      </c>
      <c r="DG36" s="3">
        <f t="shared" si="21"/>
        <v>2918.8747605181265</v>
      </c>
      <c r="DH36" s="3">
        <f t="shared" si="21"/>
        <v>3050.2241247414427</v>
      </c>
      <c r="DI36" s="3">
        <f t="shared" si="21"/>
        <v>3187.4842103548076</v>
      </c>
      <c r="DJ36" s="3">
        <f t="shared" si="21"/>
        <v>3330.9209998207739</v>
      </c>
      <c r="DK36" s="3">
        <f t="shared" si="21"/>
        <v>3480.8124448127087</v>
      </c>
      <c r="DL36" s="3">
        <f t="shared" si="21"/>
        <v>3637.449004829281</v>
      </c>
      <c r="DM36" s="3">
        <f t="shared" si="21"/>
        <v>3801.1342100465981</v>
      </c>
      <c r="DN36" s="3">
        <f t="shared" si="21"/>
        <v>3972.1852494986952</v>
      </c>
      <c r="DO36" s="3">
        <f t="shared" si="21"/>
        <v>4150.9335857261367</v>
      </c>
      <c r="DP36" s="3">
        <f t="shared" si="21"/>
        <v>4337.7255970838123</v>
      </c>
      <c r="DQ36" s="3">
        <f t="shared" si="21"/>
        <v>4532.9232489525839</v>
      </c>
      <c r="DR36" s="3">
        <f t="shared" si="21"/>
        <v>4736.9047951554503</v>
      </c>
      <c r="DS36" s="3">
        <f t="shared" si="21"/>
        <v>4950.0655109374466</v>
      </c>
      <c r="DT36" s="3">
        <f t="shared" si="21"/>
        <v>5172.8184589296325</v>
      </c>
      <c r="DU36" s="3">
        <f t="shared" si="21"/>
        <v>5405.5952895814653</v>
      </c>
      <c r="DV36" s="3">
        <f t="shared" si="21"/>
        <v>5648.8470776126314</v>
      </c>
      <c r="DW36" s="3">
        <f t="shared" si="21"/>
        <v>5903.0451961051995</v>
      </c>
      <c r="DX36" s="3">
        <f t="shared" si="21"/>
        <v>6168.6822299299338</v>
      </c>
      <c r="DY36" s="3">
        <f t="shared" si="21"/>
        <v>6446.2729302767812</v>
      </c>
      <c r="DZ36" s="3">
        <f t="shared" si="21"/>
        <v>6736.3552121392358</v>
      </c>
      <c r="EA36" s="3">
        <f t="shared" si="21"/>
        <v>7039.4911966855025</v>
      </c>
      <c r="EB36" s="3">
        <f t="shared" si="21"/>
        <v>7356.2683005363488</v>
      </c>
      <c r="EC36" s="3">
        <f t="shared" si="21"/>
        <v>7687.3003740604845</v>
      </c>
      <c r="ED36" s="3">
        <f t="shared" si="21"/>
        <v>8033.228890893206</v>
      </c>
      <c r="EE36" s="3">
        <f t="shared" si="21"/>
        <v>8394.7241909833992</v>
      </c>
      <c r="EF36" s="3">
        <f t="shared" ref="EF36:GQ36" si="22">EF35*$E$36</f>
        <v>8772.4867795776536</v>
      </c>
      <c r="EG36" s="3">
        <f t="shared" si="22"/>
        <v>9167.2486846586471</v>
      </c>
      <c r="EH36" s="3">
        <f t="shared" si="22"/>
        <v>9579.7748754682852</v>
      </c>
      <c r="EI36" s="3">
        <f t="shared" si="22"/>
        <v>10010.864744864359</v>
      </c>
      <c r="EJ36" s="3">
        <f t="shared" si="22"/>
        <v>10461.353658383256</v>
      </c>
      <c r="EK36" s="3">
        <f t="shared" si="22"/>
        <v>10932.114573010502</v>
      </c>
      <c r="EL36" s="3">
        <f t="shared" si="22"/>
        <v>11424.059728795975</v>
      </c>
      <c r="EM36" s="3">
        <f t="shared" si="22"/>
        <v>11938.142416591792</v>
      </c>
      <c r="EN36" s="3">
        <f t="shared" si="22"/>
        <v>12475.358825338424</v>
      </c>
      <c r="EO36" s="3">
        <f t="shared" si="22"/>
        <v>13036.749972478654</v>
      </c>
      <c r="EP36" s="3">
        <f t="shared" si="22"/>
        <v>13623.403721240193</v>
      </c>
      <c r="EQ36" s="3">
        <f t="shared" si="22"/>
        <v>14236.456888696001</v>
      </c>
      <c r="ER36" s="3">
        <f t="shared" si="22"/>
        <v>14877.09744868732</v>
      </c>
      <c r="ES36" s="3">
        <f t="shared" si="22"/>
        <v>15546.566833878251</v>
      </c>
      <c r="ET36" s="3">
        <f t="shared" si="22"/>
        <v>16246.162341402773</v>
      </c>
      <c r="EU36" s="3">
        <f t="shared" si="22"/>
        <v>16977.239646765898</v>
      </c>
      <c r="EV36" s="3">
        <f t="shared" si="22"/>
        <v>17741.215430870361</v>
      </c>
      <c r="EW36" s="3">
        <f t="shared" si="22"/>
        <v>18539.570125259528</v>
      </c>
      <c r="EX36" s="3">
        <f t="shared" si="22"/>
        <v>19373.850780896202</v>
      </c>
      <c r="EY36" s="3">
        <f t="shared" si="22"/>
        <v>20245.674066036532</v>
      </c>
      <c r="EZ36" s="3">
        <f t="shared" si="22"/>
        <v>21156.729399008174</v>
      </c>
      <c r="FA36" s="3">
        <f t="shared" si="22"/>
        <v>22108.782221963545</v>
      </c>
      <c r="FB36" s="3">
        <f t="shared" si="22"/>
        <v>23103.677421951903</v>
      </c>
      <c r="FC36" s="3">
        <f t="shared" si="22"/>
        <v>24143.342905939739</v>
      </c>
      <c r="FD36" s="3">
        <f t="shared" si="22"/>
        <v>25229.793336707025</v>
      </c>
      <c r="FE36" s="3">
        <f t="shared" si="22"/>
        <v>26365.134036858843</v>
      </c>
      <c r="FF36" s="3">
        <f t="shared" si="22"/>
        <v>27551.565068517491</v>
      </c>
      <c r="FG36" s="3">
        <f t="shared" si="22"/>
        <v>28791.385496600782</v>
      </c>
      <c r="FH36" s="3">
        <f t="shared" si="22"/>
        <v>30086.997843947815</v>
      </c>
      <c r="FI36" s="3">
        <f t="shared" si="22"/>
        <v>31440.912746925467</v>
      </c>
      <c r="FJ36" s="3">
        <f t="shared" si="22"/>
        <v>32855.753820537109</v>
      </c>
      <c r="FK36" s="3">
        <f t="shared" si="22"/>
        <v>34334.26274246128</v>
      </c>
      <c r="FL36" s="3">
        <f t="shared" si="22"/>
        <v>35879.304565872044</v>
      </c>
      <c r="FM36" s="3">
        <f t="shared" si="22"/>
        <v>37493.873271336284</v>
      </c>
      <c r="FN36" s="3">
        <f t="shared" si="22"/>
        <v>39181.097568546415</v>
      </c>
      <c r="FO36" s="3">
        <f t="shared" si="22"/>
        <v>40944.246959131</v>
      </c>
      <c r="FP36" s="3">
        <f t="shared" si="22"/>
        <v>42786.738072291897</v>
      </c>
      <c r="FQ36" s="3">
        <f t="shared" si="22"/>
        <v>44712.141285545025</v>
      </c>
      <c r="FR36" s="3">
        <f t="shared" si="22"/>
        <v>46724.187643394558</v>
      </c>
      <c r="FS36" s="3">
        <f t="shared" si="22"/>
        <v>48826.776087347316</v>
      </c>
      <c r="FT36" s="3">
        <f t="shared" si="22"/>
        <v>51023.981011277945</v>
      </c>
      <c r="FU36" s="3">
        <f t="shared" si="22"/>
        <v>53320.060156785454</v>
      </c>
      <c r="FV36" s="3">
        <f t="shared" si="22"/>
        <v>55719.462863840803</v>
      </c>
      <c r="FW36" s="3">
        <f t="shared" si="22"/>
        <v>58226.838692713638</v>
      </c>
      <c r="FX36" s="3">
        <f t="shared" si="22"/>
        <v>60847.046433885749</v>
      </c>
      <c r="FY36" s="3">
        <f t="shared" si="22"/>
        <v>63585.163523410607</v>
      </c>
      <c r="FZ36" s="3">
        <f t="shared" si="22"/>
        <v>66446.495881964089</v>
      </c>
      <c r="GA36" s="3">
        <f t="shared" si="22"/>
        <v>69436.588196652476</v>
      </c>
      <c r="GB36" s="3">
        <f t="shared" si="22"/>
        <v>72561.234665501834</v>
      </c>
      <c r="GC36" s="3">
        <f t="shared" si="22"/>
        <v>75826.490225449423</v>
      </c>
      <c r="GD36" s="3">
        <f t="shared" si="22"/>
        <v>79238.682285594652</v>
      </c>
      <c r="GE36" s="3">
        <f t="shared" si="22"/>
        <v>82804.4229884464</v>
      </c>
      <c r="GF36" s="3">
        <f t="shared" si="22"/>
        <v>86530.622022926502</v>
      </c>
      <c r="GG36" s="3">
        <f t="shared" si="22"/>
        <v>90424.500013958183</v>
      </c>
      <c r="GH36" s="3">
        <f t="shared" si="22"/>
        <v>94493.60251458631</v>
      </c>
      <c r="GI36" s="3">
        <f t="shared" si="22"/>
        <v>98745.814627742686</v>
      </c>
      <c r="GJ36" s="3">
        <f t="shared" si="22"/>
        <v>103189.37628599112</v>
      </c>
      <c r="GK36" s="3">
        <f t="shared" si="22"/>
        <v>107832.89821886073</v>
      </c>
      <c r="GL36" s="3">
        <f t="shared" si="22"/>
        <v>112685.37863870946</v>
      </c>
      <c r="GM36" s="3">
        <f t="shared" si="22"/>
        <v>117756.22067745138</v>
      </c>
      <c r="GN36" s="3">
        <f t="shared" si="22"/>
        <v>123055.25060793667</v>
      </c>
      <c r="GO36" s="3">
        <f t="shared" si="22"/>
        <v>128592.73688529382</v>
      </c>
      <c r="GP36" s="3">
        <f t="shared" si="22"/>
        <v>134379.41004513204</v>
      </c>
      <c r="GQ36" s="3">
        <f t="shared" si="22"/>
        <v>140426.48349716299</v>
      </c>
      <c r="GR36" s="3">
        <f t="shared" ref="GR36:GX36" si="23">GR35*$E$36</f>
        <v>146745.67525453534</v>
      </c>
      <c r="GS36" s="3">
        <f t="shared" si="23"/>
        <v>153349.23064098944</v>
      </c>
      <c r="GT36" s="3">
        <f t="shared" si="23"/>
        <v>160249.94601983399</v>
      </c>
      <c r="GU36" s="3">
        <f t="shared" si="23"/>
        <v>167461.1935907265</v>
      </c>
      <c r="GV36" s="3">
        <f t="shared" si="23"/>
        <v>174996.94730230919</v>
      </c>
      <c r="GW36" s="3">
        <f t="shared" si="23"/>
        <v>182871.80993091309</v>
      </c>
      <c r="GX36" s="3">
        <f t="shared" si="23"/>
        <v>191101.04137780418</v>
      </c>
    </row>
    <row r="37" spans="1:206">
      <c r="C37" t="s">
        <v>53</v>
      </c>
      <c r="E37" s="2">
        <f>E7</f>
        <v>0.7</v>
      </c>
      <c r="G37" s="3">
        <f>G36*$E$37</f>
        <v>21</v>
      </c>
      <c r="H37" s="3">
        <f t="shared" ref="H37:BS37" si="24">H36*$E$37</f>
        <v>21.944999999999997</v>
      </c>
      <c r="I37" s="3">
        <f t="shared" si="24"/>
        <v>22.932524999999998</v>
      </c>
      <c r="J37" s="3">
        <f t="shared" si="24"/>
        <v>23.964488624999998</v>
      </c>
      <c r="K37" s="3">
        <f t="shared" si="24"/>
        <v>25.042890613125003</v>
      </c>
      <c r="L37" s="3">
        <f t="shared" si="24"/>
        <v>26.169820690715628</v>
      </c>
      <c r="M37" s="3">
        <f t="shared" si="24"/>
        <v>27.347462621797828</v>
      </c>
      <c r="N37" s="3">
        <f t="shared" si="24"/>
        <v>28.578098439778728</v>
      </c>
      <c r="O37" s="3">
        <f t="shared" si="24"/>
        <v>29.864112869568775</v>
      </c>
      <c r="P37" s="3">
        <f t="shared" si="24"/>
        <v>31.207997948699372</v>
      </c>
      <c r="Q37" s="3">
        <f t="shared" si="24"/>
        <v>32.612357856390844</v>
      </c>
      <c r="R37" s="3">
        <f t="shared" si="24"/>
        <v>34.079913959928433</v>
      </c>
      <c r="S37" s="3">
        <f t="shared" si="24"/>
        <v>35.61351008812521</v>
      </c>
      <c r="T37" s="3">
        <f t="shared" si="24"/>
        <v>37.216118042090848</v>
      </c>
      <c r="U37" s="3">
        <f t="shared" si="24"/>
        <v>38.890843353984941</v>
      </c>
      <c r="V37" s="3">
        <f t="shared" si="24"/>
        <v>40.640931304914261</v>
      </c>
      <c r="W37" s="3">
        <f t="shared" si="24"/>
        <v>42.469773213635399</v>
      </c>
      <c r="X37" s="3">
        <f t="shared" si="24"/>
        <v>44.380913008248996</v>
      </c>
      <c r="Y37" s="3">
        <f t="shared" si="24"/>
        <v>46.3780540936202</v>
      </c>
      <c r="Z37" s="3">
        <f t="shared" si="24"/>
        <v>48.465066527833109</v>
      </c>
      <c r="AA37" s="3">
        <f t="shared" si="24"/>
        <v>50.645994521585592</v>
      </c>
      <c r="AB37" s="3">
        <f t="shared" si="24"/>
        <v>52.925064275056947</v>
      </c>
      <c r="AC37" s="3">
        <f t="shared" si="24"/>
        <v>55.306692167434512</v>
      </c>
      <c r="AD37" s="3">
        <f t="shared" si="24"/>
        <v>57.795493314969065</v>
      </c>
      <c r="AE37" s="3">
        <f t="shared" si="24"/>
        <v>60.39629051414267</v>
      </c>
      <c r="AF37" s="3">
        <f t="shared" si="24"/>
        <v>63.114123587279089</v>
      </c>
      <c r="AG37" s="3">
        <f t="shared" si="24"/>
        <v>65.95425914870664</v>
      </c>
      <c r="AH37" s="3">
        <f t="shared" si="24"/>
        <v>68.922200810398436</v>
      </c>
      <c r="AI37" s="3">
        <f t="shared" si="24"/>
        <v>72.023699846866378</v>
      </c>
      <c r="AJ37" s="3">
        <f t="shared" si="24"/>
        <v>75.264766339975367</v>
      </c>
      <c r="AK37" s="3">
        <f t="shared" si="24"/>
        <v>78.651680825274241</v>
      </c>
      <c r="AL37" s="3">
        <f t="shared" si="24"/>
        <v>82.191006462411593</v>
      </c>
      <c r="AM37" s="3">
        <f t="shared" si="24"/>
        <v>85.88960175322012</v>
      </c>
      <c r="AN37" s="3">
        <f t="shared" si="24"/>
        <v>89.754633832115033</v>
      </c>
      <c r="AO37" s="3">
        <f t="shared" si="24"/>
        <v>93.793592354560204</v>
      </c>
      <c r="AP37" s="3">
        <f t="shared" si="24"/>
        <v>98.014304010515417</v>
      </c>
      <c r="AQ37" s="3">
        <f t="shared" si="24"/>
        <v>102.42494769098863</v>
      </c>
      <c r="AR37" s="3">
        <f t="shared" si="24"/>
        <v>107.03407033708312</v>
      </c>
      <c r="AS37" s="3">
        <f t="shared" si="24"/>
        <v>111.85060350225184</v>
      </c>
      <c r="AT37" s="3">
        <f t="shared" si="24"/>
        <v>116.88388065985316</v>
      </c>
      <c r="AU37" s="3">
        <f t="shared" si="24"/>
        <v>122.14365528954656</v>
      </c>
      <c r="AV37" s="3">
        <f t="shared" si="24"/>
        <v>127.64011977757616</v>
      </c>
      <c r="AW37" s="3">
        <f t="shared" si="24"/>
        <v>133.38392516756707</v>
      </c>
      <c r="AX37" s="3">
        <f t="shared" si="24"/>
        <v>139.38620180010759</v>
      </c>
      <c r="AY37" s="3">
        <f t="shared" si="24"/>
        <v>145.65858088111244</v>
      </c>
      <c r="AZ37" s="3">
        <f t="shared" si="24"/>
        <v>152.2132170207625</v>
      </c>
      <c r="BA37" s="3">
        <f t="shared" si="24"/>
        <v>159.06281178669684</v>
      </c>
      <c r="BB37" s="3">
        <f t="shared" si="24"/>
        <v>166.22063831709821</v>
      </c>
      <c r="BC37" s="3">
        <f t="shared" si="24"/>
        <v>173.70056704136761</v>
      </c>
      <c r="BD37" s="3">
        <f t="shared" si="24"/>
        <v>181.51709255822917</v>
      </c>
      <c r="BE37" s="3">
        <f t="shared" si="24"/>
        <v>189.68536172334944</v>
      </c>
      <c r="BF37" s="3">
        <f t="shared" si="24"/>
        <v>198.22120300090018</v>
      </c>
      <c r="BG37" s="3">
        <f t="shared" si="24"/>
        <v>207.14115713594069</v>
      </c>
      <c r="BH37" s="3">
        <f t="shared" si="24"/>
        <v>216.46250920705799</v>
      </c>
      <c r="BI37" s="3">
        <f t="shared" si="24"/>
        <v>226.20332212137558</v>
      </c>
      <c r="BJ37" s="3">
        <f t="shared" si="24"/>
        <v>236.38247161683748</v>
      </c>
      <c r="BK37" s="3">
        <f t="shared" si="24"/>
        <v>247.01968283959516</v>
      </c>
      <c r="BL37" s="3">
        <f t="shared" si="24"/>
        <v>258.13556856737699</v>
      </c>
      <c r="BM37" s="3">
        <f t="shared" si="24"/>
        <v>269.7516691529089</v>
      </c>
      <c r="BN37" s="3">
        <f t="shared" si="24"/>
        <v>281.89049426478982</v>
      </c>
      <c r="BO37" s="3">
        <f t="shared" si="24"/>
        <v>294.5755665067054</v>
      </c>
      <c r="BP37" s="3">
        <f t="shared" si="24"/>
        <v>307.83146699950714</v>
      </c>
      <c r="BQ37" s="3">
        <f t="shared" si="24"/>
        <v>321.68388301448499</v>
      </c>
      <c r="BR37" s="3">
        <f t="shared" si="24"/>
        <v>336.15965775013672</v>
      </c>
      <c r="BS37" s="3">
        <f t="shared" si="24"/>
        <v>351.28684234889289</v>
      </c>
      <c r="BT37" s="3">
        <f t="shared" ref="BT37:EE37" si="25">BT36*$E$37</f>
        <v>367.09475025459307</v>
      </c>
      <c r="BU37" s="3">
        <f t="shared" si="25"/>
        <v>383.61401401604968</v>
      </c>
      <c r="BV37" s="3">
        <f t="shared" si="25"/>
        <v>400.87664464677192</v>
      </c>
      <c r="BW37" s="3">
        <f t="shared" si="25"/>
        <v>418.91609365587669</v>
      </c>
      <c r="BX37" s="3">
        <f t="shared" si="25"/>
        <v>437.7673178703912</v>
      </c>
      <c r="BY37" s="3">
        <f t="shared" si="25"/>
        <v>457.46684717455872</v>
      </c>
      <c r="BZ37" s="3">
        <f t="shared" si="25"/>
        <v>478.05285529741394</v>
      </c>
      <c r="CA37" s="3">
        <f t="shared" si="25"/>
        <v>499.5652337857976</v>
      </c>
      <c r="CB37" s="3">
        <f t="shared" si="25"/>
        <v>522.04566930615852</v>
      </c>
      <c r="CC37" s="3">
        <f t="shared" si="25"/>
        <v>545.53772442493562</v>
      </c>
      <c r="CD37" s="3">
        <f t="shared" si="25"/>
        <v>570.08692202405769</v>
      </c>
      <c r="CE37" s="3">
        <f t="shared" si="25"/>
        <v>595.74083351514037</v>
      </c>
      <c r="CF37" s="3">
        <f t="shared" si="25"/>
        <v>622.54917102332172</v>
      </c>
      <c r="CG37" s="3">
        <f t="shared" si="25"/>
        <v>650.56388371937112</v>
      </c>
      <c r="CH37" s="3">
        <f t="shared" si="25"/>
        <v>679.83925848674278</v>
      </c>
      <c r="CI37" s="3">
        <f t="shared" si="25"/>
        <v>710.43202511864627</v>
      </c>
      <c r="CJ37" s="3">
        <f t="shared" si="25"/>
        <v>742.40146624898534</v>
      </c>
      <c r="CK37" s="3">
        <f t="shared" si="25"/>
        <v>775.80953223018969</v>
      </c>
      <c r="CL37" s="3">
        <f t="shared" si="25"/>
        <v>810.72096118054833</v>
      </c>
      <c r="CM37" s="3">
        <f t="shared" si="25"/>
        <v>847.20340443367297</v>
      </c>
      <c r="CN37" s="3">
        <f t="shared" si="25"/>
        <v>885.32755763318823</v>
      </c>
      <c r="CO37" s="3">
        <f t="shared" si="25"/>
        <v>925.16729772668157</v>
      </c>
      <c r="CP37" s="3">
        <f t="shared" si="25"/>
        <v>966.79982612438243</v>
      </c>
      <c r="CQ37" s="3">
        <f t="shared" si="25"/>
        <v>1010.3058182999797</v>
      </c>
      <c r="CR37" s="3">
        <f t="shared" si="25"/>
        <v>1055.7695801234788</v>
      </c>
      <c r="CS37" s="3">
        <f t="shared" si="25"/>
        <v>1103.2792112290354</v>
      </c>
      <c r="CT37" s="3">
        <f t="shared" si="25"/>
        <v>1152.9267757343421</v>
      </c>
      <c r="CU37" s="3">
        <f t="shared" si="25"/>
        <v>1204.8084806423874</v>
      </c>
      <c r="CV37" s="3">
        <f t="shared" si="25"/>
        <v>1259.024862271295</v>
      </c>
      <c r="CW37" s="3">
        <f t="shared" si="25"/>
        <v>1315.6809810735033</v>
      </c>
      <c r="CX37" s="3">
        <f t="shared" si="25"/>
        <v>1374.8866252218111</v>
      </c>
      <c r="CY37" s="3">
        <f t="shared" si="25"/>
        <v>1436.7565233567925</v>
      </c>
      <c r="CZ37" s="3">
        <f t="shared" si="25"/>
        <v>1501.4105669078483</v>
      </c>
      <c r="DA37" s="3">
        <f t="shared" si="25"/>
        <v>1568.9740424187012</v>
      </c>
      <c r="DB37" s="3">
        <f t="shared" si="25"/>
        <v>1639.5778743275428</v>
      </c>
      <c r="DC37" s="3">
        <f t="shared" si="25"/>
        <v>1713.3588786722823</v>
      </c>
      <c r="DD37" s="3">
        <f t="shared" si="25"/>
        <v>1790.4600282125348</v>
      </c>
      <c r="DE37" s="3">
        <f t="shared" si="25"/>
        <v>1871.0307294820986</v>
      </c>
      <c r="DF37" s="3">
        <f t="shared" si="25"/>
        <v>1955.2271123087928</v>
      </c>
      <c r="DG37" s="3">
        <f t="shared" si="25"/>
        <v>2043.2123323626884</v>
      </c>
      <c r="DH37" s="3">
        <f t="shared" si="25"/>
        <v>2135.1568873190099</v>
      </c>
      <c r="DI37" s="3">
        <f t="shared" si="25"/>
        <v>2231.2389472483651</v>
      </c>
      <c r="DJ37" s="3">
        <f t="shared" si="25"/>
        <v>2331.6446998745414</v>
      </c>
      <c r="DK37" s="3">
        <f t="shared" si="25"/>
        <v>2436.5687113688959</v>
      </c>
      <c r="DL37" s="3">
        <f t="shared" si="25"/>
        <v>2546.2143033804964</v>
      </c>
      <c r="DM37" s="3">
        <f t="shared" si="25"/>
        <v>2660.7939470326187</v>
      </c>
      <c r="DN37" s="3">
        <f t="shared" si="25"/>
        <v>2780.5296746490862</v>
      </c>
      <c r="DO37" s="3">
        <f t="shared" si="25"/>
        <v>2905.6535100082956</v>
      </c>
      <c r="DP37" s="3">
        <f t="shared" si="25"/>
        <v>3036.4079179586683</v>
      </c>
      <c r="DQ37" s="3">
        <f t="shared" si="25"/>
        <v>3173.0462742668087</v>
      </c>
      <c r="DR37" s="3">
        <f t="shared" si="25"/>
        <v>3315.8333566088149</v>
      </c>
      <c r="DS37" s="3">
        <f t="shared" si="25"/>
        <v>3465.0458576562123</v>
      </c>
      <c r="DT37" s="3">
        <f t="shared" si="25"/>
        <v>3620.9729212507423</v>
      </c>
      <c r="DU37" s="3">
        <f t="shared" si="25"/>
        <v>3783.9167027070253</v>
      </c>
      <c r="DV37" s="3">
        <f t="shared" si="25"/>
        <v>3954.1929543288416</v>
      </c>
      <c r="DW37" s="3">
        <f t="shared" si="25"/>
        <v>4132.1316372736392</v>
      </c>
      <c r="DX37" s="3">
        <f t="shared" si="25"/>
        <v>4318.0775609509537</v>
      </c>
      <c r="DY37" s="3">
        <f t="shared" si="25"/>
        <v>4512.3910511937465</v>
      </c>
      <c r="DZ37" s="3">
        <f t="shared" si="25"/>
        <v>4715.448648497465</v>
      </c>
      <c r="EA37" s="3">
        <f t="shared" si="25"/>
        <v>4927.6438376798515</v>
      </c>
      <c r="EB37" s="3">
        <f t="shared" si="25"/>
        <v>5149.3878103754441</v>
      </c>
      <c r="EC37" s="3">
        <f t="shared" si="25"/>
        <v>5381.1102618423392</v>
      </c>
      <c r="ED37" s="3">
        <f t="shared" si="25"/>
        <v>5623.2602236252442</v>
      </c>
      <c r="EE37" s="3">
        <f t="shared" si="25"/>
        <v>5876.3069336883791</v>
      </c>
      <c r="EF37" s="3">
        <f t="shared" ref="EF37:GQ37" si="26">EF36*$E$37</f>
        <v>6140.7407457043573</v>
      </c>
      <c r="EG37" s="3">
        <f t="shared" si="26"/>
        <v>6417.0740792610522</v>
      </c>
      <c r="EH37" s="3">
        <f t="shared" si="26"/>
        <v>6705.8424128277993</v>
      </c>
      <c r="EI37" s="3">
        <f t="shared" si="26"/>
        <v>7007.6053214050507</v>
      </c>
      <c r="EJ37" s="3">
        <f t="shared" si="26"/>
        <v>7322.9475608682787</v>
      </c>
      <c r="EK37" s="3">
        <f t="shared" si="26"/>
        <v>7652.4802011073507</v>
      </c>
      <c r="EL37" s="3">
        <f t="shared" si="26"/>
        <v>7996.8418101571824</v>
      </c>
      <c r="EM37" s="3">
        <f t="shared" si="26"/>
        <v>8356.6996916142543</v>
      </c>
      <c r="EN37" s="3">
        <f t="shared" si="26"/>
        <v>8732.7511777368964</v>
      </c>
      <c r="EO37" s="3">
        <f t="shared" si="26"/>
        <v>9125.7249807350563</v>
      </c>
      <c r="EP37" s="3">
        <f t="shared" si="26"/>
        <v>9536.3826048681349</v>
      </c>
      <c r="EQ37" s="3">
        <f t="shared" si="26"/>
        <v>9965.5198220871989</v>
      </c>
      <c r="ER37" s="3">
        <f t="shared" si="26"/>
        <v>10413.968214081124</v>
      </c>
      <c r="ES37" s="3">
        <f t="shared" si="26"/>
        <v>10882.596783714775</v>
      </c>
      <c r="ET37" s="3">
        <f t="shared" si="26"/>
        <v>11372.313638981941</v>
      </c>
      <c r="EU37" s="3">
        <f t="shared" si="26"/>
        <v>11884.067752736128</v>
      </c>
      <c r="EV37" s="3">
        <f t="shared" si="26"/>
        <v>12418.850801609253</v>
      </c>
      <c r="EW37" s="3">
        <f t="shared" si="26"/>
        <v>12977.699087681669</v>
      </c>
      <c r="EX37" s="3">
        <f t="shared" si="26"/>
        <v>13561.695546627341</v>
      </c>
      <c r="EY37" s="3">
        <f t="shared" si="26"/>
        <v>14171.971846225571</v>
      </c>
      <c r="EZ37" s="3">
        <f t="shared" si="26"/>
        <v>14809.710579305722</v>
      </c>
      <c r="FA37" s="3">
        <f t="shared" si="26"/>
        <v>15476.14755537448</v>
      </c>
      <c r="FB37" s="3">
        <f t="shared" si="26"/>
        <v>16172.574195366331</v>
      </c>
      <c r="FC37" s="3">
        <f t="shared" si="26"/>
        <v>16900.340034157816</v>
      </c>
      <c r="FD37" s="3">
        <f t="shared" si="26"/>
        <v>17660.855335694916</v>
      </c>
      <c r="FE37" s="3">
        <f t="shared" si="26"/>
        <v>18455.593825801188</v>
      </c>
      <c r="FF37" s="3">
        <f t="shared" si="26"/>
        <v>19286.095547962243</v>
      </c>
      <c r="FG37" s="3">
        <f t="shared" si="26"/>
        <v>20153.969847620545</v>
      </c>
      <c r="FH37" s="3">
        <f t="shared" si="26"/>
        <v>21060.898490763469</v>
      </c>
      <c r="FI37" s="3">
        <f t="shared" si="26"/>
        <v>22008.638922847826</v>
      </c>
      <c r="FJ37" s="3">
        <f t="shared" si="26"/>
        <v>22999.027674375975</v>
      </c>
      <c r="FK37" s="3">
        <f t="shared" si="26"/>
        <v>24033.983919722894</v>
      </c>
      <c r="FL37" s="3">
        <f t="shared" si="26"/>
        <v>25115.513196110431</v>
      </c>
      <c r="FM37" s="3">
        <f t="shared" si="26"/>
        <v>26245.711289935396</v>
      </c>
      <c r="FN37" s="3">
        <f t="shared" si="26"/>
        <v>27426.768297982489</v>
      </c>
      <c r="FO37" s="3">
        <f t="shared" si="26"/>
        <v>28660.972871391699</v>
      </c>
      <c r="FP37" s="3">
        <f t="shared" si="26"/>
        <v>29950.716650604325</v>
      </c>
      <c r="FQ37" s="3">
        <f t="shared" si="26"/>
        <v>31298.498899881517</v>
      </c>
      <c r="FR37" s="3">
        <f t="shared" si="26"/>
        <v>32706.931350376188</v>
      </c>
      <c r="FS37" s="3">
        <f t="shared" si="26"/>
        <v>34178.743261143121</v>
      </c>
      <c r="FT37" s="3">
        <f t="shared" si="26"/>
        <v>35716.786707894556</v>
      </c>
      <c r="FU37" s="3">
        <f t="shared" si="26"/>
        <v>37324.042109749818</v>
      </c>
      <c r="FV37" s="3">
        <f t="shared" si="26"/>
        <v>39003.624004688558</v>
      </c>
      <c r="FW37" s="3">
        <f t="shared" si="26"/>
        <v>40758.787084899544</v>
      </c>
      <c r="FX37" s="3">
        <f t="shared" si="26"/>
        <v>42592.932503720025</v>
      </c>
      <c r="FY37" s="3">
        <f t="shared" si="26"/>
        <v>44509.614466387422</v>
      </c>
      <c r="FZ37" s="3">
        <f t="shared" si="26"/>
        <v>46512.547117374859</v>
      </c>
      <c r="GA37" s="3">
        <f t="shared" si="26"/>
        <v>48605.611737656727</v>
      </c>
      <c r="GB37" s="3">
        <f t="shared" si="26"/>
        <v>50792.864265851284</v>
      </c>
      <c r="GC37" s="3">
        <f t="shared" si="26"/>
        <v>53078.543157814594</v>
      </c>
      <c r="GD37" s="3">
        <f t="shared" si="26"/>
        <v>55467.077599916251</v>
      </c>
      <c r="GE37" s="3">
        <f t="shared" si="26"/>
        <v>57963.096091912477</v>
      </c>
      <c r="GF37" s="3">
        <f t="shared" si="26"/>
        <v>60571.435416048545</v>
      </c>
      <c r="GG37" s="3">
        <f t="shared" si="26"/>
        <v>63297.150009770725</v>
      </c>
      <c r="GH37" s="3">
        <f t="shared" si="26"/>
        <v>66145.521760210409</v>
      </c>
      <c r="GI37" s="3">
        <f t="shared" si="26"/>
        <v>69122.070239419874</v>
      </c>
      <c r="GJ37" s="3">
        <f t="shared" si="26"/>
        <v>72232.563400193787</v>
      </c>
      <c r="GK37" s="3">
        <f t="shared" si="26"/>
        <v>75483.02875320251</v>
      </c>
      <c r="GL37" s="3">
        <f t="shared" si="26"/>
        <v>78879.765047096618</v>
      </c>
      <c r="GM37" s="3">
        <f t="shared" si="26"/>
        <v>82429.354474215957</v>
      </c>
      <c r="GN37" s="3">
        <f t="shared" si="26"/>
        <v>86138.675425555659</v>
      </c>
      <c r="GO37" s="3">
        <f t="shared" si="26"/>
        <v>90014.915819705668</v>
      </c>
      <c r="GP37" s="3">
        <f t="shared" si="26"/>
        <v>94065.587031592426</v>
      </c>
      <c r="GQ37" s="3">
        <f t="shared" si="26"/>
        <v>98298.538448014093</v>
      </c>
      <c r="GR37" s="3">
        <f t="shared" ref="GR37:GX37" si="27">GR36*$E$37</f>
        <v>102721.97267817473</v>
      </c>
      <c r="GS37" s="3">
        <f t="shared" si="27"/>
        <v>107344.4614486926</v>
      </c>
      <c r="GT37" s="3">
        <f t="shared" si="27"/>
        <v>112174.96221388379</v>
      </c>
      <c r="GU37" s="3">
        <f t="shared" si="27"/>
        <v>117222.83551350854</v>
      </c>
      <c r="GV37" s="3">
        <f t="shared" si="27"/>
        <v>122497.86311161642</v>
      </c>
      <c r="GW37" s="3">
        <f t="shared" si="27"/>
        <v>128010.26695163916</v>
      </c>
      <c r="GX37" s="3">
        <f t="shared" si="27"/>
        <v>133770.72896446293</v>
      </c>
    </row>
    <row r="38" spans="1:206">
      <c r="C38" t="s">
        <v>54</v>
      </c>
      <c r="F38" s="3">
        <f>F24</f>
        <v>200</v>
      </c>
      <c r="G38" s="3">
        <f>G35+G36-G37</f>
        <v>209</v>
      </c>
      <c r="H38" s="3">
        <f t="shared" ref="H38:BS38" si="28">H35+H36-H37</f>
        <v>218.405</v>
      </c>
      <c r="I38" s="3">
        <f t="shared" si="28"/>
        <v>228.233225</v>
      </c>
      <c r="J38" s="3">
        <f t="shared" si="28"/>
        <v>238.50372012500003</v>
      </c>
      <c r="K38" s="3">
        <f t="shared" si="28"/>
        <v>249.23638753062505</v>
      </c>
      <c r="L38" s="3">
        <f t="shared" si="28"/>
        <v>260.45202496950316</v>
      </c>
      <c r="M38" s="3">
        <f t="shared" si="28"/>
        <v>272.17236609313079</v>
      </c>
      <c r="N38" s="3">
        <f t="shared" si="28"/>
        <v>284.4201225673217</v>
      </c>
      <c r="O38" s="3">
        <f t="shared" si="28"/>
        <v>297.2190280828512</v>
      </c>
      <c r="P38" s="3">
        <f t="shared" si="28"/>
        <v>310.5938843465795</v>
      </c>
      <c r="Q38" s="3">
        <f t="shared" si="28"/>
        <v>324.57060914217561</v>
      </c>
      <c r="R38" s="3">
        <f t="shared" si="28"/>
        <v>339.1762865535735</v>
      </c>
      <c r="S38" s="3">
        <f t="shared" si="28"/>
        <v>354.43921944848432</v>
      </c>
      <c r="T38" s="3">
        <f t="shared" si="28"/>
        <v>370.38898432366614</v>
      </c>
      <c r="U38" s="3">
        <f t="shared" si="28"/>
        <v>387.05648861823107</v>
      </c>
      <c r="V38" s="3">
        <f t="shared" si="28"/>
        <v>404.47403060605149</v>
      </c>
      <c r="W38" s="3">
        <f t="shared" si="28"/>
        <v>422.6753619833238</v>
      </c>
      <c r="X38" s="3">
        <f t="shared" si="28"/>
        <v>441.69575327257337</v>
      </c>
      <c r="Y38" s="3">
        <f t="shared" si="28"/>
        <v>461.57206216983917</v>
      </c>
      <c r="Z38" s="3">
        <f t="shared" si="28"/>
        <v>482.34280496748187</v>
      </c>
      <c r="AA38" s="3">
        <f t="shared" si="28"/>
        <v>504.0482311910186</v>
      </c>
      <c r="AB38" s="3">
        <f t="shared" si="28"/>
        <v>526.73040159461448</v>
      </c>
      <c r="AC38" s="3">
        <f t="shared" si="28"/>
        <v>550.4332696663721</v>
      </c>
      <c r="AD38" s="3">
        <f t="shared" si="28"/>
        <v>575.20276680135885</v>
      </c>
      <c r="AE38" s="3">
        <f t="shared" si="28"/>
        <v>601.08689130741993</v>
      </c>
      <c r="AF38" s="3">
        <f t="shared" si="28"/>
        <v>628.1358014162538</v>
      </c>
      <c r="AG38" s="3">
        <f t="shared" si="28"/>
        <v>656.40191247998519</v>
      </c>
      <c r="AH38" s="3">
        <f t="shared" si="28"/>
        <v>685.9399985415846</v>
      </c>
      <c r="AI38" s="3">
        <f t="shared" si="28"/>
        <v>716.80729847595592</v>
      </c>
      <c r="AJ38" s="3">
        <f t="shared" si="28"/>
        <v>749.06362690737387</v>
      </c>
      <c r="AK38" s="3">
        <f t="shared" si="28"/>
        <v>782.77149011820575</v>
      </c>
      <c r="AL38" s="3">
        <f t="shared" si="28"/>
        <v>817.99620717352502</v>
      </c>
      <c r="AM38" s="3">
        <f t="shared" si="28"/>
        <v>854.80603649633372</v>
      </c>
      <c r="AN38" s="3">
        <f t="shared" si="28"/>
        <v>893.27230813866879</v>
      </c>
      <c r="AO38" s="3">
        <f t="shared" si="28"/>
        <v>933.46956200490888</v>
      </c>
      <c r="AP38" s="3">
        <f t="shared" si="28"/>
        <v>975.47569229512987</v>
      </c>
      <c r="AQ38" s="3">
        <f t="shared" si="28"/>
        <v>1019.3720984484107</v>
      </c>
      <c r="AR38" s="3">
        <f t="shared" si="28"/>
        <v>1065.243842878589</v>
      </c>
      <c r="AS38" s="3">
        <f t="shared" si="28"/>
        <v>1113.1798158081253</v>
      </c>
      <c r="AT38" s="3">
        <f t="shared" si="28"/>
        <v>1163.2729075194911</v>
      </c>
      <c r="AU38" s="3">
        <f t="shared" si="28"/>
        <v>1215.6201883578683</v>
      </c>
      <c r="AV38" s="3">
        <f t="shared" si="28"/>
        <v>1270.3230968339722</v>
      </c>
      <c r="AW38" s="3">
        <f t="shared" si="28"/>
        <v>1327.487636191501</v>
      </c>
      <c r="AX38" s="3">
        <f t="shared" si="28"/>
        <v>1387.2245798201186</v>
      </c>
      <c r="AY38" s="3">
        <f t="shared" si="28"/>
        <v>1449.6496859120241</v>
      </c>
      <c r="AZ38" s="3">
        <f t="shared" si="28"/>
        <v>1514.8839217780651</v>
      </c>
      <c r="BA38" s="3">
        <f t="shared" si="28"/>
        <v>1583.0536982580782</v>
      </c>
      <c r="BB38" s="3">
        <f t="shared" si="28"/>
        <v>1654.2911146796916</v>
      </c>
      <c r="BC38" s="3">
        <f t="shared" si="28"/>
        <v>1728.7342148402779</v>
      </c>
      <c r="BD38" s="3">
        <f t="shared" si="28"/>
        <v>1806.5272545080902</v>
      </c>
      <c r="BE38" s="3">
        <f t="shared" si="28"/>
        <v>1887.8209809609541</v>
      </c>
      <c r="BF38" s="3">
        <f t="shared" si="28"/>
        <v>1972.7729251041972</v>
      </c>
      <c r="BG38" s="3">
        <f t="shared" si="28"/>
        <v>2061.5477067338857</v>
      </c>
      <c r="BH38" s="3">
        <f t="shared" si="28"/>
        <v>2154.3173535369106</v>
      </c>
      <c r="BI38" s="3">
        <f t="shared" si="28"/>
        <v>2251.2616344460716</v>
      </c>
      <c r="BJ38" s="3">
        <f t="shared" si="28"/>
        <v>2352.5684079961447</v>
      </c>
      <c r="BK38" s="3">
        <f t="shared" si="28"/>
        <v>2458.4339863559712</v>
      </c>
      <c r="BL38" s="3">
        <f t="shared" si="28"/>
        <v>2569.0635157419897</v>
      </c>
      <c r="BM38" s="3">
        <f t="shared" si="28"/>
        <v>2684.6713739503793</v>
      </c>
      <c r="BN38" s="3">
        <f t="shared" si="28"/>
        <v>2805.4815857781468</v>
      </c>
      <c r="BO38" s="3">
        <f t="shared" si="28"/>
        <v>2931.7282571381634</v>
      </c>
      <c r="BP38" s="3">
        <f t="shared" si="28"/>
        <v>3063.6560287093807</v>
      </c>
      <c r="BQ38" s="3">
        <f t="shared" si="28"/>
        <v>3201.5205500013026</v>
      </c>
      <c r="BR38" s="3">
        <f t="shared" si="28"/>
        <v>3345.5889747513611</v>
      </c>
      <c r="BS38" s="3">
        <f t="shared" si="28"/>
        <v>3496.140478615172</v>
      </c>
      <c r="BT38" s="3">
        <f t="shared" ref="BT38:EE38" si="29">BT35+BT36-BT37</f>
        <v>3653.4668001528544</v>
      </c>
      <c r="BU38" s="3">
        <f t="shared" si="29"/>
        <v>3817.872806159733</v>
      </c>
      <c r="BV38" s="3">
        <f t="shared" si="29"/>
        <v>3989.677082436921</v>
      </c>
      <c r="BW38" s="3">
        <f t="shared" si="29"/>
        <v>4169.2125511465829</v>
      </c>
      <c r="BX38" s="3">
        <f t="shared" si="29"/>
        <v>4356.8271159481792</v>
      </c>
      <c r="BY38" s="3">
        <f t="shared" si="29"/>
        <v>4552.8843361658473</v>
      </c>
      <c r="BZ38" s="3">
        <f t="shared" si="29"/>
        <v>4757.764131293311</v>
      </c>
      <c r="CA38" s="3">
        <f t="shared" si="29"/>
        <v>4971.8635172015101</v>
      </c>
      <c r="CB38" s="3">
        <f t="shared" si="29"/>
        <v>5195.5973754755778</v>
      </c>
      <c r="CC38" s="3">
        <f t="shared" si="29"/>
        <v>5429.3992573719788</v>
      </c>
      <c r="CD38" s="3">
        <f t="shared" si="29"/>
        <v>5673.7222239537177</v>
      </c>
      <c r="CE38" s="3">
        <f t="shared" si="29"/>
        <v>5929.0397240316352</v>
      </c>
      <c r="CF38" s="3">
        <f t="shared" si="29"/>
        <v>6195.8465116130583</v>
      </c>
      <c r="CG38" s="3">
        <f t="shared" si="29"/>
        <v>6474.6596046356462</v>
      </c>
      <c r="CH38" s="3">
        <f t="shared" si="29"/>
        <v>6766.0192868442509</v>
      </c>
      <c r="CI38" s="3">
        <f t="shared" si="29"/>
        <v>7070.4901547522422</v>
      </c>
      <c r="CJ38" s="3">
        <f t="shared" si="29"/>
        <v>7388.6622117160932</v>
      </c>
      <c r="CK38" s="3">
        <f t="shared" si="29"/>
        <v>7721.1520112433182</v>
      </c>
      <c r="CL38" s="3">
        <f t="shared" si="29"/>
        <v>8068.6038517492671</v>
      </c>
      <c r="CM38" s="3">
        <f t="shared" si="29"/>
        <v>8431.6910250779838</v>
      </c>
      <c r="CN38" s="3">
        <f t="shared" si="29"/>
        <v>8811.1171212064928</v>
      </c>
      <c r="CO38" s="3">
        <f t="shared" si="29"/>
        <v>9207.6173916607859</v>
      </c>
      <c r="CP38" s="3">
        <f t="shared" si="29"/>
        <v>9621.9601742855211</v>
      </c>
      <c r="CQ38" s="3">
        <f t="shared" si="29"/>
        <v>10054.94838212837</v>
      </c>
      <c r="CR38" s="3">
        <f t="shared" si="29"/>
        <v>10507.421059324148</v>
      </c>
      <c r="CS38" s="3">
        <f t="shared" si="29"/>
        <v>10980.255006993735</v>
      </c>
      <c r="CT38" s="3">
        <f t="shared" si="29"/>
        <v>11474.366482308453</v>
      </c>
      <c r="CU38" s="3">
        <f t="shared" si="29"/>
        <v>11990.712974012335</v>
      </c>
      <c r="CV38" s="3">
        <f t="shared" si="29"/>
        <v>12530.29505784289</v>
      </c>
      <c r="CW38" s="3">
        <f t="shared" si="29"/>
        <v>13094.15833544582</v>
      </c>
      <c r="CX38" s="3">
        <f t="shared" si="29"/>
        <v>13683.395460540882</v>
      </c>
      <c r="CY38" s="3">
        <f t="shared" si="29"/>
        <v>14299.148256265222</v>
      </c>
      <c r="CZ38" s="3">
        <f t="shared" si="29"/>
        <v>14942.609927797155</v>
      </c>
      <c r="DA38" s="3">
        <f t="shared" si="29"/>
        <v>15615.027374548026</v>
      </c>
      <c r="DB38" s="3">
        <f t="shared" si="29"/>
        <v>16317.703606402689</v>
      </c>
      <c r="DC38" s="3">
        <f t="shared" si="29"/>
        <v>17052.000268690808</v>
      </c>
      <c r="DD38" s="3">
        <f t="shared" si="29"/>
        <v>17819.340280781893</v>
      </c>
      <c r="DE38" s="3">
        <f t="shared" si="29"/>
        <v>18621.210593417076</v>
      </c>
      <c r="DF38" s="3">
        <f t="shared" si="29"/>
        <v>19459.165070120845</v>
      </c>
      <c r="DG38" s="3">
        <f t="shared" si="29"/>
        <v>20334.827498276285</v>
      </c>
      <c r="DH38" s="3">
        <f t="shared" si="29"/>
        <v>21249.894735698719</v>
      </c>
      <c r="DI38" s="3">
        <f t="shared" si="29"/>
        <v>22206.13999880516</v>
      </c>
      <c r="DJ38" s="3">
        <f t="shared" si="29"/>
        <v>23205.416298751392</v>
      </c>
      <c r="DK38" s="3">
        <f t="shared" si="29"/>
        <v>24249.660032195206</v>
      </c>
      <c r="DL38" s="3">
        <f t="shared" si="29"/>
        <v>25340.894733643989</v>
      </c>
      <c r="DM38" s="3">
        <f t="shared" si="29"/>
        <v>26481.234996657968</v>
      </c>
      <c r="DN38" s="3">
        <f t="shared" si="29"/>
        <v>27672.890571507578</v>
      </c>
      <c r="DO38" s="3">
        <f t="shared" si="29"/>
        <v>28918.170647225419</v>
      </c>
      <c r="DP38" s="3">
        <f t="shared" si="29"/>
        <v>30219.488326350562</v>
      </c>
      <c r="DQ38" s="3">
        <f t="shared" si="29"/>
        <v>31579.365301036334</v>
      </c>
      <c r="DR38" s="3">
        <f t="shared" si="29"/>
        <v>33000.436739582976</v>
      </c>
      <c r="DS38" s="3">
        <f t="shared" si="29"/>
        <v>34485.456392864216</v>
      </c>
      <c r="DT38" s="3">
        <f t="shared" si="29"/>
        <v>36037.301930543101</v>
      </c>
      <c r="DU38" s="3">
        <f t="shared" si="29"/>
        <v>37658.980517417542</v>
      </c>
      <c r="DV38" s="3">
        <f t="shared" si="29"/>
        <v>39353.634640701333</v>
      </c>
      <c r="DW38" s="3">
        <f t="shared" si="29"/>
        <v>41124.548199532896</v>
      </c>
      <c r="DX38" s="3">
        <f t="shared" si="29"/>
        <v>42975.152868511876</v>
      </c>
      <c r="DY38" s="3">
        <f t="shared" si="29"/>
        <v>44909.034747594909</v>
      </c>
      <c r="DZ38" s="3">
        <f t="shared" si="29"/>
        <v>46929.941311236682</v>
      </c>
      <c r="EA38" s="3">
        <f t="shared" si="29"/>
        <v>49041.788670242327</v>
      </c>
      <c r="EB38" s="3">
        <f t="shared" si="29"/>
        <v>51248.669160403231</v>
      </c>
      <c r="EC38" s="3">
        <f t="shared" si="29"/>
        <v>53554.859272621376</v>
      </c>
      <c r="ED38" s="3">
        <f t="shared" si="29"/>
        <v>55964.827939889336</v>
      </c>
      <c r="EE38" s="3">
        <f t="shared" si="29"/>
        <v>58483.245197184355</v>
      </c>
      <c r="EF38" s="3">
        <f t="shared" ref="EF38:GQ38" si="30">EF35+EF36-EF37</f>
        <v>61114.991231057647</v>
      </c>
      <c r="EG38" s="3">
        <f t="shared" si="30"/>
        <v>63865.165836455235</v>
      </c>
      <c r="EH38" s="3">
        <f t="shared" si="30"/>
        <v>66739.098299095727</v>
      </c>
      <c r="EI38" s="3">
        <f t="shared" si="30"/>
        <v>69742.35772255504</v>
      </c>
      <c r="EJ38" s="3">
        <f t="shared" si="30"/>
        <v>72880.763820070017</v>
      </c>
      <c r="EK38" s="3">
        <f t="shared" si="30"/>
        <v>76160.398191973174</v>
      </c>
      <c r="EL38" s="3">
        <f t="shared" si="30"/>
        <v>79587.616110611954</v>
      </c>
      <c r="EM38" s="3">
        <f t="shared" si="30"/>
        <v>83169.058835589502</v>
      </c>
      <c r="EN38" s="3">
        <f t="shared" si="30"/>
        <v>86911.666483191031</v>
      </c>
      <c r="EO38" s="3">
        <f t="shared" si="30"/>
        <v>90822.691474934618</v>
      </c>
      <c r="EP38" s="3">
        <f t="shared" si="30"/>
        <v>94909.71259130667</v>
      </c>
      <c r="EQ38" s="3">
        <f t="shared" si="30"/>
        <v>99180.649657915477</v>
      </c>
      <c r="ER38" s="3">
        <f t="shared" si="30"/>
        <v>103643.77889252167</v>
      </c>
      <c r="ES38" s="3">
        <f t="shared" si="30"/>
        <v>108307.74894268515</v>
      </c>
      <c r="ET38" s="3">
        <f t="shared" si="30"/>
        <v>113181.59764510598</v>
      </c>
      <c r="EU38" s="3">
        <f t="shared" si="30"/>
        <v>118274.76953913576</v>
      </c>
      <c r="EV38" s="3">
        <f t="shared" si="30"/>
        <v>123597.13416839685</v>
      </c>
      <c r="EW38" s="3">
        <f t="shared" si="30"/>
        <v>129159.0052059747</v>
      </c>
      <c r="EX38" s="3">
        <f t="shared" si="30"/>
        <v>134971.16044024355</v>
      </c>
      <c r="EY38" s="3">
        <f t="shared" si="30"/>
        <v>141044.8626600545</v>
      </c>
      <c r="EZ38" s="3">
        <f t="shared" si="30"/>
        <v>147391.88147975696</v>
      </c>
      <c r="FA38" s="3">
        <f t="shared" si="30"/>
        <v>154024.51614634602</v>
      </c>
      <c r="FB38" s="3">
        <f t="shared" si="30"/>
        <v>160955.6193729316</v>
      </c>
      <c r="FC38" s="3">
        <f t="shared" si="30"/>
        <v>168198.62224471351</v>
      </c>
      <c r="FD38" s="3">
        <f t="shared" si="30"/>
        <v>175767.56024572562</v>
      </c>
      <c r="FE38" s="3">
        <f t="shared" si="30"/>
        <v>183677.10045678329</v>
      </c>
      <c r="FF38" s="3">
        <f t="shared" si="30"/>
        <v>191942.56997733854</v>
      </c>
      <c r="FG38" s="3">
        <f t="shared" si="30"/>
        <v>200579.98562631878</v>
      </c>
      <c r="FH38" s="3">
        <f t="shared" si="30"/>
        <v>209606.08497950312</v>
      </c>
      <c r="FI38" s="3">
        <f t="shared" si="30"/>
        <v>219038.35880358075</v>
      </c>
      <c r="FJ38" s="3">
        <f t="shared" si="30"/>
        <v>228895.0849497419</v>
      </c>
      <c r="FK38" s="3">
        <f t="shared" si="30"/>
        <v>239195.36377248028</v>
      </c>
      <c r="FL38" s="3">
        <f t="shared" si="30"/>
        <v>249959.15514224191</v>
      </c>
      <c r="FM38" s="3">
        <f t="shared" si="30"/>
        <v>261207.31712364277</v>
      </c>
      <c r="FN38" s="3">
        <f t="shared" si="30"/>
        <v>272961.64639420668</v>
      </c>
      <c r="FO38" s="3">
        <f t="shared" si="30"/>
        <v>285244.92048194597</v>
      </c>
      <c r="FP38" s="3">
        <f t="shared" si="30"/>
        <v>298080.94190363353</v>
      </c>
      <c r="FQ38" s="3">
        <f t="shared" si="30"/>
        <v>311494.58428929705</v>
      </c>
      <c r="FR38" s="3">
        <f t="shared" si="30"/>
        <v>325511.84058231546</v>
      </c>
      <c r="FS38" s="3">
        <f t="shared" si="30"/>
        <v>340159.87340851966</v>
      </c>
      <c r="FT38" s="3">
        <f t="shared" si="30"/>
        <v>355467.06771190302</v>
      </c>
      <c r="FU38" s="3">
        <f t="shared" si="30"/>
        <v>371463.08575893869</v>
      </c>
      <c r="FV38" s="3">
        <f t="shared" si="30"/>
        <v>388178.92461809091</v>
      </c>
      <c r="FW38" s="3">
        <f t="shared" si="30"/>
        <v>405646.976225905</v>
      </c>
      <c r="FX38" s="3">
        <f t="shared" si="30"/>
        <v>423901.09015607071</v>
      </c>
      <c r="FY38" s="3">
        <f t="shared" si="30"/>
        <v>442976.63921309391</v>
      </c>
      <c r="FZ38" s="3">
        <f t="shared" si="30"/>
        <v>462910.58797768317</v>
      </c>
      <c r="GA38" s="3">
        <f t="shared" si="30"/>
        <v>483741.56443667889</v>
      </c>
      <c r="GB38" s="3">
        <f t="shared" si="30"/>
        <v>505509.93483632948</v>
      </c>
      <c r="GC38" s="3">
        <f t="shared" si="30"/>
        <v>528257.88190396433</v>
      </c>
      <c r="GD38" s="3">
        <f t="shared" si="30"/>
        <v>552029.48658964271</v>
      </c>
      <c r="GE38" s="3">
        <f t="shared" si="30"/>
        <v>576870.81348617666</v>
      </c>
      <c r="GF38" s="3">
        <f t="shared" si="30"/>
        <v>602830.00009305461</v>
      </c>
      <c r="GG38" s="3">
        <f t="shared" si="30"/>
        <v>629957.35009724204</v>
      </c>
      <c r="GH38" s="3">
        <f t="shared" si="30"/>
        <v>658305.43085161794</v>
      </c>
      <c r="GI38" s="3">
        <f t="shared" si="30"/>
        <v>687929.17523994087</v>
      </c>
      <c r="GJ38" s="3">
        <f t="shared" si="30"/>
        <v>718885.98812573822</v>
      </c>
      <c r="GK38" s="3">
        <f t="shared" si="30"/>
        <v>751235.85759139643</v>
      </c>
      <c r="GL38" s="3">
        <f t="shared" si="30"/>
        <v>785041.47118300921</v>
      </c>
      <c r="GM38" s="3">
        <f t="shared" si="30"/>
        <v>820368.33738624456</v>
      </c>
      <c r="GN38" s="3">
        <f t="shared" si="30"/>
        <v>857284.91256862553</v>
      </c>
      <c r="GO38" s="3">
        <f t="shared" si="30"/>
        <v>895862.73363421368</v>
      </c>
      <c r="GP38" s="3">
        <f t="shared" si="30"/>
        <v>936176.55664775334</v>
      </c>
      <c r="GQ38" s="3">
        <f t="shared" si="30"/>
        <v>978304.50169690233</v>
      </c>
      <c r="GR38" s="3">
        <f t="shared" ref="GR38:GX38" si="31">GR35+GR36-GR37</f>
        <v>1022328.204273263</v>
      </c>
      <c r="GS38" s="3">
        <f t="shared" si="31"/>
        <v>1068332.97346556</v>
      </c>
      <c r="GT38" s="3">
        <f t="shared" si="31"/>
        <v>1116407.95727151</v>
      </c>
      <c r="GU38" s="3">
        <f t="shared" si="31"/>
        <v>1166646.3153487279</v>
      </c>
      <c r="GV38" s="3">
        <f t="shared" si="31"/>
        <v>1219145.3995394206</v>
      </c>
      <c r="GW38" s="3">
        <f t="shared" si="31"/>
        <v>1274006.9425186946</v>
      </c>
      <c r="GX38" s="3">
        <f t="shared" si="31"/>
        <v>1331337.2549320359</v>
      </c>
    </row>
    <row r="40" spans="1:206"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</row>
    <row r="41" spans="1:206">
      <c r="C41" t="s">
        <v>55</v>
      </c>
      <c r="E41" s="2">
        <f>E5</f>
        <v>6.6211594473151628E-2</v>
      </c>
      <c r="F41" s="3">
        <f>NPV(E41,G37:GX37)</f>
        <v>972.23262063778179</v>
      </c>
    </row>
    <row r="42" spans="1:206">
      <c r="C42" t="s">
        <v>429</v>
      </c>
      <c r="E42" s="2"/>
      <c r="F42" s="3">
        <f>F41/G36</f>
        <v>32.407754021259393</v>
      </c>
    </row>
    <row r="43" spans="1:206">
      <c r="E43" s="2"/>
      <c r="F43" s="15"/>
    </row>
    <row r="44" spans="1:206">
      <c r="A44" t="s">
        <v>430</v>
      </c>
      <c r="E44" s="2"/>
      <c r="F44" s="15"/>
    </row>
    <row r="45" spans="1:206">
      <c r="C45" t="s">
        <v>56</v>
      </c>
      <c r="F45" s="3">
        <f>F41/G36</f>
        <v>32.407754021259393</v>
      </c>
    </row>
    <row r="46" spans="1:206">
      <c r="C46" t="s">
        <v>123</v>
      </c>
      <c r="E46" s="2">
        <f>E3</f>
        <v>0.03</v>
      </c>
      <c r="F46" s="68"/>
    </row>
    <row r="47" spans="1:206">
      <c r="C47" t="s">
        <v>134</v>
      </c>
      <c r="F47" s="68"/>
    </row>
    <row r="48" spans="1:206">
      <c r="F48" s="3"/>
    </row>
    <row r="49" spans="3:9">
      <c r="C49" t="s">
        <v>135</v>
      </c>
      <c r="F49" s="3">
        <f>F38/(1+E3)</f>
        <v>194.17475728155338</v>
      </c>
    </row>
    <row r="50" spans="3:9">
      <c r="C50" t="s">
        <v>136</v>
      </c>
      <c r="F50" s="68"/>
    </row>
    <row r="51" spans="3:9">
      <c r="C51" t="s">
        <v>137</v>
      </c>
      <c r="F51" s="68"/>
    </row>
    <row r="53" spans="3:9">
      <c r="C53" t="s">
        <v>138</v>
      </c>
      <c r="F53" s="68"/>
    </row>
    <row r="58" spans="3:9" ht="15" thickBot="1"/>
    <row r="59" spans="3:9">
      <c r="E59" s="7">
        <v>18994</v>
      </c>
      <c r="F59" s="11">
        <v>12.53</v>
      </c>
      <c r="H59" s="17">
        <v>41639</v>
      </c>
      <c r="I59">
        <v>24.86</v>
      </c>
    </row>
    <row r="60" spans="3:9">
      <c r="E60" s="8">
        <v>19360</v>
      </c>
      <c r="F60" s="12">
        <v>13.01</v>
      </c>
      <c r="H60" s="17">
        <v>41670</v>
      </c>
      <c r="I60">
        <v>24.86</v>
      </c>
    </row>
    <row r="61" spans="3:9">
      <c r="E61" s="9">
        <v>19725</v>
      </c>
      <c r="F61" s="13">
        <v>12</v>
      </c>
      <c r="H61" s="17">
        <v>41698</v>
      </c>
      <c r="I61">
        <v>24.59</v>
      </c>
    </row>
    <row r="62" spans="3:9">
      <c r="E62" s="8">
        <v>20090</v>
      </c>
      <c r="F62" s="12">
        <v>15.99</v>
      </c>
      <c r="H62" s="17">
        <v>41729</v>
      </c>
      <c r="I62">
        <v>24.96</v>
      </c>
    </row>
    <row r="63" spans="3:9">
      <c r="E63" s="9">
        <v>20455</v>
      </c>
      <c r="F63" s="13">
        <v>18.29</v>
      </c>
      <c r="H63" s="17">
        <v>41759</v>
      </c>
      <c r="I63">
        <v>24.79</v>
      </c>
    </row>
    <row r="64" spans="3:9">
      <c r="E64" s="8">
        <v>20821</v>
      </c>
      <c r="F64" s="12">
        <v>16.72</v>
      </c>
      <c r="H64" s="17">
        <v>41790</v>
      </c>
      <c r="I64">
        <v>24.94</v>
      </c>
    </row>
    <row r="65" spans="5:9">
      <c r="E65" s="9">
        <v>21186</v>
      </c>
      <c r="F65" s="13">
        <v>13.79</v>
      </c>
      <c r="H65" s="17">
        <v>41820</v>
      </c>
      <c r="I65">
        <v>25.56</v>
      </c>
    </row>
    <row r="66" spans="5:9">
      <c r="E66" s="8">
        <v>21551</v>
      </c>
      <c r="F66" s="12">
        <v>17.98</v>
      </c>
      <c r="H66" s="17">
        <v>41851</v>
      </c>
      <c r="I66">
        <v>25.82</v>
      </c>
    </row>
    <row r="67" spans="5:9">
      <c r="E67" s="9">
        <v>21916</v>
      </c>
      <c r="F67" s="13">
        <v>18.34</v>
      </c>
      <c r="H67" s="17">
        <v>41882</v>
      </c>
      <c r="I67">
        <v>25.62</v>
      </c>
    </row>
    <row r="68" spans="5:9">
      <c r="E68" s="8">
        <v>22282</v>
      </c>
      <c r="F68" s="12">
        <v>18.47</v>
      </c>
      <c r="H68" s="17">
        <v>41912</v>
      </c>
      <c r="I68">
        <v>25.92</v>
      </c>
    </row>
    <row r="69" spans="5:9">
      <c r="E69" s="9">
        <v>22647</v>
      </c>
      <c r="F69" s="13">
        <v>21.2</v>
      </c>
      <c r="H69" s="17">
        <v>41943</v>
      </c>
      <c r="I69">
        <v>25.16</v>
      </c>
    </row>
    <row r="70" spans="5:9">
      <c r="E70" s="8">
        <v>23012</v>
      </c>
      <c r="F70" s="12">
        <v>19.260000000000002</v>
      </c>
      <c r="H70" s="17">
        <v>41973</v>
      </c>
      <c r="I70">
        <v>26.61</v>
      </c>
    </row>
    <row r="71" spans="5:9">
      <c r="E71" s="9">
        <v>23377</v>
      </c>
      <c r="F71" s="13">
        <v>21.63</v>
      </c>
      <c r="H71" s="17">
        <v>42004</v>
      </c>
      <c r="I71">
        <v>26.79</v>
      </c>
    </row>
    <row r="72" spans="5:9">
      <c r="E72" s="8">
        <v>23743</v>
      </c>
      <c r="F72" s="12">
        <v>23.27</v>
      </c>
      <c r="H72" s="17">
        <v>42035</v>
      </c>
      <c r="I72">
        <v>26.49</v>
      </c>
    </row>
    <row r="73" spans="5:9">
      <c r="E73" s="9">
        <v>24108</v>
      </c>
      <c r="F73" s="13">
        <v>24.06</v>
      </c>
      <c r="H73" s="17">
        <v>42063</v>
      </c>
      <c r="I73">
        <v>27</v>
      </c>
    </row>
    <row r="74" spans="5:9">
      <c r="E74" s="8">
        <v>24473</v>
      </c>
      <c r="F74" s="12">
        <v>20.43</v>
      </c>
      <c r="H74" s="17">
        <v>42094</v>
      </c>
      <c r="I74">
        <v>26.73</v>
      </c>
    </row>
    <row r="75" spans="5:9">
      <c r="E75" s="9">
        <v>24838</v>
      </c>
      <c r="F75" s="13">
        <v>21.51</v>
      </c>
      <c r="H75" s="17">
        <v>42124</v>
      </c>
      <c r="I75">
        <v>26.79</v>
      </c>
    </row>
    <row r="76" spans="5:9">
      <c r="E76" s="8">
        <v>25204</v>
      </c>
      <c r="F76" s="12">
        <v>21.19</v>
      </c>
      <c r="H76" s="17">
        <v>42155</v>
      </c>
      <c r="I76">
        <v>26.81</v>
      </c>
    </row>
    <row r="77" spans="5:9">
      <c r="E77" s="9">
        <v>25569</v>
      </c>
      <c r="F77" s="13">
        <v>17.09</v>
      </c>
      <c r="H77" s="17">
        <v>42185</v>
      </c>
      <c r="I77">
        <v>26.5</v>
      </c>
    </row>
    <row r="78" spans="5:9">
      <c r="E78" s="8">
        <v>25934</v>
      </c>
      <c r="F78" s="12">
        <v>16.46</v>
      </c>
      <c r="H78" s="17">
        <v>42216</v>
      </c>
      <c r="I78">
        <v>26.38</v>
      </c>
    </row>
    <row r="79" spans="5:9">
      <c r="E79" s="9">
        <v>26299</v>
      </c>
      <c r="F79" s="13">
        <v>17.260000000000002</v>
      </c>
      <c r="H79" s="17">
        <v>42247</v>
      </c>
      <c r="I79">
        <v>25.69</v>
      </c>
    </row>
    <row r="80" spans="5:9">
      <c r="E80" s="8">
        <v>26665</v>
      </c>
      <c r="F80" s="12">
        <v>18.71</v>
      </c>
      <c r="H80" s="17">
        <v>42277</v>
      </c>
      <c r="I80">
        <v>24.5</v>
      </c>
    </row>
    <row r="81" spans="5:9">
      <c r="E81" s="9">
        <v>27030</v>
      </c>
      <c r="F81" s="13">
        <v>13.53</v>
      </c>
      <c r="H81" s="17">
        <v>42308</v>
      </c>
      <c r="I81">
        <v>25.49</v>
      </c>
    </row>
    <row r="82" spans="5:9">
      <c r="E82" s="8">
        <v>27395</v>
      </c>
      <c r="F82" s="12">
        <v>8.92</v>
      </c>
      <c r="H82" s="17">
        <v>42338</v>
      </c>
      <c r="I82">
        <v>26.23</v>
      </c>
    </row>
    <row r="83" spans="5:9">
      <c r="E83" s="9">
        <v>27760</v>
      </c>
      <c r="F83" s="13">
        <v>11.19</v>
      </c>
      <c r="H83" s="17">
        <v>42369</v>
      </c>
      <c r="I83">
        <v>25.97</v>
      </c>
    </row>
    <row r="84" spans="5:9">
      <c r="E84" s="8">
        <v>28126</v>
      </c>
      <c r="F84" s="12">
        <v>11.44</v>
      </c>
      <c r="H84" s="17">
        <v>42400</v>
      </c>
      <c r="I84">
        <v>24.21</v>
      </c>
    </row>
    <row r="85" spans="5:9">
      <c r="E85" s="9">
        <v>28491</v>
      </c>
      <c r="F85" s="13">
        <v>9.24</v>
      </c>
      <c r="H85" s="17">
        <v>42429</v>
      </c>
      <c r="I85">
        <v>24</v>
      </c>
    </row>
    <row r="86" spans="5:9">
      <c r="E86" s="8">
        <v>28856</v>
      </c>
      <c r="F86" s="12">
        <v>9.26</v>
      </c>
      <c r="H86" s="17">
        <v>42460</v>
      </c>
      <c r="I86">
        <v>25.37</v>
      </c>
    </row>
    <row r="87" spans="5:9">
      <c r="E87" s="9">
        <v>29221</v>
      </c>
      <c r="F87" s="13">
        <v>8.85</v>
      </c>
      <c r="H87" s="17">
        <v>42490</v>
      </c>
      <c r="I87">
        <v>25.92</v>
      </c>
    </row>
    <row r="88" spans="5:9">
      <c r="E88" s="8">
        <v>29587</v>
      </c>
      <c r="F88" s="12">
        <v>9.26</v>
      </c>
      <c r="H88" s="17">
        <v>42521</v>
      </c>
      <c r="I88">
        <v>25.69</v>
      </c>
    </row>
    <row r="89" spans="5:9">
      <c r="E89" s="9">
        <v>29952</v>
      </c>
      <c r="F89" s="13">
        <v>7.39</v>
      </c>
      <c r="H89" s="17">
        <v>42551</v>
      </c>
      <c r="I89">
        <v>25.84</v>
      </c>
    </row>
    <row r="90" spans="5:9">
      <c r="E90" s="8">
        <v>30317</v>
      </c>
      <c r="F90" s="12">
        <v>8.76</v>
      </c>
      <c r="H90" s="17">
        <v>42582</v>
      </c>
      <c r="I90">
        <v>26.69</v>
      </c>
    </row>
    <row r="91" spans="5:9">
      <c r="E91" s="9">
        <v>30682</v>
      </c>
      <c r="F91" s="13">
        <v>9.89</v>
      </c>
      <c r="H91" s="17">
        <v>42613</v>
      </c>
      <c r="I91">
        <v>26.95</v>
      </c>
    </row>
    <row r="92" spans="5:9">
      <c r="E92" s="8">
        <v>31048</v>
      </c>
      <c r="F92" s="12">
        <v>10</v>
      </c>
      <c r="H92" s="17">
        <v>42643</v>
      </c>
      <c r="I92">
        <v>26.73</v>
      </c>
    </row>
    <row r="93" spans="5:9">
      <c r="E93" s="9">
        <v>31413</v>
      </c>
      <c r="F93" s="13">
        <v>11.72</v>
      </c>
      <c r="H93" s="17">
        <v>42674</v>
      </c>
      <c r="I93">
        <v>26.53</v>
      </c>
    </row>
    <row r="94" spans="5:9">
      <c r="E94" s="8">
        <v>31778</v>
      </c>
      <c r="F94" s="12">
        <v>14.92</v>
      </c>
      <c r="H94" s="17">
        <v>42704</v>
      </c>
      <c r="I94">
        <v>26.85</v>
      </c>
    </row>
    <row r="95" spans="5:9">
      <c r="E95" s="9">
        <v>32143</v>
      </c>
      <c r="F95" s="13">
        <v>13.9</v>
      </c>
      <c r="H95" s="17">
        <v>42735</v>
      </c>
      <c r="I95">
        <v>27.87</v>
      </c>
    </row>
    <row r="96" spans="5:9">
      <c r="E96" s="8">
        <v>32509</v>
      </c>
      <c r="F96" s="12">
        <v>15.09</v>
      </c>
      <c r="H96" s="17">
        <v>42766</v>
      </c>
      <c r="I96">
        <v>28.06</v>
      </c>
    </row>
    <row r="97" spans="5:9">
      <c r="E97" s="9">
        <v>32874</v>
      </c>
      <c r="F97" s="13">
        <v>17.05</v>
      </c>
      <c r="H97" s="17">
        <v>42794</v>
      </c>
      <c r="I97">
        <v>28.66</v>
      </c>
    </row>
    <row r="98" spans="5:9">
      <c r="E98" s="8">
        <v>33239</v>
      </c>
      <c r="F98" s="12">
        <v>15.61</v>
      </c>
      <c r="H98" s="17">
        <v>42825</v>
      </c>
      <c r="I98">
        <v>29.09</v>
      </c>
    </row>
    <row r="99" spans="5:9">
      <c r="E99" s="9">
        <v>33604</v>
      </c>
      <c r="F99" s="13">
        <v>19.77</v>
      </c>
      <c r="H99" s="17">
        <v>42855</v>
      </c>
      <c r="I99">
        <v>28.9</v>
      </c>
    </row>
    <row r="100" spans="5:9">
      <c r="E100" s="8">
        <v>33970</v>
      </c>
      <c r="F100" s="12">
        <v>20.32</v>
      </c>
      <c r="H100" s="17">
        <v>42886</v>
      </c>
      <c r="I100">
        <v>29.31</v>
      </c>
    </row>
    <row r="101" spans="5:9">
      <c r="E101" s="9">
        <v>34335</v>
      </c>
      <c r="F101" s="13">
        <v>21.41</v>
      </c>
      <c r="H101" s="17">
        <v>42916</v>
      </c>
      <c r="I101">
        <v>29.75</v>
      </c>
    </row>
    <row r="102" spans="5:9">
      <c r="E102" s="8">
        <v>34700</v>
      </c>
      <c r="F102" s="12">
        <v>20.22</v>
      </c>
      <c r="H102" s="17">
        <v>42947</v>
      </c>
      <c r="I102">
        <v>30</v>
      </c>
    </row>
    <row r="103" spans="5:9">
      <c r="E103" s="9">
        <v>35065</v>
      </c>
      <c r="F103" s="13">
        <v>24.76</v>
      </c>
      <c r="H103" s="17">
        <v>42978</v>
      </c>
      <c r="I103">
        <v>29.99</v>
      </c>
    </row>
    <row r="104" spans="5:9">
      <c r="E104" s="8">
        <v>35431</v>
      </c>
      <c r="F104" s="12">
        <v>28.33</v>
      </c>
      <c r="H104" s="17">
        <v>43008</v>
      </c>
      <c r="I104">
        <v>30.32</v>
      </c>
    </row>
    <row r="105" spans="5:9">
      <c r="E105" s="9">
        <v>35796</v>
      </c>
      <c r="F105" s="13">
        <v>32.86</v>
      </c>
      <c r="H105" s="17">
        <v>43039</v>
      </c>
      <c r="I105">
        <v>31.15</v>
      </c>
    </row>
    <row r="106" spans="5:9">
      <c r="E106" s="8">
        <v>36161</v>
      </c>
      <c r="F106" s="12">
        <v>40.57</v>
      </c>
      <c r="H106" s="17">
        <v>43069</v>
      </c>
      <c r="I106">
        <v>31.61</v>
      </c>
    </row>
    <row r="107" spans="5:9">
      <c r="E107" s="9">
        <v>36526</v>
      </c>
      <c r="F107" s="13">
        <v>43.77</v>
      </c>
      <c r="H107" s="17">
        <v>43100</v>
      </c>
      <c r="I107">
        <v>32.479999999999997</v>
      </c>
    </row>
    <row r="108" spans="5:9">
      <c r="E108" s="8">
        <v>36892</v>
      </c>
      <c r="F108" s="12">
        <v>36.979999999999997</v>
      </c>
      <c r="H108" s="17">
        <v>43131</v>
      </c>
      <c r="I108">
        <v>33.19</v>
      </c>
    </row>
    <row r="109" spans="5:9">
      <c r="E109" s="9">
        <v>37257</v>
      </c>
      <c r="F109" s="13">
        <v>30.28</v>
      </c>
    </row>
    <row r="110" spans="5:9">
      <c r="E110" s="8">
        <v>37622</v>
      </c>
      <c r="F110" s="12">
        <v>22.9</v>
      </c>
    </row>
    <row r="111" spans="5:9">
      <c r="E111" s="9">
        <v>37987</v>
      </c>
      <c r="F111" s="13">
        <v>27.66</v>
      </c>
    </row>
    <row r="112" spans="5:9">
      <c r="E112" s="8">
        <v>38353</v>
      </c>
      <c r="F112" s="12">
        <v>26.59</v>
      </c>
    </row>
    <row r="113" spans="5:6">
      <c r="E113" s="9">
        <v>38718</v>
      </c>
      <c r="F113" s="13">
        <v>26.47</v>
      </c>
    </row>
    <row r="114" spans="5:6">
      <c r="E114" s="8">
        <v>39083</v>
      </c>
      <c r="F114" s="12">
        <v>27.21</v>
      </c>
    </row>
    <row r="115" spans="5:6">
      <c r="E115" s="9">
        <v>39448</v>
      </c>
      <c r="F115" s="13">
        <v>24.02</v>
      </c>
    </row>
    <row r="116" spans="5:6">
      <c r="E116" s="8">
        <v>39814</v>
      </c>
      <c r="F116" s="12">
        <v>15.17</v>
      </c>
    </row>
    <row r="117" spans="5:6">
      <c r="E117" s="9">
        <v>40179</v>
      </c>
      <c r="F117" s="13">
        <v>20.53</v>
      </c>
    </row>
    <row r="118" spans="5:6">
      <c r="E118" s="8">
        <v>40544</v>
      </c>
      <c r="F118" s="12">
        <v>22.98</v>
      </c>
    </row>
    <row r="119" spans="5:6">
      <c r="E119" s="9">
        <v>40909</v>
      </c>
      <c r="F119" s="13">
        <v>21.21</v>
      </c>
    </row>
    <row r="120" spans="5:6">
      <c r="E120" s="8">
        <v>41275</v>
      </c>
      <c r="F120" s="12">
        <v>21.9</v>
      </c>
    </row>
    <row r="121" spans="5:6">
      <c r="E121" s="9">
        <v>41640</v>
      </c>
      <c r="F121" s="13">
        <v>24.86</v>
      </c>
    </row>
    <row r="122" spans="5:6">
      <c r="E122" s="8">
        <v>42005</v>
      </c>
      <c r="F122" s="12">
        <v>26.49</v>
      </c>
    </row>
    <row r="123" spans="5:6">
      <c r="E123" s="9">
        <v>42370</v>
      </c>
      <c r="F123" s="13">
        <v>24.21</v>
      </c>
    </row>
    <row r="124" spans="5:6">
      <c r="E124" s="8">
        <v>42736</v>
      </c>
      <c r="F124" s="12">
        <v>28.06</v>
      </c>
    </row>
    <row r="125" spans="5:6" ht="15" thickBot="1">
      <c r="E125" s="10">
        <v>43101</v>
      </c>
      <c r="F125" s="14">
        <v>32.47</v>
      </c>
    </row>
  </sheetData>
  <sortState ref="H59:I108">
    <sortCondition ref="H59:H108"/>
  </sortState>
  <hyperlinks>
    <hyperlink ref="U5" r:id="rId1" xr:uid="{00000000-0004-0000-05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Macro2">
                <anchor moveWithCells="1">
                  <from>
                    <xdr:col>5</xdr:col>
                    <xdr:colOff>355600</xdr:colOff>
                    <xdr:row>15</xdr:row>
                    <xdr:rowOff>76200</xdr:rowOff>
                  </from>
                  <to>
                    <xdr:col>6</xdr:col>
                    <xdr:colOff>120650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Check Box 3">
              <controlPr defaultSize="0" autoFill="0" autoLine="0" autoPict="0" macro="[0]!CheckBox2_Click">
                <anchor moveWithCells="1">
                  <from>
                    <xdr:col>3</xdr:col>
                    <xdr:colOff>431800</xdr:colOff>
                    <xdr:row>1</xdr:row>
                    <xdr:rowOff>38100</xdr:rowOff>
                  </from>
                  <to>
                    <xdr:col>3</xdr:col>
                    <xdr:colOff>1289050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O87"/>
  <sheetViews>
    <sheetView showGridLines="0" zoomScale="80" zoomScaleNormal="80" workbookViewId="0">
      <pane xSplit="5" ySplit="3" topLeftCell="F4" activePane="bottomRight" state="frozen"/>
      <selection pane="topRight"/>
      <selection pane="bottomLeft"/>
      <selection pane="bottomRight" activeCell="G4" sqref="G4"/>
    </sheetView>
  </sheetViews>
  <sheetFormatPr defaultColWidth="8.90625" defaultRowHeight="14.5"/>
  <cols>
    <col min="1" max="1" width="1.54296875" style="71" customWidth="1"/>
    <col min="2" max="3" width="1.54296875" style="18" customWidth="1"/>
    <col min="4" max="4" width="16.1796875" style="18" customWidth="1"/>
    <col min="5" max="16384" width="8.90625" style="18"/>
  </cols>
  <sheetData>
    <row r="1" spans="1:15"/>
    <row r="2" spans="1:15">
      <c r="F2" s="28">
        <v>2012</v>
      </c>
      <c r="G2" s="28">
        <v>2013</v>
      </c>
      <c r="H2" s="28">
        <v>2014</v>
      </c>
      <c r="I2" s="28">
        <v>2015</v>
      </c>
      <c r="J2" s="28">
        <v>2016</v>
      </c>
      <c r="K2" s="28">
        <v>2017</v>
      </c>
      <c r="L2" s="28">
        <v>2018</v>
      </c>
      <c r="M2" s="28">
        <v>2019</v>
      </c>
      <c r="N2" s="28">
        <v>2020</v>
      </c>
      <c r="O2" s="28">
        <v>2021</v>
      </c>
    </row>
    <row r="3" spans="1:15">
      <c r="B3" s="18" t="s">
        <v>448</v>
      </c>
      <c r="E3" s="28">
        <v>2017</v>
      </c>
      <c r="F3" s="18" t="b">
        <f>F2&lt;=$E$3</f>
        <v>1</v>
      </c>
      <c r="G3" s="18" t="b">
        <f t="shared" ref="G3:O3" si="0">G2&lt;=$E$3</f>
        <v>1</v>
      </c>
      <c r="H3" s="18" t="b">
        <f t="shared" si="0"/>
        <v>1</v>
      </c>
      <c r="I3" s="18" t="b">
        <f t="shared" si="0"/>
        <v>1</v>
      </c>
      <c r="J3" s="18" t="b">
        <f t="shared" si="0"/>
        <v>1</v>
      </c>
      <c r="K3" s="18" t="b">
        <f t="shared" si="0"/>
        <v>1</v>
      </c>
      <c r="L3" s="18" t="b">
        <f t="shared" si="0"/>
        <v>0</v>
      </c>
      <c r="M3" s="18" t="b">
        <f t="shared" si="0"/>
        <v>0</v>
      </c>
      <c r="N3" s="18" t="b">
        <f t="shared" si="0"/>
        <v>0</v>
      </c>
      <c r="O3" s="18" t="b">
        <f t="shared" si="0"/>
        <v>0</v>
      </c>
    </row>
    <row r="5" spans="1:15">
      <c r="A5" s="71" t="s">
        <v>270</v>
      </c>
    </row>
    <row r="6" spans="1:15">
      <c r="B6" s="18" t="s">
        <v>499</v>
      </c>
      <c r="F6" s="37">
        <v>20</v>
      </c>
      <c r="G6" s="37">
        <v>60</v>
      </c>
      <c r="H6" s="37">
        <v>40</v>
      </c>
      <c r="I6" s="37">
        <v>80</v>
      </c>
      <c r="J6" s="37">
        <v>90</v>
      </c>
      <c r="K6" s="37">
        <v>100</v>
      </c>
    </row>
    <row r="7" spans="1:15">
      <c r="B7" s="18" t="s">
        <v>449</v>
      </c>
      <c r="F7" s="37">
        <v>1000</v>
      </c>
      <c r="G7" s="37">
        <v>1100</v>
      </c>
      <c r="H7" s="37">
        <v>1300</v>
      </c>
      <c r="I7" s="37">
        <v>1320</v>
      </c>
      <c r="J7" s="37">
        <v>1370</v>
      </c>
      <c r="K7" s="37">
        <v>1400</v>
      </c>
    </row>
    <row r="8" spans="1:15">
      <c r="F8" s="34"/>
      <c r="G8" s="34"/>
      <c r="H8" s="34"/>
      <c r="I8" s="34"/>
      <c r="J8" s="34"/>
      <c r="K8" s="34"/>
    </row>
    <row r="9" spans="1:15">
      <c r="B9" s="18" t="s">
        <v>447</v>
      </c>
      <c r="F9" s="34">
        <f>F6+F7-F10</f>
        <v>40</v>
      </c>
      <c r="G9" s="34">
        <f t="shared" ref="G9:K9" si="1">G6+G7-G10</f>
        <v>110</v>
      </c>
      <c r="H9" s="34">
        <f t="shared" si="1"/>
        <v>240</v>
      </c>
      <c r="I9" s="34">
        <f t="shared" si="1"/>
        <v>250</v>
      </c>
      <c r="J9" s="34">
        <f t="shared" si="1"/>
        <v>280</v>
      </c>
      <c r="K9" s="34">
        <f t="shared" si="1"/>
        <v>300</v>
      </c>
    </row>
    <row r="10" spans="1:15">
      <c r="B10" s="18" t="s">
        <v>362</v>
      </c>
      <c r="F10" s="37">
        <v>980</v>
      </c>
      <c r="G10" s="37">
        <v>1050</v>
      </c>
      <c r="H10" s="37">
        <v>1100</v>
      </c>
      <c r="I10" s="37">
        <v>1150</v>
      </c>
      <c r="J10" s="37">
        <v>1180</v>
      </c>
      <c r="K10" s="37">
        <v>1200</v>
      </c>
    </row>
    <row r="12" spans="1:15">
      <c r="A12" s="71" t="s">
        <v>212</v>
      </c>
    </row>
    <row r="13" spans="1:15">
      <c r="B13" s="18" t="s">
        <v>8</v>
      </c>
      <c r="F13" s="37">
        <v>140</v>
      </c>
      <c r="G13" s="37">
        <v>150</v>
      </c>
      <c r="H13" s="37">
        <v>165</v>
      </c>
      <c r="I13" s="37">
        <v>170</v>
      </c>
      <c r="J13" s="37">
        <v>180</v>
      </c>
      <c r="K13" s="37">
        <v>200</v>
      </c>
    </row>
    <row r="14" spans="1:15">
      <c r="B14" s="18" t="s">
        <v>104</v>
      </c>
      <c r="F14" s="37">
        <v>50</v>
      </c>
      <c r="G14" s="37">
        <v>60</v>
      </c>
      <c r="H14" s="37">
        <v>65</v>
      </c>
      <c r="I14" s="37">
        <v>75</v>
      </c>
      <c r="J14" s="37">
        <v>80</v>
      </c>
      <c r="K14" s="37">
        <v>83</v>
      </c>
    </row>
    <row r="15" spans="1:15">
      <c r="B15" s="18" t="s">
        <v>500</v>
      </c>
      <c r="F15" s="37">
        <v>0.75</v>
      </c>
      <c r="G15" s="37">
        <v>1</v>
      </c>
      <c r="H15" s="37">
        <v>2.5</v>
      </c>
      <c r="I15" s="37">
        <v>10</v>
      </c>
      <c r="J15" s="37">
        <v>8.5</v>
      </c>
      <c r="K15" s="37">
        <v>9.5</v>
      </c>
    </row>
    <row r="16" spans="1:15" ht="15" thickBot="1">
      <c r="B16" s="35" t="s">
        <v>234</v>
      </c>
      <c r="C16" s="35"/>
      <c r="D16" s="35"/>
      <c r="E16" s="35"/>
      <c r="F16" s="36">
        <f>F13-F14-F15</f>
        <v>89.25</v>
      </c>
      <c r="G16" s="36">
        <f t="shared" ref="G16:K16" si="2">G13-G14-G15</f>
        <v>89</v>
      </c>
      <c r="H16" s="36">
        <f t="shared" si="2"/>
        <v>97.5</v>
      </c>
      <c r="I16" s="36">
        <f t="shared" si="2"/>
        <v>85</v>
      </c>
      <c r="J16" s="36">
        <f t="shared" si="2"/>
        <v>91.5</v>
      </c>
      <c r="K16" s="36">
        <f t="shared" si="2"/>
        <v>107.5</v>
      </c>
    </row>
    <row r="18" spans="1:15">
      <c r="B18" s="18" t="s">
        <v>457</v>
      </c>
      <c r="F18" s="37">
        <v>70</v>
      </c>
      <c r="G18" s="37">
        <v>70</v>
      </c>
      <c r="H18" s="37">
        <v>80</v>
      </c>
      <c r="I18" s="37">
        <v>75</v>
      </c>
      <c r="J18" s="37">
        <v>75</v>
      </c>
      <c r="K18" s="37">
        <v>90</v>
      </c>
    </row>
    <row r="20" spans="1:15">
      <c r="A20" s="71" t="s">
        <v>433</v>
      </c>
    </row>
    <row r="21" spans="1:15">
      <c r="B21" s="18" t="s">
        <v>450</v>
      </c>
      <c r="E21" s="29">
        <v>0.12</v>
      </c>
      <c r="G21" s="107"/>
      <c r="H21" s="108"/>
      <c r="I21" s="108"/>
      <c r="J21" s="108"/>
      <c r="K21" s="108"/>
      <c r="L21" s="108"/>
      <c r="M21" s="108"/>
      <c r="N21" s="108"/>
      <c r="O21" s="108"/>
    </row>
    <row r="22" spans="1:15" ht="15" thickBot="1">
      <c r="B22" s="36" t="s">
        <v>150</v>
      </c>
      <c r="C22" s="36"/>
      <c r="D22" s="36"/>
      <c r="E22" s="106">
        <v>150</v>
      </c>
      <c r="F22" s="36"/>
      <c r="G22" s="36"/>
      <c r="H22" s="36"/>
      <c r="I22" s="36"/>
      <c r="J22" s="36"/>
      <c r="K22" s="106">
        <v>100</v>
      </c>
      <c r="L22" s="36">
        <f>E22</f>
        <v>150</v>
      </c>
      <c r="M22" s="36">
        <f>L22</f>
        <v>150</v>
      </c>
      <c r="N22" s="36">
        <f t="shared" ref="N22:O22" si="3">M22</f>
        <v>150</v>
      </c>
      <c r="O22" s="36">
        <f t="shared" si="3"/>
        <v>150</v>
      </c>
    </row>
    <row r="23" spans="1:15">
      <c r="B23" s="18" t="s">
        <v>324</v>
      </c>
      <c r="G23" s="20">
        <f t="shared" ref="G23:O23" si="4">IF(G3,G14/F7,AVERAGEIF(2:2,$E$3,23:23))</f>
        <v>0.06</v>
      </c>
      <c r="H23" s="20">
        <f t="shared" si="4"/>
        <v>5.909090909090909E-2</v>
      </c>
      <c r="I23" s="20">
        <f t="shared" si="4"/>
        <v>5.7692307692307696E-2</v>
      </c>
      <c r="J23" s="20">
        <f t="shared" si="4"/>
        <v>6.0606060606060608E-2</v>
      </c>
      <c r="K23" s="20">
        <f t="shared" si="4"/>
        <v>6.0583941605839416E-2</v>
      </c>
      <c r="L23" s="20">
        <f t="shared" si="4"/>
        <v>6.0583941605839416E-2</v>
      </c>
      <c r="M23" s="20">
        <f t="shared" si="4"/>
        <v>6.0583941605839416E-2</v>
      </c>
      <c r="N23" s="20">
        <f t="shared" si="4"/>
        <v>6.0583941605839416E-2</v>
      </c>
      <c r="O23" s="20">
        <f t="shared" si="4"/>
        <v>6.0583941605839416E-2</v>
      </c>
    </row>
    <row r="24" spans="1:15">
      <c r="B24" s="18" t="s">
        <v>9</v>
      </c>
      <c r="F24" s="34">
        <f>F9-F6</f>
        <v>20</v>
      </c>
      <c r="G24" s="34">
        <f t="shared" ref="G24:K24" si="5">G9-G6</f>
        <v>50</v>
      </c>
      <c r="H24" s="34">
        <f t="shared" si="5"/>
        <v>200</v>
      </c>
      <c r="I24" s="34">
        <f t="shared" si="5"/>
        <v>170</v>
      </c>
      <c r="J24" s="34">
        <f t="shared" si="5"/>
        <v>190</v>
      </c>
      <c r="K24" s="34">
        <f t="shared" si="5"/>
        <v>200</v>
      </c>
      <c r="L24" s="34"/>
      <c r="M24" s="34"/>
      <c r="N24" s="34"/>
      <c r="O24" s="34"/>
    </row>
    <row r="25" spans="1:15">
      <c r="B25" s="18" t="s">
        <v>339</v>
      </c>
      <c r="E25" s="29">
        <v>4.4999999999999998E-2</v>
      </c>
      <c r="F25" s="20">
        <f>IF(F3,F15/F24,$E$25)</f>
        <v>3.7499999999999999E-2</v>
      </c>
      <c r="G25" s="20">
        <f>IF(G3,G15/F24,$E$25)</f>
        <v>0.05</v>
      </c>
      <c r="H25" s="20">
        <f t="shared" ref="H25:O25" si="6">IF(H3,H15/G24,$E$25)</f>
        <v>0.05</v>
      </c>
      <c r="I25" s="20">
        <f t="shared" si="6"/>
        <v>0.05</v>
      </c>
      <c r="J25" s="20">
        <f t="shared" si="6"/>
        <v>0.05</v>
      </c>
      <c r="K25" s="20">
        <f t="shared" si="6"/>
        <v>0.05</v>
      </c>
      <c r="L25" s="20">
        <f t="shared" si="6"/>
        <v>4.4999999999999998E-2</v>
      </c>
      <c r="M25" s="20">
        <f t="shared" si="6"/>
        <v>4.4999999999999998E-2</v>
      </c>
      <c r="N25" s="20">
        <f t="shared" si="6"/>
        <v>4.4999999999999998E-2</v>
      </c>
      <c r="O25" s="20">
        <f t="shared" si="6"/>
        <v>4.4999999999999998E-2</v>
      </c>
    </row>
    <row r="26" spans="1:15">
      <c r="B26" s="18" t="s">
        <v>503</v>
      </c>
      <c r="E26" s="20"/>
      <c r="F26" s="20">
        <f>IF(F3,F18/F16,AVERAGEIF(3:3,TRUE,26:26))</f>
        <v>0.78431372549019607</v>
      </c>
      <c r="G26" s="20">
        <f t="shared" ref="G26:O26" si="7">IF(G3,G18/G16,AVERAGEIF(3:3,TRUE,26:26))</f>
        <v>0.7865168539325843</v>
      </c>
      <c r="H26" s="20">
        <f t="shared" si="7"/>
        <v>0.82051282051282048</v>
      </c>
      <c r="I26" s="20">
        <f t="shared" si="7"/>
        <v>0.88235294117647056</v>
      </c>
      <c r="J26" s="20">
        <f t="shared" si="7"/>
        <v>0.81967213114754101</v>
      </c>
      <c r="K26" s="20">
        <f t="shared" si="7"/>
        <v>0.83720930232558144</v>
      </c>
      <c r="L26" s="20">
        <f t="shared" si="7"/>
        <v>0.82176296243086566</v>
      </c>
      <c r="M26" s="20">
        <f t="shared" si="7"/>
        <v>0.82176296243086566</v>
      </c>
      <c r="N26" s="20">
        <f t="shared" si="7"/>
        <v>0.82176296243086566</v>
      </c>
      <c r="O26" s="20">
        <f t="shared" si="7"/>
        <v>0.82176296243086566</v>
      </c>
    </row>
    <row r="28" spans="1:15">
      <c r="A28" s="71" t="s">
        <v>501</v>
      </c>
    </row>
    <row r="29" spans="1:15">
      <c r="B29" s="18" t="s">
        <v>8</v>
      </c>
      <c r="F29" s="34">
        <f t="shared" ref="F29:O29" si="8">IF(F3,F13,E29*(1+F21))</f>
        <v>140</v>
      </c>
      <c r="G29" s="34">
        <f t="shared" si="8"/>
        <v>150</v>
      </c>
      <c r="H29" s="34">
        <f t="shared" si="8"/>
        <v>165</v>
      </c>
      <c r="I29" s="34">
        <f t="shared" si="8"/>
        <v>170</v>
      </c>
      <c r="J29" s="34">
        <f t="shared" si="8"/>
        <v>180</v>
      </c>
      <c r="K29" s="34">
        <f t="shared" si="8"/>
        <v>200</v>
      </c>
      <c r="L29" s="34">
        <f t="shared" si="8"/>
        <v>200</v>
      </c>
      <c r="M29" s="34">
        <f t="shared" si="8"/>
        <v>200</v>
      </c>
      <c r="N29" s="34">
        <f t="shared" si="8"/>
        <v>200</v>
      </c>
      <c r="O29" s="34">
        <f t="shared" si="8"/>
        <v>200</v>
      </c>
    </row>
    <row r="30" spans="1:15">
      <c r="B30" s="18" t="s">
        <v>100</v>
      </c>
      <c r="F30" s="34">
        <f>F22</f>
        <v>0</v>
      </c>
      <c r="G30" s="34">
        <f t="shared" ref="G30:O30" si="9">G22</f>
        <v>0</v>
      </c>
      <c r="H30" s="34">
        <f t="shared" si="9"/>
        <v>0</v>
      </c>
      <c r="I30" s="34">
        <f t="shared" si="9"/>
        <v>0</v>
      </c>
      <c r="J30" s="34">
        <f t="shared" si="9"/>
        <v>0</v>
      </c>
      <c r="K30" s="34">
        <f t="shared" si="9"/>
        <v>100</v>
      </c>
      <c r="L30" s="34">
        <f t="shared" si="9"/>
        <v>150</v>
      </c>
      <c r="M30" s="34">
        <f t="shared" si="9"/>
        <v>150</v>
      </c>
      <c r="N30" s="34">
        <f t="shared" si="9"/>
        <v>150</v>
      </c>
      <c r="O30" s="34">
        <f t="shared" si="9"/>
        <v>150</v>
      </c>
    </row>
    <row r="32" spans="1:15">
      <c r="B32" s="18" t="s">
        <v>322</v>
      </c>
    </row>
    <row r="33" spans="1:15">
      <c r="C33" s="18" t="s">
        <v>451</v>
      </c>
      <c r="F33" s="34">
        <f>E36</f>
        <v>0</v>
      </c>
      <c r="G33" s="34">
        <f t="shared" ref="G33:O33" si="10">F36</f>
        <v>0</v>
      </c>
      <c r="H33" s="34">
        <f t="shared" si="10"/>
        <v>0</v>
      </c>
      <c r="I33" s="34">
        <f t="shared" si="10"/>
        <v>0</v>
      </c>
      <c r="J33" s="34">
        <f t="shared" si="10"/>
        <v>0</v>
      </c>
      <c r="K33" s="34">
        <f t="shared" si="10"/>
        <v>0</v>
      </c>
      <c r="L33" s="34">
        <f t="shared" si="10"/>
        <v>0</v>
      </c>
      <c r="M33" s="34">
        <f t="shared" si="10"/>
        <v>0</v>
      </c>
      <c r="N33" s="34">
        <f t="shared" si="10"/>
        <v>0</v>
      </c>
      <c r="O33" s="34">
        <f t="shared" si="10"/>
        <v>0</v>
      </c>
    </row>
    <row r="34" spans="1:15">
      <c r="C34" s="18" t="s">
        <v>452</v>
      </c>
      <c r="F34" s="34">
        <f t="shared" ref="F34:O34" si="11">F22</f>
        <v>0</v>
      </c>
      <c r="G34" s="34">
        <f t="shared" si="11"/>
        <v>0</v>
      </c>
      <c r="H34" s="34">
        <f t="shared" si="11"/>
        <v>0</v>
      </c>
      <c r="I34" s="34">
        <f t="shared" si="11"/>
        <v>0</v>
      </c>
      <c r="J34" s="34">
        <f t="shared" si="11"/>
        <v>0</v>
      </c>
      <c r="K34" s="34">
        <f t="shared" si="11"/>
        <v>100</v>
      </c>
      <c r="L34" s="34">
        <f t="shared" si="11"/>
        <v>150</v>
      </c>
      <c r="M34" s="34">
        <f t="shared" si="11"/>
        <v>150</v>
      </c>
      <c r="N34" s="34">
        <f t="shared" si="11"/>
        <v>150</v>
      </c>
      <c r="O34" s="34">
        <f t="shared" si="11"/>
        <v>150</v>
      </c>
    </row>
    <row r="35" spans="1:15">
      <c r="C35" s="18" t="s">
        <v>453</v>
      </c>
      <c r="F35" s="34">
        <f t="shared" ref="F35:O35" si="12">IF(F3,F14,F33*F23)</f>
        <v>50</v>
      </c>
      <c r="G35" s="34">
        <f t="shared" si="12"/>
        <v>60</v>
      </c>
      <c r="H35" s="34">
        <f t="shared" si="12"/>
        <v>65</v>
      </c>
      <c r="I35" s="34">
        <f t="shared" si="12"/>
        <v>75</v>
      </c>
      <c r="J35" s="34">
        <f t="shared" si="12"/>
        <v>80</v>
      </c>
      <c r="K35" s="34">
        <f t="shared" si="12"/>
        <v>83</v>
      </c>
      <c r="L35" s="34">
        <f t="shared" si="12"/>
        <v>0</v>
      </c>
      <c r="M35" s="34">
        <f t="shared" si="12"/>
        <v>0</v>
      </c>
      <c r="N35" s="34">
        <f t="shared" si="12"/>
        <v>0</v>
      </c>
      <c r="O35" s="34">
        <f t="shared" si="12"/>
        <v>0</v>
      </c>
    </row>
    <row r="36" spans="1:15" ht="15" thickBot="1">
      <c r="C36" s="35" t="s">
        <v>54</v>
      </c>
      <c r="D36" s="35"/>
      <c r="E36" s="35"/>
      <c r="F36" s="110"/>
      <c r="G36" s="110"/>
      <c r="H36" s="110"/>
      <c r="I36" s="110"/>
      <c r="J36" s="110"/>
      <c r="K36" s="110"/>
      <c r="L36" s="110"/>
      <c r="M36" s="110"/>
      <c r="N36" s="110"/>
      <c r="O36" s="110"/>
    </row>
    <row r="38" spans="1:15">
      <c r="B38" s="18" t="s">
        <v>502</v>
      </c>
    </row>
    <row r="39" spans="1:15">
      <c r="C39" s="18" t="s">
        <v>51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</row>
    <row r="40" spans="1:15">
      <c r="C40" s="18" t="s">
        <v>337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1" spans="1:15">
      <c r="C41" s="18" t="s">
        <v>54</v>
      </c>
      <c r="F41" s="39"/>
      <c r="G41" s="39"/>
      <c r="H41" s="39"/>
      <c r="I41" s="39"/>
      <c r="J41" s="39"/>
      <c r="K41" s="39"/>
      <c r="L41" s="39"/>
      <c r="M41" s="39"/>
      <c r="N41" s="39"/>
      <c r="O41" s="39"/>
    </row>
    <row r="43" spans="1:15">
      <c r="C43" s="18" t="s">
        <v>339</v>
      </c>
      <c r="F43" s="20">
        <f t="shared" ref="F43:O43" si="13">F25</f>
        <v>3.7499999999999999E-2</v>
      </c>
      <c r="G43" s="20">
        <f t="shared" si="13"/>
        <v>0.05</v>
      </c>
      <c r="H43" s="20">
        <f t="shared" si="13"/>
        <v>0.05</v>
      </c>
      <c r="I43" s="20">
        <f t="shared" si="13"/>
        <v>0.05</v>
      </c>
      <c r="J43" s="20">
        <f t="shared" si="13"/>
        <v>0.05</v>
      </c>
      <c r="K43" s="20">
        <f t="shared" si="13"/>
        <v>0.05</v>
      </c>
      <c r="L43" s="20">
        <f t="shared" si="13"/>
        <v>4.4999999999999998E-2</v>
      </c>
      <c r="M43" s="20">
        <f t="shared" si="13"/>
        <v>4.4999999999999998E-2</v>
      </c>
      <c r="N43" s="20">
        <f t="shared" si="13"/>
        <v>4.4999999999999998E-2</v>
      </c>
      <c r="O43" s="20">
        <f t="shared" si="13"/>
        <v>4.4999999999999998E-2</v>
      </c>
    </row>
    <row r="44" spans="1:15">
      <c r="C44" s="18" t="s">
        <v>225</v>
      </c>
      <c r="F44" s="34">
        <f t="shared" ref="F44:O44" si="14">IF(F3,F15,-E39*F43)</f>
        <v>0.75</v>
      </c>
      <c r="G44" s="34">
        <f t="shared" si="14"/>
        <v>1</v>
      </c>
      <c r="H44" s="34">
        <f t="shared" si="14"/>
        <v>2.5</v>
      </c>
      <c r="I44" s="34">
        <f t="shared" si="14"/>
        <v>10</v>
      </c>
      <c r="J44" s="34">
        <f t="shared" si="14"/>
        <v>8.5</v>
      </c>
      <c r="K44" s="34">
        <f t="shared" si="14"/>
        <v>9.5</v>
      </c>
      <c r="L44" s="34">
        <f t="shared" si="14"/>
        <v>0</v>
      </c>
      <c r="M44" s="34">
        <f t="shared" si="14"/>
        <v>0</v>
      </c>
      <c r="N44" s="34">
        <f t="shared" si="14"/>
        <v>0</v>
      </c>
      <c r="O44" s="34">
        <f t="shared" si="14"/>
        <v>0</v>
      </c>
    </row>
    <row r="46" spans="1:15">
      <c r="A46" s="71" t="s">
        <v>465</v>
      </c>
    </row>
    <row r="47" spans="1:15">
      <c r="B47" s="18" t="s">
        <v>212</v>
      </c>
    </row>
    <row r="48" spans="1:15">
      <c r="C48" s="18" t="s">
        <v>8</v>
      </c>
      <c r="F48" s="34">
        <f t="shared" ref="F48:O48" si="15">F29</f>
        <v>140</v>
      </c>
      <c r="G48" s="34">
        <f t="shared" si="15"/>
        <v>150</v>
      </c>
      <c r="H48" s="34">
        <f t="shared" si="15"/>
        <v>165</v>
      </c>
      <c r="I48" s="34">
        <f t="shared" si="15"/>
        <v>170</v>
      </c>
      <c r="J48" s="34">
        <f t="shared" si="15"/>
        <v>180</v>
      </c>
      <c r="K48" s="34">
        <f t="shared" si="15"/>
        <v>200</v>
      </c>
      <c r="L48" s="34">
        <f t="shared" si="15"/>
        <v>200</v>
      </c>
      <c r="M48" s="34">
        <f t="shared" si="15"/>
        <v>200</v>
      </c>
      <c r="N48" s="34">
        <f t="shared" si="15"/>
        <v>200</v>
      </c>
      <c r="O48" s="34">
        <f t="shared" si="15"/>
        <v>200</v>
      </c>
    </row>
    <row r="49" spans="2:15">
      <c r="C49" s="18" t="s">
        <v>104</v>
      </c>
      <c r="F49" s="34">
        <f t="shared" ref="F49:O49" si="16">F35</f>
        <v>50</v>
      </c>
      <c r="G49" s="34">
        <f t="shared" si="16"/>
        <v>60</v>
      </c>
      <c r="H49" s="34">
        <f t="shared" si="16"/>
        <v>65</v>
      </c>
      <c r="I49" s="34">
        <f t="shared" si="16"/>
        <v>75</v>
      </c>
      <c r="J49" s="34">
        <f t="shared" si="16"/>
        <v>80</v>
      </c>
      <c r="K49" s="34">
        <f t="shared" si="16"/>
        <v>83</v>
      </c>
      <c r="L49" s="34">
        <f t="shared" si="16"/>
        <v>0</v>
      </c>
      <c r="M49" s="34">
        <f t="shared" si="16"/>
        <v>0</v>
      </c>
      <c r="N49" s="34">
        <f t="shared" si="16"/>
        <v>0</v>
      </c>
      <c r="O49" s="34">
        <f t="shared" si="16"/>
        <v>0</v>
      </c>
    </row>
    <row r="50" spans="2:15">
      <c r="C50" s="18" t="s">
        <v>500</v>
      </c>
      <c r="F50" s="34">
        <f>F44</f>
        <v>0.75</v>
      </c>
      <c r="G50" s="34">
        <f t="shared" ref="G50:O50" si="17">G44</f>
        <v>1</v>
      </c>
      <c r="H50" s="34">
        <f t="shared" si="17"/>
        <v>2.5</v>
      </c>
      <c r="I50" s="34">
        <f t="shared" si="17"/>
        <v>10</v>
      </c>
      <c r="J50" s="34">
        <f t="shared" si="17"/>
        <v>8.5</v>
      </c>
      <c r="K50" s="34">
        <f t="shared" si="17"/>
        <v>9.5</v>
      </c>
      <c r="L50" s="34">
        <f t="shared" si="17"/>
        <v>0</v>
      </c>
      <c r="M50" s="34">
        <f t="shared" si="17"/>
        <v>0</v>
      </c>
      <c r="N50" s="34">
        <f t="shared" si="17"/>
        <v>0</v>
      </c>
      <c r="O50" s="34">
        <f t="shared" si="17"/>
        <v>0</v>
      </c>
    </row>
    <row r="51" spans="2:15" ht="15" thickBot="1">
      <c r="C51" s="35" t="s">
        <v>234</v>
      </c>
      <c r="D51" s="35"/>
      <c r="E51" s="35"/>
      <c r="F51" s="36">
        <f>F48-F49-F50</f>
        <v>89.25</v>
      </c>
      <c r="G51" s="36">
        <f t="shared" ref="G51:O51" si="18">G48-G49-G50</f>
        <v>89</v>
      </c>
      <c r="H51" s="36">
        <f t="shared" si="18"/>
        <v>97.5</v>
      </c>
      <c r="I51" s="36">
        <f t="shared" si="18"/>
        <v>85</v>
      </c>
      <c r="J51" s="36">
        <f t="shared" si="18"/>
        <v>91.5</v>
      </c>
      <c r="K51" s="36">
        <f t="shared" si="18"/>
        <v>107.5</v>
      </c>
      <c r="L51" s="36">
        <f t="shared" si="18"/>
        <v>200</v>
      </c>
      <c r="M51" s="36">
        <f t="shared" si="18"/>
        <v>200</v>
      </c>
      <c r="N51" s="36">
        <f t="shared" si="18"/>
        <v>200</v>
      </c>
      <c r="O51" s="36">
        <f t="shared" si="18"/>
        <v>200</v>
      </c>
    </row>
    <row r="52" spans="2:15">
      <c r="C52" s="50" t="s">
        <v>771</v>
      </c>
      <c r="D52" s="50"/>
      <c r="E52" s="50"/>
      <c r="F52" s="109">
        <f>F48-F49</f>
        <v>90</v>
      </c>
      <c r="G52" s="109">
        <f t="shared" ref="G52:O52" si="19">G48-G49</f>
        <v>90</v>
      </c>
      <c r="H52" s="109">
        <f t="shared" si="19"/>
        <v>100</v>
      </c>
      <c r="I52" s="109">
        <f t="shared" si="19"/>
        <v>95</v>
      </c>
      <c r="J52" s="109">
        <f t="shared" si="19"/>
        <v>100</v>
      </c>
      <c r="K52" s="109">
        <f t="shared" si="19"/>
        <v>117</v>
      </c>
      <c r="L52" s="109">
        <f t="shared" si="19"/>
        <v>200</v>
      </c>
      <c r="M52" s="109">
        <f t="shared" si="19"/>
        <v>200</v>
      </c>
      <c r="N52" s="109">
        <f t="shared" si="19"/>
        <v>200</v>
      </c>
      <c r="O52" s="109">
        <f t="shared" si="19"/>
        <v>200</v>
      </c>
    </row>
    <row r="54" spans="2:15">
      <c r="B54" s="18" t="s">
        <v>242</v>
      </c>
    </row>
    <row r="55" spans="2:15">
      <c r="C55" s="18" t="s">
        <v>8</v>
      </c>
      <c r="F55" s="34">
        <f t="shared" ref="F55:O55" si="20">F29</f>
        <v>140</v>
      </c>
      <c r="G55" s="34">
        <f t="shared" si="20"/>
        <v>150</v>
      </c>
      <c r="H55" s="34">
        <f t="shared" si="20"/>
        <v>165</v>
      </c>
      <c r="I55" s="34">
        <f t="shared" si="20"/>
        <v>170</v>
      </c>
      <c r="J55" s="34">
        <f t="shared" si="20"/>
        <v>180</v>
      </c>
      <c r="K55" s="34">
        <f t="shared" si="20"/>
        <v>200</v>
      </c>
      <c r="L55" s="34">
        <f t="shared" si="20"/>
        <v>200</v>
      </c>
      <c r="M55" s="34">
        <f t="shared" si="20"/>
        <v>200</v>
      </c>
      <c r="N55" s="34">
        <f t="shared" si="20"/>
        <v>200</v>
      </c>
      <c r="O55" s="34">
        <f t="shared" si="20"/>
        <v>200</v>
      </c>
    </row>
    <row r="56" spans="2:15">
      <c r="C56" s="18" t="s">
        <v>470</v>
      </c>
      <c r="F56" s="34">
        <f t="shared" ref="F56:O56" si="21">F34</f>
        <v>0</v>
      </c>
      <c r="G56" s="34">
        <f t="shared" si="21"/>
        <v>0</v>
      </c>
      <c r="H56" s="34">
        <f t="shared" si="21"/>
        <v>0</v>
      </c>
      <c r="I56" s="34">
        <f t="shared" si="21"/>
        <v>0</v>
      </c>
      <c r="J56" s="34">
        <f t="shared" si="21"/>
        <v>0</v>
      </c>
      <c r="K56" s="34">
        <f t="shared" si="21"/>
        <v>100</v>
      </c>
      <c r="L56" s="34">
        <f t="shared" si="21"/>
        <v>150</v>
      </c>
      <c r="M56" s="34">
        <f t="shared" si="21"/>
        <v>150</v>
      </c>
      <c r="N56" s="34">
        <f t="shared" si="21"/>
        <v>150</v>
      </c>
      <c r="O56" s="34">
        <f t="shared" si="21"/>
        <v>150</v>
      </c>
    </row>
    <row r="57" spans="2:15">
      <c r="C57" s="18" t="s">
        <v>456</v>
      </c>
      <c r="F57" s="34">
        <f>F50</f>
        <v>0.75</v>
      </c>
      <c r="G57" s="34">
        <f t="shared" ref="G57:O57" si="22">G50</f>
        <v>1</v>
      </c>
      <c r="H57" s="34">
        <f t="shared" si="22"/>
        <v>2.5</v>
      </c>
      <c r="I57" s="34">
        <f t="shared" si="22"/>
        <v>10</v>
      </c>
      <c r="J57" s="34">
        <f t="shared" si="22"/>
        <v>8.5</v>
      </c>
      <c r="K57" s="34">
        <f t="shared" si="22"/>
        <v>9.5</v>
      </c>
      <c r="L57" s="34">
        <f t="shared" si="22"/>
        <v>0</v>
      </c>
      <c r="M57" s="34">
        <f t="shared" si="22"/>
        <v>0</v>
      </c>
      <c r="N57" s="34">
        <f t="shared" si="22"/>
        <v>0</v>
      </c>
      <c r="O57" s="34">
        <f t="shared" si="22"/>
        <v>0</v>
      </c>
    </row>
    <row r="58" spans="2:15">
      <c r="C58" s="18" t="s">
        <v>457</v>
      </c>
      <c r="F58" s="34">
        <f>F51*F26</f>
        <v>70</v>
      </c>
      <c r="G58" s="34">
        <f t="shared" ref="G58:O58" si="23">G51*G26</f>
        <v>70</v>
      </c>
      <c r="H58" s="34">
        <f t="shared" si="23"/>
        <v>80</v>
      </c>
      <c r="I58" s="34">
        <f t="shared" si="23"/>
        <v>75</v>
      </c>
      <c r="J58" s="34">
        <f t="shared" si="23"/>
        <v>75</v>
      </c>
      <c r="K58" s="34">
        <f t="shared" si="23"/>
        <v>90</v>
      </c>
      <c r="L58" s="34">
        <f t="shared" si="23"/>
        <v>164.35259248617314</v>
      </c>
      <c r="M58" s="34">
        <f t="shared" si="23"/>
        <v>164.35259248617314</v>
      </c>
      <c r="N58" s="34">
        <f t="shared" si="23"/>
        <v>164.35259248617314</v>
      </c>
      <c r="O58" s="34">
        <f t="shared" si="23"/>
        <v>164.35259248617314</v>
      </c>
    </row>
    <row r="59" spans="2:15" ht="15" thickBot="1">
      <c r="C59" s="35" t="s">
        <v>360</v>
      </c>
      <c r="D59" s="35"/>
      <c r="E59" s="35"/>
      <c r="F59" s="36">
        <f>F55-F56-F58-F57</f>
        <v>69.25</v>
      </c>
      <c r="G59" s="36">
        <f t="shared" ref="G59:O59" si="24">G55-G56-G58-G57</f>
        <v>79</v>
      </c>
      <c r="H59" s="36">
        <f t="shared" si="24"/>
        <v>82.5</v>
      </c>
      <c r="I59" s="36">
        <f t="shared" si="24"/>
        <v>85</v>
      </c>
      <c r="J59" s="36">
        <f t="shared" si="24"/>
        <v>96.5</v>
      </c>
      <c r="K59" s="36">
        <f t="shared" si="24"/>
        <v>0.5</v>
      </c>
      <c r="L59" s="36">
        <f t="shared" si="24"/>
        <v>-114.35259248617314</v>
      </c>
      <c r="M59" s="36">
        <f t="shared" si="24"/>
        <v>-114.35259248617314</v>
      </c>
      <c r="N59" s="36">
        <f t="shared" si="24"/>
        <v>-114.35259248617314</v>
      </c>
      <c r="O59" s="36">
        <f t="shared" si="24"/>
        <v>-114.35259248617314</v>
      </c>
    </row>
    <row r="61" spans="2:15">
      <c r="B61" s="18" t="s">
        <v>270</v>
      </c>
    </row>
    <row r="62" spans="2:15">
      <c r="C62" s="18" t="s">
        <v>466</v>
      </c>
    </row>
    <row r="63" spans="2:15">
      <c r="D63" s="18" t="s">
        <v>51</v>
      </c>
      <c r="F63" s="34">
        <f>E66</f>
        <v>0</v>
      </c>
      <c r="G63" s="34">
        <f t="shared" ref="G63:O63" si="25">F66</f>
        <v>980</v>
      </c>
      <c r="H63" s="34">
        <f t="shared" si="25"/>
        <v>1050</v>
      </c>
      <c r="I63" s="34">
        <f t="shared" si="25"/>
        <v>1100</v>
      </c>
      <c r="J63" s="34">
        <f t="shared" si="25"/>
        <v>1150</v>
      </c>
      <c r="K63" s="34">
        <f t="shared" si="25"/>
        <v>1180</v>
      </c>
      <c r="L63" s="34">
        <f t="shared" si="25"/>
        <v>1200</v>
      </c>
      <c r="M63" s="34">
        <f t="shared" si="25"/>
        <v>1235.6474075138269</v>
      </c>
      <c r="N63" s="34">
        <f t="shared" si="25"/>
        <v>1271.2948150276538</v>
      </c>
      <c r="O63" s="34">
        <f t="shared" si="25"/>
        <v>1306.9422225414808</v>
      </c>
    </row>
    <row r="64" spans="2:15">
      <c r="D64" s="18" t="s">
        <v>467</v>
      </c>
      <c r="F64" s="34">
        <f>F51</f>
        <v>89.25</v>
      </c>
      <c r="G64" s="34">
        <f t="shared" ref="G64:O64" si="26">G51</f>
        <v>89</v>
      </c>
      <c r="H64" s="34">
        <f t="shared" si="26"/>
        <v>97.5</v>
      </c>
      <c r="I64" s="34">
        <f t="shared" si="26"/>
        <v>85</v>
      </c>
      <c r="J64" s="34">
        <f t="shared" si="26"/>
        <v>91.5</v>
      </c>
      <c r="K64" s="34">
        <f t="shared" si="26"/>
        <v>107.5</v>
      </c>
      <c r="L64" s="34">
        <f t="shared" si="26"/>
        <v>200</v>
      </c>
      <c r="M64" s="34">
        <f t="shared" si="26"/>
        <v>200</v>
      </c>
      <c r="N64" s="34">
        <f t="shared" si="26"/>
        <v>200</v>
      </c>
      <c r="O64" s="34">
        <f t="shared" si="26"/>
        <v>200</v>
      </c>
    </row>
    <row r="65" spans="3:15">
      <c r="D65" s="18" t="s">
        <v>468</v>
      </c>
      <c r="F65" s="34">
        <f>F58</f>
        <v>70</v>
      </c>
      <c r="G65" s="34">
        <f t="shared" ref="G65:O65" si="27">G58</f>
        <v>70</v>
      </c>
      <c r="H65" s="34">
        <f t="shared" si="27"/>
        <v>80</v>
      </c>
      <c r="I65" s="34">
        <f t="shared" si="27"/>
        <v>75</v>
      </c>
      <c r="J65" s="34">
        <f t="shared" si="27"/>
        <v>75</v>
      </c>
      <c r="K65" s="34">
        <f t="shared" si="27"/>
        <v>90</v>
      </c>
      <c r="L65" s="34">
        <f t="shared" si="27"/>
        <v>164.35259248617314</v>
      </c>
      <c r="M65" s="34">
        <f t="shared" si="27"/>
        <v>164.35259248617314</v>
      </c>
      <c r="N65" s="34">
        <f t="shared" si="27"/>
        <v>164.35259248617314</v>
      </c>
      <c r="O65" s="34">
        <f t="shared" si="27"/>
        <v>164.35259248617314</v>
      </c>
    </row>
    <row r="66" spans="3:15" ht="15" thickBot="1">
      <c r="D66" s="35" t="s">
        <v>54</v>
      </c>
      <c r="E66" s="35"/>
      <c r="F66" s="36">
        <f t="shared" ref="F66:O66" si="28">IF(F3,F10,F63+F64-F65)</f>
        <v>980</v>
      </c>
      <c r="G66" s="36">
        <f t="shared" si="28"/>
        <v>1050</v>
      </c>
      <c r="H66" s="36">
        <f t="shared" si="28"/>
        <v>1100</v>
      </c>
      <c r="I66" s="36">
        <f t="shared" si="28"/>
        <v>1150</v>
      </c>
      <c r="J66" s="36">
        <f t="shared" si="28"/>
        <v>1180</v>
      </c>
      <c r="K66" s="36">
        <f t="shared" si="28"/>
        <v>1200</v>
      </c>
      <c r="L66" s="36">
        <f t="shared" si="28"/>
        <v>1235.6474075138269</v>
      </c>
      <c r="M66" s="36">
        <f t="shared" si="28"/>
        <v>1271.2948150276538</v>
      </c>
      <c r="N66" s="36">
        <f t="shared" si="28"/>
        <v>1306.9422225414808</v>
      </c>
      <c r="O66" s="36">
        <f t="shared" si="28"/>
        <v>1342.5896300553077</v>
      </c>
    </row>
    <row r="68" spans="3:15">
      <c r="C68" s="18" t="s">
        <v>271</v>
      </c>
    </row>
    <row r="69" spans="3:15">
      <c r="D69" s="18" t="s">
        <v>449</v>
      </c>
      <c r="F69" s="34">
        <f t="shared" ref="F69:O69" si="29">F36</f>
        <v>0</v>
      </c>
      <c r="G69" s="34">
        <f t="shared" si="29"/>
        <v>0</v>
      </c>
      <c r="H69" s="34">
        <f t="shared" si="29"/>
        <v>0</v>
      </c>
      <c r="I69" s="34">
        <f t="shared" si="29"/>
        <v>0</v>
      </c>
      <c r="J69" s="34">
        <f t="shared" si="29"/>
        <v>0</v>
      </c>
      <c r="K69" s="34">
        <f t="shared" si="29"/>
        <v>0</v>
      </c>
      <c r="L69" s="34">
        <f t="shared" si="29"/>
        <v>0</v>
      </c>
      <c r="M69" s="34">
        <f t="shared" si="29"/>
        <v>0</v>
      </c>
      <c r="N69" s="34">
        <f t="shared" si="29"/>
        <v>0</v>
      </c>
      <c r="O69" s="34">
        <f t="shared" si="29"/>
        <v>0</v>
      </c>
    </row>
    <row r="70" spans="3:15">
      <c r="F70" s="34"/>
      <c r="G70" s="34"/>
      <c r="H70" s="34"/>
      <c r="I70" s="34"/>
      <c r="J70" s="34"/>
      <c r="K70" s="34"/>
      <c r="L70" s="34"/>
      <c r="M70" s="34"/>
      <c r="N70" s="34"/>
      <c r="O70" s="34"/>
    </row>
    <row r="71" spans="3:15">
      <c r="C71" s="18" t="s">
        <v>504</v>
      </c>
      <c r="F71" s="34"/>
      <c r="G71" s="34"/>
      <c r="H71" s="34"/>
      <c r="I71" s="34"/>
      <c r="J71" s="34"/>
      <c r="K71" s="34"/>
      <c r="L71" s="34"/>
      <c r="M71" s="34"/>
      <c r="N71" s="34"/>
      <c r="O71" s="34"/>
    </row>
    <row r="72" spans="3:15">
      <c r="D72" s="18" t="s">
        <v>9</v>
      </c>
      <c r="F72" s="34">
        <f>-F41</f>
        <v>0</v>
      </c>
      <c r="G72" s="34">
        <f t="shared" ref="G72:O72" si="30">-G41</f>
        <v>0</v>
      </c>
      <c r="H72" s="34">
        <f t="shared" si="30"/>
        <v>0</v>
      </c>
      <c r="I72" s="34">
        <f t="shared" si="30"/>
        <v>0</v>
      </c>
      <c r="J72" s="34">
        <f t="shared" si="30"/>
        <v>0</v>
      </c>
      <c r="K72" s="34">
        <f t="shared" si="30"/>
        <v>0</v>
      </c>
      <c r="L72" s="34">
        <f t="shared" si="30"/>
        <v>0</v>
      </c>
      <c r="M72" s="34">
        <f t="shared" si="30"/>
        <v>0</v>
      </c>
      <c r="N72" s="34">
        <f t="shared" si="30"/>
        <v>0</v>
      </c>
      <c r="O72" s="34">
        <f t="shared" si="30"/>
        <v>0</v>
      </c>
    </row>
    <row r="73" spans="3:15">
      <c r="D73" s="18" t="s">
        <v>469</v>
      </c>
      <c r="F73" s="34">
        <f>F66</f>
        <v>980</v>
      </c>
      <c r="G73" s="34">
        <f t="shared" ref="G73:O73" si="31">G66</f>
        <v>1050</v>
      </c>
      <c r="H73" s="34">
        <f t="shared" si="31"/>
        <v>1100</v>
      </c>
      <c r="I73" s="34">
        <f t="shared" si="31"/>
        <v>1150</v>
      </c>
      <c r="J73" s="34">
        <f t="shared" si="31"/>
        <v>1180</v>
      </c>
      <c r="K73" s="34">
        <f t="shared" si="31"/>
        <v>1200</v>
      </c>
      <c r="L73" s="34">
        <f t="shared" si="31"/>
        <v>1235.6474075138269</v>
      </c>
      <c r="M73" s="34">
        <f t="shared" si="31"/>
        <v>1271.2948150276538</v>
      </c>
      <c r="N73" s="34">
        <f t="shared" si="31"/>
        <v>1306.9422225414808</v>
      </c>
      <c r="O73" s="34">
        <f t="shared" si="31"/>
        <v>1342.5896300553077</v>
      </c>
    </row>
    <row r="74" spans="3:15" ht="15" thickBot="1">
      <c r="D74" s="35" t="s">
        <v>446</v>
      </c>
      <c r="E74" s="35"/>
      <c r="F74" s="36">
        <f>SUM(F72:F73)</f>
        <v>980</v>
      </c>
      <c r="G74" s="36">
        <f t="shared" ref="G74:O74" si="32">SUM(G72:G73)</f>
        <v>1050</v>
      </c>
      <c r="H74" s="36">
        <f t="shared" si="32"/>
        <v>1100</v>
      </c>
      <c r="I74" s="36">
        <f t="shared" si="32"/>
        <v>1150</v>
      </c>
      <c r="J74" s="36">
        <f t="shared" si="32"/>
        <v>1180</v>
      </c>
      <c r="K74" s="36">
        <f t="shared" si="32"/>
        <v>1200</v>
      </c>
      <c r="L74" s="36">
        <f t="shared" si="32"/>
        <v>1235.6474075138269</v>
      </c>
      <c r="M74" s="36">
        <f t="shared" si="32"/>
        <v>1271.2948150276538</v>
      </c>
      <c r="N74" s="36">
        <f t="shared" si="32"/>
        <v>1306.9422225414808</v>
      </c>
      <c r="O74" s="36">
        <f t="shared" si="32"/>
        <v>1342.5896300553077</v>
      </c>
    </row>
    <row r="76" spans="3:15">
      <c r="D76" s="26" t="s">
        <v>62</v>
      </c>
      <c r="E76" s="27"/>
      <c r="F76" s="79">
        <f>F74-F69</f>
        <v>980</v>
      </c>
      <c r="G76" s="79">
        <f t="shared" ref="G76:O76" si="33">G74-G69</f>
        <v>1050</v>
      </c>
      <c r="H76" s="79">
        <f t="shared" si="33"/>
        <v>1100</v>
      </c>
      <c r="I76" s="79">
        <f t="shared" si="33"/>
        <v>1150</v>
      </c>
      <c r="J76" s="79">
        <f t="shared" si="33"/>
        <v>1180</v>
      </c>
      <c r="K76" s="79">
        <f t="shared" si="33"/>
        <v>1200</v>
      </c>
      <c r="L76" s="79">
        <f t="shared" si="33"/>
        <v>1235.6474075138269</v>
      </c>
      <c r="M76" s="79">
        <f t="shared" si="33"/>
        <v>1271.2948150276538</v>
      </c>
      <c r="N76" s="79">
        <f t="shared" si="33"/>
        <v>1306.9422225414808</v>
      </c>
      <c r="O76" s="81">
        <f t="shared" si="33"/>
        <v>1342.5896300553077</v>
      </c>
    </row>
    <row r="77" spans="3:15">
      <c r="D77" s="18" t="s">
        <v>529</v>
      </c>
    </row>
    <row r="80" spans="3:15">
      <c r="C80" s="18" t="s">
        <v>94</v>
      </c>
    </row>
    <row r="81" spans="3:15">
      <c r="D81" s="18" t="s">
        <v>8</v>
      </c>
      <c r="F81" s="34"/>
      <c r="G81" s="34"/>
      <c r="H81" s="34"/>
      <c r="I81" s="34"/>
      <c r="J81" s="34"/>
      <c r="K81" s="34"/>
      <c r="L81" s="34">
        <f t="shared" ref="L81:O81" si="34">L48</f>
        <v>200</v>
      </c>
      <c r="M81" s="34">
        <f t="shared" si="34"/>
        <v>200</v>
      </c>
      <c r="N81" s="34">
        <f t="shared" si="34"/>
        <v>200</v>
      </c>
      <c r="O81" s="34">
        <f t="shared" si="34"/>
        <v>200</v>
      </c>
    </row>
    <row r="82" spans="3:15">
      <c r="D82" s="18" t="s">
        <v>530</v>
      </c>
      <c r="F82" s="34"/>
      <c r="G82" s="34"/>
      <c r="H82" s="34"/>
      <c r="I82" s="34"/>
      <c r="J82" s="34"/>
      <c r="K82" s="34"/>
      <c r="L82" s="34">
        <f t="shared" ref="L82:O82" si="35">L56</f>
        <v>150</v>
      </c>
      <c r="M82" s="34">
        <f t="shared" si="35"/>
        <v>150</v>
      </c>
      <c r="N82" s="34">
        <f t="shared" si="35"/>
        <v>150</v>
      </c>
      <c r="O82" s="34">
        <f t="shared" si="35"/>
        <v>150</v>
      </c>
    </row>
    <row r="83" spans="3:15" ht="15" thickBot="1">
      <c r="D83" s="35" t="s">
        <v>531</v>
      </c>
      <c r="E83" s="35"/>
      <c r="F83" s="36"/>
      <c r="G83" s="36"/>
      <c r="H83" s="36"/>
      <c r="I83" s="36"/>
      <c r="J83" s="36"/>
      <c r="K83" s="36"/>
      <c r="L83" s="36">
        <f t="shared" ref="L83:O83" si="36">L81-L82</f>
        <v>50</v>
      </c>
      <c r="M83" s="36">
        <f t="shared" si="36"/>
        <v>50</v>
      </c>
      <c r="N83" s="36">
        <f t="shared" si="36"/>
        <v>50</v>
      </c>
      <c r="O83" s="36">
        <f t="shared" si="36"/>
        <v>50</v>
      </c>
    </row>
    <row r="86" spans="3:15">
      <c r="C86" s="18" t="s">
        <v>365</v>
      </c>
      <c r="F86" s="20">
        <f>F51/F66</f>
        <v>9.1071428571428567E-2</v>
      </c>
      <c r="G86" s="20">
        <f t="shared" ref="G86:O86" si="37">G51/G66</f>
        <v>8.4761904761904761E-2</v>
      </c>
      <c r="H86" s="20">
        <f t="shared" si="37"/>
        <v>8.8636363636363638E-2</v>
      </c>
      <c r="I86" s="20">
        <f t="shared" si="37"/>
        <v>7.3913043478260873E-2</v>
      </c>
      <c r="J86" s="20">
        <f t="shared" si="37"/>
        <v>7.7542372881355931E-2</v>
      </c>
      <c r="K86" s="20">
        <f t="shared" si="37"/>
        <v>8.9583333333333334E-2</v>
      </c>
      <c r="L86" s="20">
        <f t="shared" si="37"/>
        <v>0.16185847093905872</v>
      </c>
      <c r="M86" s="20">
        <f t="shared" si="37"/>
        <v>0.15731992110394119</v>
      </c>
      <c r="N86" s="20">
        <f t="shared" si="37"/>
        <v>0.15302895304054059</v>
      </c>
      <c r="O86" s="20">
        <f t="shared" si="37"/>
        <v>0.14896584594636042</v>
      </c>
    </row>
    <row r="87" spans="3:15">
      <c r="C87" s="18" t="s">
        <v>75</v>
      </c>
      <c r="F87" s="20">
        <f>F52/F74</f>
        <v>9.1836734693877556E-2</v>
      </c>
      <c r="G87" s="20">
        <f t="shared" ref="G87:O87" si="38">G52/G74</f>
        <v>8.5714285714285715E-2</v>
      </c>
      <c r="H87" s="20">
        <f t="shared" si="38"/>
        <v>9.0909090909090912E-2</v>
      </c>
      <c r="I87" s="20">
        <f t="shared" si="38"/>
        <v>8.2608695652173908E-2</v>
      </c>
      <c r="J87" s="20">
        <f t="shared" si="38"/>
        <v>8.4745762711864403E-2</v>
      </c>
      <c r="K87" s="20">
        <f t="shared" si="38"/>
        <v>9.7500000000000003E-2</v>
      </c>
      <c r="L87" s="20">
        <f t="shared" si="38"/>
        <v>0.16185847093905872</v>
      </c>
      <c r="M87" s="20">
        <f t="shared" si="38"/>
        <v>0.15731992110394119</v>
      </c>
      <c r="N87" s="20">
        <f t="shared" si="38"/>
        <v>0.15302895304054059</v>
      </c>
      <c r="O87" s="20">
        <f t="shared" si="38"/>
        <v>0.14896584594636042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Spinner 1">
              <controlPr defaultSize="0" autoPict="0">
                <anchor moveWithCells="1" sizeWithCells="1">
                  <from>
                    <xdr:col>3</xdr:col>
                    <xdr:colOff>1123950</xdr:colOff>
                    <xdr:row>21</xdr:row>
                    <xdr:rowOff>6350</xdr:rowOff>
                  </from>
                  <to>
                    <xdr:col>4</xdr:col>
                    <xdr:colOff>152400</xdr:colOff>
                    <xdr:row>21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 macro="[0]!CheckBox2_Click">
                <anchor moveWithCells="1">
                  <from>
                    <xdr:col>3</xdr:col>
                    <xdr:colOff>450850</xdr:colOff>
                    <xdr:row>0</xdr:row>
                    <xdr:rowOff>88900</xdr:rowOff>
                  </from>
                  <to>
                    <xdr:col>4</xdr:col>
                    <xdr:colOff>177800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R93"/>
  <sheetViews>
    <sheetView showGridLines="0" zoomScale="80" zoomScaleNormal="80" workbookViewId="0">
      <pane xSplit="5" ySplit="3" topLeftCell="F4" activePane="bottomRight" state="frozen"/>
      <selection pane="topRight"/>
      <selection pane="bottomLeft"/>
      <selection pane="bottomRight" activeCell="N10" sqref="N10"/>
    </sheetView>
  </sheetViews>
  <sheetFormatPr defaultColWidth="8.90625" defaultRowHeight="14.5"/>
  <cols>
    <col min="1" max="1" width="1.54296875" style="71" customWidth="1"/>
    <col min="2" max="3" width="1.54296875" style="18" customWidth="1"/>
    <col min="4" max="4" width="18.6328125" style="18" customWidth="1"/>
    <col min="5" max="16384" width="8.90625" style="18"/>
  </cols>
  <sheetData>
    <row r="1" spans="1:15"/>
    <row r="2" spans="1:15">
      <c r="F2" s="18">
        <v>2012</v>
      </c>
      <c r="G2" s="18">
        <v>2013</v>
      </c>
      <c r="H2" s="18">
        <v>2014</v>
      </c>
      <c r="I2" s="18">
        <v>2015</v>
      </c>
      <c r="J2" s="18">
        <v>2016</v>
      </c>
      <c r="K2" s="18">
        <v>2017</v>
      </c>
      <c r="L2" s="18">
        <v>2018</v>
      </c>
      <c r="M2" s="18">
        <v>2019</v>
      </c>
      <c r="N2" s="18">
        <v>2020</v>
      </c>
      <c r="O2" s="18">
        <v>2021</v>
      </c>
    </row>
    <row r="3" spans="1:15">
      <c r="B3" s="18" t="s">
        <v>448</v>
      </c>
      <c r="E3" s="18">
        <v>2017</v>
      </c>
      <c r="F3" s="18" t="b">
        <f>F2&lt;=$E$3</f>
        <v>1</v>
      </c>
      <c r="G3" s="18" t="b">
        <f t="shared" ref="G3:O3" si="0">G2&lt;=$E$3</f>
        <v>1</v>
      </c>
      <c r="H3" s="18" t="b">
        <f t="shared" si="0"/>
        <v>1</v>
      </c>
      <c r="I3" s="18" t="b">
        <f t="shared" si="0"/>
        <v>1</v>
      </c>
      <c r="J3" s="18" t="b">
        <f t="shared" si="0"/>
        <v>1</v>
      </c>
      <c r="K3" s="18" t="b">
        <f t="shared" si="0"/>
        <v>1</v>
      </c>
      <c r="L3" s="18" t="b">
        <f t="shared" si="0"/>
        <v>0</v>
      </c>
      <c r="M3" s="18" t="b">
        <f t="shared" si="0"/>
        <v>0</v>
      </c>
      <c r="N3" s="18" t="b">
        <f t="shared" si="0"/>
        <v>0</v>
      </c>
      <c r="O3" s="18" t="b">
        <f t="shared" si="0"/>
        <v>0</v>
      </c>
    </row>
    <row r="5" spans="1:15">
      <c r="A5" s="71" t="s">
        <v>496</v>
      </c>
    </row>
    <row r="6" spans="1:15">
      <c r="B6" s="18" t="s">
        <v>270</v>
      </c>
    </row>
    <row r="7" spans="1:15">
      <c r="C7" s="18" t="s">
        <v>518</v>
      </c>
      <c r="F7" s="34">
        <v>20</v>
      </c>
      <c r="G7" s="34">
        <v>40</v>
      </c>
      <c r="H7" s="34">
        <v>30</v>
      </c>
      <c r="I7" s="34">
        <v>40</v>
      </c>
      <c r="J7" s="34">
        <v>40</v>
      </c>
      <c r="K7" s="34">
        <v>40</v>
      </c>
    </row>
    <row r="8" spans="1:15">
      <c r="C8" s="18" t="s">
        <v>485</v>
      </c>
      <c r="F8" s="34">
        <v>900</v>
      </c>
      <c r="G8" s="34">
        <v>1000</v>
      </c>
      <c r="H8" s="34">
        <v>1050</v>
      </c>
      <c r="I8" s="34">
        <v>1100</v>
      </c>
      <c r="J8" s="34">
        <v>1150</v>
      </c>
      <c r="K8" s="34">
        <v>1200</v>
      </c>
    </row>
    <row r="9" spans="1:15" ht="15" thickBot="1">
      <c r="D9" s="35" t="s">
        <v>446</v>
      </c>
      <c r="E9" s="35"/>
      <c r="F9" s="36">
        <f>SUM(F7:F8)</f>
        <v>920</v>
      </c>
      <c r="G9" s="36">
        <f t="shared" ref="G9:K9" si="1">SUM(G7:G8)</f>
        <v>1040</v>
      </c>
      <c r="H9" s="36">
        <f t="shared" si="1"/>
        <v>1080</v>
      </c>
      <c r="I9" s="36">
        <f t="shared" si="1"/>
        <v>1140</v>
      </c>
      <c r="J9" s="36">
        <f t="shared" si="1"/>
        <v>1190</v>
      </c>
      <c r="K9" s="36">
        <f t="shared" si="1"/>
        <v>1240</v>
      </c>
    </row>
    <row r="11" spans="1:15">
      <c r="C11" s="18" t="s">
        <v>519</v>
      </c>
      <c r="F11" s="34">
        <v>40</v>
      </c>
      <c r="G11" s="34">
        <v>50</v>
      </c>
      <c r="H11" s="34">
        <v>40</v>
      </c>
      <c r="I11" s="34">
        <v>45</v>
      </c>
      <c r="J11" s="34">
        <v>45</v>
      </c>
      <c r="K11" s="34">
        <v>45</v>
      </c>
    </row>
    <row r="12" spans="1:15">
      <c r="C12" s="18" t="s">
        <v>486</v>
      </c>
      <c r="F12" s="34">
        <f>F9-F11-F13</f>
        <v>680</v>
      </c>
      <c r="G12" s="34">
        <f t="shared" ref="G12:K12" si="2">G9-G11-G13</f>
        <v>770</v>
      </c>
      <c r="H12" s="34">
        <f t="shared" si="2"/>
        <v>780</v>
      </c>
      <c r="I12" s="34">
        <f t="shared" si="2"/>
        <v>831</v>
      </c>
      <c r="J12" s="34">
        <f t="shared" si="2"/>
        <v>871</v>
      </c>
      <c r="K12" s="34">
        <f t="shared" si="2"/>
        <v>915</v>
      </c>
    </row>
    <row r="13" spans="1:15">
      <c r="C13" s="18" t="s">
        <v>362</v>
      </c>
      <c r="F13" s="34">
        <v>200</v>
      </c>
      <c r="G13" s="34">
        <v>220</v>
      </c>
      <c r="H13" s="34">
        <v>260</v>
      </c>
      <c r="I13" s="34">
        <v>264</v>
      </c>
      <c r="J13" s="34">
        <v>274</v>
      </c>
      <c r="K13" s="34">
        <v>280</v>
      </c>
    </row>
    <row r="14" spans="1:15" ht="15" thickBot="1">
      <c r="D14" s="35" t="s">
        <v>446</v>
      </c>
      <c r="E14" s="35"/>
      <c r="F14" s="36">
        <f>SUM(F11:F13)</f>
        <v>920</v>
      </c>
      <c r="G14" s="36">
        <f t="shared" ref="G14:K14" si="3">SUM(G11:G13)</f>
        <v>1040</v>
      </c>
      <c r="H14" s="36">
        <f t="shared" si="3"/>
        <v>1080</v>
      </c>
      <c r="I14" s="36">
        <f t="shared" si="3"/>
        <v>1140</v>
      </c>
      <c r="J14" s="36">
        <f t="shared" si="3"/>
        <v>1190</v>
      </c>
      <c r="K14" s="36">
        <f t="shared" si="3"/>
        <v>1240</v>
      </c>
    </row>
    <row r="16" spans="1:15">
      <c r="B16" s="18" t="s">
        <v>497</v>
      </c>
    </row>
    <row r="18" spans="1:15">
      <c r="C18" s="18" t="s">
        <v>487</v>
      </c>
      <c r="F18" s="34">
        <v>140</v>
      </c>
      <c r="G18" s="34">
        <v>150</v>
      </c>
      <c r="H18" s="34">
        <v>165</v>
      </c>
      <c r="I18" s="34">
        <v>170</v>
      </c>
      <c r="J18" s="34">
        <v>180</v>
      </c>
      <c r="K18" s="34">
        <v>200</v>
      </c>
    </row>
    <row r="19" spans="1:15">
      <c r="C19" s="18" t="s">
        <v>520</v>
      </c>
      <c r="F19" s="34">
        <v>120</v>
      </c>
      <c r="G19" s="34">
        <v>130</v>
      </c>
      <c r="H19" s="34">
        <v>125</v>
      </c>
      <c r="I19" s="34">
        <v>130</v>
      </c>
      <c r="J19" s="34">
        <v>140</v>
      </c>
      <c r="K19" s="34">
        <v>150</v>
      </c>
    </row>
    <row r="20" spans="1:15">
      <c r="C20" s="18" t="s">
        <v>521</v>
      </c>
      <c r="F20" s="34">
        <v>0.7</v>
      </c>
      <c r="G20" s="34">
        <f>(F11-F7)*0.04</f>
        <v>0.8</v>
      </c>
      <c r="H20" s="34">
        <f t="shared" ref="H20:K20" si="4">(G11-G7)*0.04</f>
        <v>0.4</v>
      </c>
      <c r="I20" s="34">
        <f t="shared" si="4"/>
        <v>0.4</v>
      </c>
      <c r="J20" s="34">
        <f t="shared" si="4"/>
        <v>0.2</v>
      </c>
      <c r="K20" s="34">
        <f t="shared" si="4"/>
        <v>0.2</v>
      </c>
    </row>
    <row r="21" spans="1:15">
      <c r="C21" s="65" t="s">
        <v>234</v>
      </c>
      <c r="D21" s="65"/>
      <c r="E21" s="65"/>
      <c r="F21" s="78">
        <f>F18-F19-F20</f>
        <v>19.3</v>
      </c>
      <c r="G21" s="78">
        <f t="shared" ref="G21:K21" si="5">G18-G19-G20</f>
        <v>19.2</v>
      </c>
      <c r="H21" s="78">
        <f t="shared" si="5"/>
        <v>39.6</v>
      </c>
      <c r="I21" s="78">
        <f t="shared" si="5"/>
        <v>39.6</v>
      </c>
      <c r="J21" s="78">
        <f t="shared" si="5"/>
        <v>39.799999999999997</v>
      </c>
      <c r="K21" s="78">
        <f t="shared" si="5"/>
        <v>49.8</v>
      </c>
    </row>
    <row r="22" spans="1:15" ht="15" thickBot="1">
      <c r="C22" s="35" t="s">
        <v>457</v>
      </c>
      <c r="D22" s="35"/>
      <c r="E22" s="35"/>
      <c r="F22" s="36">
        <v>14</v>
      </c>
      <c r="G22" s="36">
        <v>17</v>
      </c>
      <c r="H22" s="36">
        <v>30</v>
      </c>
      <c r="I22" s="36">
        <v>34</v>
      </c>
      <c r="J22" s="36">
        <v>34</v>
      </c>
      <c r="K22" s="36">
        <v>40</v>
      </c>
    </row>
    <row r="25" spans="1:15">
      <c r="A25" s="71" t="s">
        <v>433</v>
      </c>
    </row>
    <row r="26" spans="1:15">
      <c r="B26" s="18" t="s">
        <v>488</v>
      </c>
      <c r="F26" s="20">
        <f t="shared" ref="F26:K26" si="6">IF(F$3,F18/F8,AVERAGEIF($3:$3,TRUE,26:26))</f>
        <v>0.15555555555555556</v>
      </c>
      <c r="G26" s="20">
        <f t="shared" si="6"/>
        <v>0.15</v>
      </c>
      <c r="H26" s="20">
        <f t="shared" si="6"/>
        <v>0.15714285714285714</v>
      </c>
      <c r="I26" s="20">
        <f t="shared" si="6"/>
        <v>0.15454545454545454</v>
      </c>
      <c r="J26" s="20">
        <f t="shared" si="6"/>
        <v>0.15652173913043479</v>
      </c>
      <c r="K26" s="20">
        <f t="shared" si="6"/>
        <v>0.16666666666666666</v>
      </c>
      <c r="L26" s="20">
        <f>IF(L3,L18/L8,AVERAGEIF(3:3,TRUE,26:26))</f>
        <v>0.15673871217349478</v>
      </c>
      <c r="M26" s="20">
        <f>IF(M3,M18/M8,AVERAGEIF(3:3,TRUE,26:26))</f>
        <v>0.15673871217349478</v>
      </c>
      <c r="N26" s="20">
        <f>IF(N3,N18/N8,AVERAGEIF(3:3,TRUE,26:26))</f>
        <v>0.15673871217349478</v>
      </c>
      <c r="O26" s="20">
        <f>IF(O3,O18/O8,AVERAGEIF(3:3,TRUE,26:26))</f>
        <v>0.15673871217349478</v>
      </c>
    </row>
    <row r="27" spans="1:15">
      <c r="B27" s="18" t="s">
        <v>489</v>
      </c>
      <c r="F27" s="20">
        <f t="shared" ref="F27:O27" si="7">IF(F$3,F19/F12,AVERAGEIF($3:$3,TRUE,27:27))</f>
        <v>0.17647058823529413</v>
      </c>
      <c r="G27" s="20">
        <f t="shared" si="7"/>
        <v>0.16883116883116883</v>
      </c>
      <c r="H27" s="20">
        <f t="shared" si="7"/>
        <v>0.16025641025641027</v>
      </c>
      <c r="I27" s="20">
        <f t="shared" si="7"/>
        <v>0.15643802647412755</v>
      </c>
      <c r="J27" s="20">
        <f t="shared" si="7"/>
        <v>0.16073478760045926</v>
      </c>
      <c r="K27" s="20">
        <f t="shared" si="7"/>
        <v>0.16393442622950818</v>
      </c>
      <c r="L27" s="20">
        <f t="shared" si="7"/>
        <v>0.16444423460449467</v>
      </c>
      <c r="M27" s="20">
        <f t="shared" si="7"/>
        <v>0.16444423460449467</v>
      </c>
      <c r="N27" s="20">
        <f t="shared" si="7"/>
        <v>0.16444423460449467</v>
      </c>
      <c r="O27" s="20">
        <f t="shared" si="7"/>
        <v>0.16444423460449467</v>
      </c>
    </row>
    <row r="28" spans="1:15" ht="15" thickBot="1">
      <c r="B28" s="35" t="s">
        <v>490</v>
      </c>
      <c r="C28" s="35"/>
      <c r="D28" s="35"/>
      <c r="E28" s="35">
        <v>150</v>
      </c>
      <c r="F28" s="35"/>
      <c r="G28" s="67"/>
      <c r="H28" s="67"/>
      <c r="I28" s="67"/>
      <c r="J28" s="67"/>
      <c r="K28" s="67"/>
      <c r="L28" s="36">
        <f>E28</f>
        <v>150</v>
      </c>
      <c r="M28" s="36">
        <f>L28</f>
        <v>150</v>
      </c>
      <c r="N28" s="36">
        <f t="shared" ref="N28:O28" si="8">M28</f>
        <v>150</v>
      </c>
      <c r="O28" s="36">
        <f t="shared" si="8"/>
        <v>150</v>
      </c>
    </row>
    <row r="29" spans="1:15" s="20" customFormat="1">
      <c r="A29" s="80"/>
      <c r="B29" s="20" t="s">
        <v>491</v>
      </c>
      <c r="E29" s="20">
        <v>0.76</v>
      </c>
      <c r="F29" s="20">
        <f t="shared" ref="F29:O29" si="9">IF(F3,F12/F8,$E$29)</f>
        <v>0.75555555555555554</v>
      </c>
      <c r="G29" s="20">
        <f t="shared" si="9"/>
        <v>0.77</v>
      </c>
      <c r="H29" s="20">
        <f t="shared" si="9"/>
        <v>0.74285714285714288</v>
      </c>
      <c r="I29" s="20">
        <f t="shared" si="9"/>
        <v>0.75545454545454549</v>
      </c>
      <c r="J29" s="20">
        <f t="shared" si="9"/>
        <v>0.75739130434782609</v>
      </c>
      <c r="K29" s="20">
        <f t="shared" si="9"/>
        <v>0.76249999999999996</v>
      </c>
      <c r="L29" s="20">
        <f t="shared" si="9"/>
        <v>0.76</v>
      </c>
      <c r="M29" s="20">
        <f t="shared" si="9"/>
        <v>0.76</v>
      </c>
      <c r="N29" s="20">
        <f t="shared" si="9"/>
        <v>0.76</v>
      </c>
      <c r="O29" s="20">
        <f t="shared" si="9"/>
        <v>0.76</v>
      </c>
    </row>
    <row r="30" spans="1:15">
      <c r="B30" s="18" t="s">
        <v>9</v>
      </c>
      <c r="F30" s="34">
        <f>(F11-F7)</f>
        <v>20</v>
      </c>
      <c r="G30" s="34">
        <f t="shared" ref="G30:K30" si="10">(G11-G7)</f>
        <v>10</v>
      </c>
      <c r="H30" s="34">
        <f t="shared" si="10"/>
        <v>10</v>
      </c>
      <c r="I30" s="34">
        <f t="shared" si="10"/>
        <v>5</v>
      </c>
      <c r="J30" s="34">
        <f t="shared" si="10"/>
        <v>5</v>
      </c>
      <c r="K30" s="34">
        <f t="shared" si="10"/>
        <v>5</v>
      </c>
      <c r="L30" s="34"/>
      <c r="M30" s="34"/>
      <c r="N30" s="34"/>
      <c r="O30" s="34"/>
    </row>
    <row r="31" spans="1:15">
      <c r="B31" s="18" t="s">
        <v>523</v>
      </c>
      <c r="E31" s="20">
        <v>0.04</v>
      </c>
      <c r="F31" s="20">
        <v>0.04</v>
      </c>
      <c r="G31" s="20">
        <f t="shared" ref="G31:O31" si="11">IF(G3,G20/F30,$E$31)</f>
        <v>0.04</v>
      </c>
      <c r="H31" s="20">
        <f t="shared" si="11"/>
        <v>0.04</v>
      </c>
      <c r="I31" s="20">
        <f t="shared" si="11"/>
        <v>0.04</v>
      </c>
      <c r="J31" s="20">
        <f t="shared" si="11"/>
        <v>0.04</v>
      </c>
      <c r="K31" s="20">
        <f t="shared" si="11"/>
        <v>0.04</v>
      </c>
      <c r="L31" s="20">
        <f t="shared" si="11"/>
        <v>0.04</v>
      </c>
      <c r="M31" s="20">
        <f t="shared" si="11"/>
        <v>0.04</v>
      </c>
      <c r="N31" s="20">
        <f t="shared" si="11"/>
        <v>0.04</v>
      </c>
      <c r="O31" s="20">
        <f t="shared" si="11"/>
        <v>0.04</v>
      </c>
    </row>
    <row r="32" spans="1:15">
      <c r="B32" s="18" t="s">
        <v>524</v>
      </c>
      <c r="E32" s="20">
        <v>0.22</v>
      </c>
      <c r="F32" s="20">
        <f>IF(F3,F13/F9,$E$32)</f>
        <v>0.21739130434782608</v>
      </c>
      <c r="G32" s="20">
        <f t="shared" ref="G32:O32" si="12">IF(G3,G13/G9,$E$32)</f>
        <v>0.21153846153846154</v>
      </c>
      <c r="H32" s="20">
        <f t="shared" si="12"/>
        <v>0.24074074074074073</v>
      </c>
      <c r="I32" s="20">
        <f t="shared" si="12"/>
        <v>0.23157894736842105</v>
      </c>
      <c r="J32" s="20">
        <f t="shared" si="12"/>
        <v>0.23025210084033612</v>
      </c>
      <c r="K32" s="20">
        <f t="shared" si="12"/>
        <v>0.22580645161290322</v>
      </c>
      <c r="L32" s="20">
        <f t="shared" si="12"/>
        <v>0.22</v>
      </c>
      <c r="M32" s="20">
        <f t="shared" si="12"/>
        <v>0.22</v>
      </c>
      <c r="N32" s="20">
        <f t="shared" si="12"/>
        <v>0.22</v>
      </c>
      <c r="O32" s="20">
        <f t="shared" si="12"/>
        <v>0.22</v>
      </c>
    </row>
    <row r="33" spans="1:15">
      <c r="B33" s="18" t="s">
        <v>525</v>
      </c>
      <c r="E33" s="22">
        <v>0.75</v>
      </c>
      <c r="F33" s="20">
        <f>IF(F3,F22/F21,$E$33)</f>
        <v>0.72538860103626945</v>
      </c>
      <c r="G33" s="20">
        <f t="shared" ref="G33:O33" si="13">IF(G3,G22/G21,$E$33)</f>
        <v>0.88541666666666674</v>
      </c>
      <c r="H33" s="20">
        <f t="shared" si="13"/>
        <v>0.75757575757575757</v>
      </c>
      <c r="I33" s="20">
        <f t="shared" si="13"/>
        <v>0.85858585858585856</v>
      </c>
      <c r="J33" s="20">
        <f t="shared" si="13"/>
        <v>0.85427135678391963</v>
      </c>
      <c r="K33" s="20">
        <f t="shared" si="13"/>
        <v>0.80321285140562249</v>
      </c>
      <c r="L33" s="20">
        <f t="shared" si="13"/>
        <v>0.75</v>
      </c>
      <c r="M33" s="20">
        <f t="shared" si="13"/>
        <v>0.75</v>
      </c>
      <c r="N33" s="20">
        <f t="shared" si="13"/>
        <v>0.75</v>
      </c>
      <c r="O33" s="20">
        <f t="shared" si="13"/>
        <v>0.75</v>
      </c>
    </row>
    <row r="35" spans="1:15">
      <c r="A35" s="71" t="s">
        <v>455</v>
      </c>
    </row>
    <row r="36" spans="1:15">
      <c r="B36" s="18" t="s">
        <v>485</v>
      </c>
      <c r="F36" s="34">
        <f t="shared" ref="F36:O36" si="14">IF(F3,F8,E36+F28)</f>
        <v>900</v>
      </c>
      <c r="G36" s="34">
        <f t="shared" si="14"/>
        <v>1000</v>
      </c>
      <c r="H36" s="34">
        <f t="shared" si="14"/>
        <v>1050</v>
      </c>
      <c r="I36" s="34">
        <f t="shared" si="14"/>
        <v>1100</v>
      </c>
      <c r="J36" s="34">
        <f t="shared" si="14"/>
        <v>1150</v>
      </c>
      <c r="K36" s="34">
        <f t="shared" si="14"/>
        <v>1200</v>
      </c>
      <c r="L36" s="34">
        <f t="shared" si="14"/>
        <v>1350</v>
      </c>
      <c r="M36" s="34">
        <f t="shared" si="14"/>
        <v>1500</v>
      </c>
      <c r="N36" s="34">
        <f t="shared" si="14"/>
        <v>1650</v>
      </c>
      <c r="O36" s="34">
        <f t="shared" si="14"/>
        <v>1800</v>
      </c>
    </row>
    <row r="37" spans="1:15">
      <c r="B37" s="18" t="s">
        <v>487</v>
      </c>
      <c r="F37" s="34">
        <f t="shared" ref="F37:O37" si="15">F36*F26</f>
        <v>140</v>
      </c>
      <c r="G37" s="34">
        <f t="shared" si="15"/>
        <v>150</v>
      </c>
      <c r="H37" s="34">
        <f t="shared" si="15"/>
        <v>165</v>
      </c>
      <c r="I37" s="34">
        <f t="shared" si="15"/>
        <v>170</v>
      </c>
      <c r="J37" s="34">
        <f t="shared" si="15"/>
        <v>180</v>
      </c>
      <c r="K37" s="34">
        <f t="shared" si="15"/>
        <v>200</v>
      </c>
      <c r="L37" s="34">
        <f t="shared" si="15"/>
        <v>211.59726143421796</v>
      </c>
      <c r="M37" s="34">
        <f t="shared" si="15"/>
        <v>235.10806826024216</v>
      </c>
      <c r="N37" s="34">
        <f t="shared" si="15"/>
        <v>258.61887508626637</v>
      </c>
      <c r="O37" s="34">
        <f t="shared" si="15"/>
        <v>282.12968191229061</v>
      </c>
    </row>
    <row r="38" spans="1:15">
      <c r="B38" s="18" t="s">
        <v>486</v>
      </c>
      <c r="E38" s="22"/>
      <c r="F38" s="34">
        <f t="shared" ref="F38:O38" si="16">F36*F29</f>
        <v>680</v>
      </c>
      <c r="G38" s="34">
        <f t="shared" si="16"/>
        <v>770</v>
      </c>
      <c r="H38" s="34">
        <f t="shared" si="16"/>
        <v>780</v>
      </c>
      <c r="I38" s="34">
        <f t="shared" si="16"/>
        <v>831</v>
      </c>
      <c r="J38" s="34">
        <f t="shared" si="16"/>
        <v>871</v>
      </c>
      <c r="K38" s="34">
        <f t="shared" si="16"/>
        <v>915</v>
      </c>
      <c r="L38" s="34">
        <f t="shared" si="16"/>
        <v>1026</v>
      </c>
      <c r="M38" s="34">
        <f t="shared" si="16"/>
        <v>1140</v>
      </c>
      <c r="N38" s="34">
        <f t="shared" si="16"/>
        <v>1254</v>
      </c>
      <c r="O38" s="34">
        <f t="shared" si="16"/>
        <v>1368</v>
      </c>
    </row>
    <row r="39" spans="1:15">
      <c r="B39" s="18" t="s">
        <v>522</v>
      </c>
      <c r="F39" s="34">
        <f t="shared" ref="F39:O39" si="17">F38*F27</f>
        <v>120.00000000000001</v>
      </c>
      <c r="G39" s="34">
        <f t="shared" si="17"/>
        <v>130</v>
      </c>
      <c r="H39" s="34">
        <f t="shared" si="17"/>
        <v>125.00000000000001</v>
      </c>
      <c r="I39" s="34">
        <f t="shared" si="17"/>
        <v>130</v>
      </c>
      <c r="J39" s="34">
        <f t="shared" si="17"/>
        <v>140</v>
      </c>
      <c r="K39" s="34">
        <f t="shared" si="17"/>
        <v>150</v>
      </c>
      <c r="L39" s="34">
        <f t="shared" si="17"/>
        <v>168.71978470421152</v>
      </c>
      <c r="M39" s="34">
        <f t="shared" si="17"/>
        <v>187.46642744912393</v>
      </c>
      <c r="N39" s="34">
        <f t="shared" si="17"/>
        <v>206.21307019403631</v>
      </c>
      <c r="O39" s="34">
        <f t="shared" si="17"/>
        <v>224.95971293894871</v>
      </c>
    </row>
    <row r="41" spans="1:15">
      <c r="B41" s="18" t="s">
        <v>502</v>
      </c>
    </row>
    <row r="42" spans="1:15">
      <c r="C42" s="18" t="s">
        <v>51</v>
      </c>
      <c r="F42" s="34">
        <f>E44</f>
        <v>0</v>
      </c>
      <c r="G42" s="34">
        <f t="shared" ref="G42:O42" si="18">F44</f>
        <v>-20</v>
      </c>
      <c r="H42" s="34">
        <f t="shared" si="18"/>
        <v>-10</v>
      </c>
      <c r="I42" s="34">
        <f t="shared" si="18"/>
        <v>-10</v>
      </c>
      <c r="J42" s="34">
        <f t="shared" si="18"/>
        <v>-5</v>
      </c>
      <c r="K42" s="34">
        <f t="shared" si="18"/>
        <v>-5</v>
      </c>
      <c r="L42" s="34">
        <f t="shared" si="18"/>
        <v>-5</v>
      </c>
      <c r="M42" s="34">
        <f t="shared" si="18"/>
        <v>-33.230630817498394</v>
      </c>
      <c r="N42" s="34">
        <f t="shared" si="18"/>
        <v>-56.987914306543843</v>
      </c>
      <c r="O42" s="34">
        <f t="shared" si="18"/>
        <v>-79.316583940420884</v>
      </c>
    </row>
    <row r="43" spans="1:15">
      <c r="C43" s="18" t="s">
        <v>337</v>
      </c>
      <c r="F43" s="34">
        <f>F62</f>
        <v>5.2999999999999954</v>
      </c>
      <c r="G43" s="34">
        <f t="shared" ref="G43:O43" si="19">G62</f>
        <v>92.2</v>
      </c>
      <c r="H43" s="34">
        <f t="shared" si="19"/>
        <v>19.599999999999998</v>
      </c>
      <c r="I43" s="34">
        <f t="shared" si="19"/>
        <v>56.599999999999994</v>
      </c>
      <c r="J43" s="34">
        <f t="shared" si="19"/>
        <v>45.8</v>
      </c>
      <c r="K43" s="34">
        <f t="shared" si="19"/>
        <v>53.8</v>
      </c>
      <c r="L43" s="34">
        <f t="shared" si="19"/>
        <v>-28.230630817498394</v>
      </c>
      <c r="M43" s="34">
        <f t="shared" si="19"/>
        <v>-23.757283489045449</v>
      </c>
      <c r="N43" s="34">
        <f t="shared" si="19"/>
        <v>-22.328669633877041</v>
      </c>
      <c r="O43" s="34">
        <f t="shared" si="19"/>
        <v>-20.914341917260309</v>
      </c>
    </row>
    <row r="44" spans="1:15">
      <c r="C44" s="18" t="s">
        <v>54</v>
      </c>
      <c r="F44" s="34">
        <f>IF(F3,F7-F11,F42+F43)</f>
        <v>-20</v>
      </c>
      <c r="G44" s="34">
        <f t="shared" ref="G44:O44" si="20">IF(G3,G7-G11,G42+G43)</f>
        <v>-10</v>
      </c>
      <c r="H44" s="34">
        <f t="shared" si="20"/>
        <v>-10</v>
      </c>
      <c r="I44" s="34">
        <f t="shared" si="20"/>
        <v>-5</v>
      </c>
      <c r="J44" s="34">
        <f t="shared" si="20"/>
        <v>-5</v>
      </c>
      <c r="K44" s="34">
        <f t="shared" si="20"/>
        <v>-5</v>
      </c>
      <c r="L44" s="34">
        <f t="shared" si="20"/>
        <v>-33.230630817498394</v>
      </c>
      <c r="M44" s="34">
        <f t="shared" si="20"/>
        <v>-56.987914306543843</v>
      </c>
      <c r="N44" s="34">
        <f t="shared" si="20"/>
        <v>-79.316583940420884</v>
      </c>
      <c r="O44" s="34">
        <f t="shared" si="20"/>
        <v>-100.2309258576812</v>
      </c>
    </row>
    <row r="46" spans="1:15">
      <c r="C46" s="18" t="s">
        <v>339</v>
      </c>
      <c r="F46" s="20">
        <f>F31</f>
        <v>0.04</v>
      </c>
      <c r="G46" s="20">
        <f t="shared" ref="G46:O46" si="21">G31</f>
        <v>0.04</v>
      </c>
      <c r="H46" s="20">
        <f t="shared" si="21"/>
        <v>0.04</v>
      </c>
      <c r="I46" s="20">
        <f t="shared" si="21"/>
        <v>0.04</v>
      </c>
      <c r="J46" s="20">
        <f t="shared" si="21"/>
        <v>0.04</v>
      </c>
      <c r="K46" s="20">
        <f t="shared" si="21"/>
        <v>0.04</v>
      </c>
      <c r="L46" s="20">
        <f t="shared" si="21"/>
        <v>0.04</v>
      </c>
      <c r="M46" s="20">
        <f t="shared" si="21"/>
        <v>0.04</v>
      </c>
      <c r="N46" s="20">
        <f t="shared" si="21"/>
        <v>0.04</v>
      </c>
      <c r="O46" s="20">
        <f t="shared" si="21"/>
        <v>0.04</v>
      </c>
    </row>
    <row r="47" spans="1:15">
      <c r="C47" s="18" t="s">
        <v>225</v>
      </c>
      <c r="F47" s="34">
        <f>IF(F3,F20,F42*F46)</f>
        <v>0.7</v>
      </c>
      <c r="G47" s="34">
        <f t="shared" ref="G47:O47" si="22">IF(G3,G20,G42*G46)</f>
        <v>0.8</v>
      </c>
      <c r="H47" s="34">
        <f t="shared" si="22"/>
        <v>0.4</v>
      </c>
      <c r="I47" s="34">
        <f t="shared" si="22"/>
        <v>0.4</v>
      </c>
      <c r="J47" s="34">
        <f t="shared" si="22"/>
        <v>0.2</v>
      </c>
      <c r="K47" s="34">
        <f t="shared" si="22"/>
        <v>0.2</v>
      </c>
      <c r="L47" s="34">
        <f t="shared" si="22"/>
        <v>-0.2</v>
      </c>
      <c r="M47" s="34">
        <f t="shared" si="22"/>
        <v>-1.3292252326999359</v>
      </c>
      <c r="N47" s="34">
        <f t="shared" si="22"/>
        <v>-2.2795165722617536</v>
      </c>
      <c r="O47" s="34">
        <f t="shared" si="22"/>
        <v>-3.1726633576168353</v>
      </c>
    </row>
    <row r="49" spans="1:15">
      <c r="A49" s="71" t="s">
        <v>465</v>
      </c>
    </row>
    <row r="50" spans="1:15">
      <c r="B50" s="18" t="s">
        <v>212</v>
      </c>
    </row>
    <row r="51" spans="1:15">
      <c r="C51" s="18" t="s">
        <v>487</v>
      </c>
      <c r="F51" s="34">
        <f t="shared" ref="F51:O51" si="23">F37</f>
        <v>140</v>
      </c>
      <c r="G51" s="34">
        <f t="shared" si="23"/>
        <v>150</v>
      </c>
      <c r="H51" s="34">
        <f t="shared" si="23"/>
        <v>165</v>
      </c>
      <c r="I51" s="34">
        <f t="shared" si="23"/>
        <v>170</v>
      </c>
      <c r="J51" s="34">
        <f t="shared" si="23"/>
        <v>180</v>
      </c>
      <c r="K51" s="34">
        <f t="shared" si="23"/>
        <v>200</v>
      </c>
      <c r="L51" s="34">
        <f t="shared" si="23"/>
        <v>211.59726143421796</v>
      </c>
      <c r="M51" s="34">
        <f t="shared" si="23"/>
        <v>235.10806826024216</v>
      </c>
      <c r="N51" s="34">
        <f t="shared" si="23"/>
        <v>258.61887508626637</v>
      </c>
      <c r="O51" s="34">
        <f t="shared" si="23"/>
        <v>282.12968191229061</v>
      </c>
    </row>
    <row r="52" spans="1:15">
      <c r="C52" s="18" t="s">
        <v>526</v>
      </c>
      <c r="F52" s="34">
        <f t="shared" ref="F52:O52" si="24">F39</f>
        <v>120.00000000000001</v>
      </c>
      <c r="G52" s="34">
        <f t="shared" si="24"/>
        <v>130</v>
      </c>
      <c r="H52" s="34">
        <f t="shared" si="24"/>
        <v>125.00000000000001</v>
      </c>
      <c r="I52" s="34">
        <f t="shared" si="24"/>
        <v>130</v>
      </c>
      <c r="J52" s="34">
        <f t="shared" si="24"/>
        <v>140</v>
      </c>
      <c r="K52" s="34">
        <f t="shared" si="24"/>
        <v>150</v>
      </c>
      <c r="L52" s="34">
        <f t="shared" si="24"/>
        <v>168.71978470421152</v>
      </c>
      <c r="M52" s="34">
        <f t="shared" si="24"/>
        <v>187.46642744912393</v>
      </c>
      <c r="N52" s="34">
        <f t="shared" si="24"/>
        <v>206.21307019403631</v>
      </c>
      <c r="O52" s="34">
        <f t="shared" si="24"/>
        <v>224.95971293894871</v>
      </c>
    </row>
    <row r="53" spans="1:15">
      <c r="C53" s="18" t="s">
        <v>521</v>
      </c>
      <c r="F53" s="34">
        <f>F47</f>
        <v>0.7</v>
      </c>
      <c r="G53" s="34">
        <f t="shared" ref="G53:O53" si="25">G47</f>
        <v>0.8</v>
      </c>
      <c r="H53" s="34">
        <f t="shared" si="25"/>
        <v>0.4</v>
      </c>
      <c r="I53" s="34">
        <f t="shared" si="25"/>
        <v>0.4</v>
      </c>
      <c r="J53" s="34">
        <f t="shared" si="25"/>
        <v>0.2</v>
      </c>
      <c r="K53" s="34">
        <f t="shared" si="25"/>
        <v>0.2</v>
      </c>
      <c r="L53" s="34">
        <f t="shared" si="25"/>
        <v>-0.2</v>
      </c>
      <c r="M53" s="34">
        <f t="shared" si="25"/>
        <v>-1.3292252326999359</v>
      </c>
      <c r="N53" s="34">
        <f t="shared" si="25"/>
        <v>-2.2795165722617536</v>
      </c>
      <c r="O53" s="34">
        <f t="shared" si="25"/>
        <v>-3.1726633576168353</v>
      </c>
    </row>
    <row r="54" spans="1:15">
      <c r="C54" s="18" t="s">
        <v>234</v>
      </c>
      <c r="F54" s="34">
        <f>F51-F52-F53</f>
        <v>19.299999999999986</v>
      </c>
      <c r="G54" s="34">
        <f t="shared" ref="G54:O54" si="26">G51-G52-G53</f>
        <v>19.2</v>
      </c>
      <c r="H54" s="34">
        <f t="shared" si="26"/>
        <v>39.599999999999987</v>
      </c>
      <c r="I54" s="34">
        <f t="shared" si="26"/>
        <v>39.6</v>
      </c>
      <c r="J54" s="34">
        <f t="shared" si="26"/>
        <v>39.799999999999997</v>
      </c>
      <c r="K54" s="34">
        <f t="shared" si="26"/>
        <v>49.8</v>
      </c>
      <c r="L54" s="34">
        <f t="shared" si="26"/>
        <v>43.077476730006438</v>
      </c>
      <c r="M54" s="34">
        <f t="shared" si="26"/>
        <v>48.97086604381817</v>
      </c>
      <c r="N54" s="34">
        <f t="shared" si="26"/>
        <v>54.685321464491821</v>
      </c>
      <c r="O54" s="34">
        <f t="shared" si="26"/>
        <v>60.342632330958729</v>
      </c>
    </row>
    <row r="56" spans="1:15">
      <c r="B56" s="18" t="s">
        <v>242</v>
      </c>
    </row>
    <row r="57" spans="1:15">
      <c r="C57" s="18" t="s">
        <v>234</v>
      </c>
      <c r="F57" s="34">
        <f>F54</f>
        <v>19.299999999999986</v>
      </c>
      <c r="G57" s="34">
        <f t="shared" ref="G57:O57" si="27">G54</f>
        <v>19.2</v>
      </c>
      <c r="H57" s="34">
        <f t="shared" si="27"/>
        <v>39.599999999999987</v>
      </c>
      <c r="I57" s="34">
        <f t="shared" si="27"/>
        <v>39.6</v>
      </c>
      <c r="J57" s="34">
        <f t="shared" si="27"/>
        <v>39.799999999999997</v>
      </c>
      <c r="K57" s="34">
        <f t="shared" si="27"/>
        <v>49.8</v>
      </c>
      <c r="L57" s="34">
        <f t="shared" si="27"/>
        <v>43.077476730006438</v>
      </c>
      <c r="M57" s="34">
        <f t="shared" si="27"/>
        <v>48.97086604381817</v>
      </c>
      <c r="N57" s="34">
        <f t="shared" si="27"/>
        <v>54.685321464491821</v>
      </c>
      <c r="O57" s="34">
        <f t="shared" si="27"/>
        <v>60.342632330958729</v>
      </c>
    </row>
    <row r="58" spans="1:15">
      <c r="C58" s="18" t="s">
        <v>528</v>
      </c>
      <c r="F58" s="34">
        <f t="shared" ref="F58:O58" si="28">F28</f>
        <v>0</v>
      </c>
      <c r="G58" s="34">
        <f t="shared" si="28"/>
        <v>0</v>
      </c>
      <c r="H58" s="34">
        <f t="shared" si="28"/>
        <v>0</v>
      </c>
      <c r="I58" s="34">
        <f t="shared" si="28"/>
        <v>0</v>
      </c>
      <c r="J58" s="34">
        <f t="shared" si="28"/>
        <v>0</v>
      </c>
      <c r="K58" s="34">
        <f t="shared" si="28"/>
        <v>0</v>
      </c>
      <c r="L58" s="34">
        <f t="shared" si="28"/>
        <v>150</v>
      </c>
      <c r="M58" s="34">
        <f t="shared" si="28"/>
        <v>150</v>
      </c>
      <c r="N58" s="34">
        <f t="shared" si="28"/>
        <v>150</v>
      </c>
      <c r="O58" s="34">
        <f t="shared" si="28"/>
        <v>150</v>
      </c>
    </row>
    <row r="59" spans="1:15">
      <c r="C59" s="18" t="s">
        <v>527</v>
      </c>
      <c r="F59" s="34"/>
      <c r="G59" s="34">
        <f t="shared" ref="G59:O59" si="29">G38-F38</f>
        <v>90</v>
      </c>
      <c r="H59" s="34">
        <f t="shared" si="29"/>
        <v>10</v>
      </c>
      <c r="I59" s="34">
        <f t="shared" si="29"/>
        <v>51</v>
      </c>
      <c r="J59" s="34">
        <f t="shared" si="29"/>
        <v>40</v>
      </c>
      <c r="K59" s="34">
        <f t="shared" si="29"/>
        <v>44</v>
      </c>
      <c r="L59" s="34">
        <f t="shared" si="29"/>
        <v>111</v>
      </c>
      <c r="M59" s="34">
        <f t="shared" si="29"/>
        <v>114</v>
      </c>
      <c r="N59" s="34">
        <f t="shared" si="29"/>
        <v>114</v>
      </c>
      <c r="O59" s="34">
        <f t="shared" si="29"/>
        <v>114</v>
      </c>
    </row>
    <row r="60" spans="1:15">
      <c r="C60" s="18" t="s">
        <v>494</v>
      </c>
      <c r="F60" s="34"/>
      <c r="G60" s="34"/>
      <c r="H60" s="34"/>
      <c r="I60" s="34"/>
      <c r="J60" s="34"/>
      <c r="K60" s="34"/>
      <c r="L60" s="111"/>
      <c r="M60" s="112"/>
      <c r="N60" s="112"/>
      <c r="O60" s="113"/>
    </row>
    <row r="61" spans="1:15">
      <c r="C61" s="18" t="s">
        <v>457</v>
      </c>
      <c r="F61" s="34">
        <f t="shared" ref="F61:O61" si="30">F54*F33</f>
        <v>13.999999999999991</v>
      </c>
      <c r="G61" s="34">
        <f t="shared" si="30"/>
        <v>17</v>
      </c>
      <c r="H61" s="34">
        <f t="shared" si="30"/>
        <v>29.999999999999989</v>
      </c>
      <c r="I61" s="34">
        <f t="shared" si="30"/>
        <v>34</v>
      </c>
      <c r="J61" s="34">
        <f t="shared" si="30"/>
        <v>34</v>
      </c>
      <c r="K61" s="34">
        <f t="shared" si="30"/>
        <v>40</v>
      </c>
      <c r="L61" s="34">
        <f t="shared" si="30"/>
        <v>32.308107547504832</v>
      </c>
      <c r="M61" s="34">
        <f t="shared" si="30"/>
        <v>36.728149532863625</v>
      </c>
      <c r="N61" s="34">
        <f t="shared" si="30"/>
        <v>41.013991098368862</v>
      </c>
      <c r="O61" s="34">
        <f t="shared" si="30"/>
        <v>45.256974248219045</v>
      </c>
    </row>
    <row r="62" spans="1:15" ht="15" thickBot="1">
      <c r="C62" s="35" t="s">
        <v>360</v>
      </c>
      <c r="D62" s="35"/>
      <c r="E62" s="35"/>
      <c r="F62" s="36">
        <f>F57-F58+F59+F60-F61</f>
        <v>5.2999999999999954</v>
      </c>
      <c r="G62" s="36">
        <f t="shared" ref="G62:O62" si="31">G57-G58+G59+G60-G61</f>
        <v>92.2</v>
      </c>
      <c r="H62" s="36">
        <f t="shared" si="31"/>
        <v>19.599999999999998</v>
      </c>
      <c r="I62" s="36">
        <f t="shared" si="31"/>
        <v>56.599999999999994</v>
      </c>
      <c r="J62" s="36">
        <f t="shared" si="31"/>
        <v>45.8</v>
      </c>
      <c r="K62" s="36">
        <f t="shared" si="31"/>
        <v>53.8</v>
      </c>
      <c r="L62" s="36">
        <f t="shared" si="31"/>
        <v>-28.230630817498394</v>
      </c>
      <c r="M62" s="36">
        <f t="shared" si="31"/>
        <v>-23.757283489045449</v>
      </c>
      <c r="N62" s="36">
        <f t="shared" si="31"/>
        <v>-22.328669633877041</v>
      </c>
      <c r="O62" s="36">
        <f t="shared" si="31"/>
        <v>-20.914341917260309</v>
      </c>
    </row>
    <row r="63" spans="1:15">
      <c r="F63" s="34"/>
      <c r="G63" s="34"/>
      <c r="H63" s="34"/>
      <c r="I63" s="34"/>
      <c r="J63" s="34"/>
      <c r="K63" s="34"/>
      <c r="L63" s="34"/>
      <c r="M63" s="34"/>
      <c r="N63" s="34"/>
      <c r="O63" s="34"/>
    </row>
    <row r="64" spans="1:15">
      <c r="B64" s="18" t="s">
        <v>270</v>
      </c>
    </row>
    <row r="65" spans="3:18">
      <c r="C65" s="18" t="s">
        <v>466</v>
      </c>
    </row>
    <row r="66" spans="3:18">
      <c r="D66" s="18" t="s">
        <v>51</v>
      </c>
      <c r="F66" s="34">
        <f>E70</f>
        <v>0</v>
      </c>
      <c r="G66" s="34">
        <f t="shared" ref="G66:O66" si="32">F70</f>
        <v>200</v>
      </c>
      <c r="H66" s="34">
        <f t="shared" si="32"/>
        <v>220</v>
      </c>
      <c r="I66" s="34">
        <f t="shared" si="32"/>
        <v>260</v>
      </c>
      <c r="J66" s="34">
        <f t="shared" si="32"/>
        <v>264</v>
      </c>
      <c r="K66" s="34">
        <f t="shared" si="32"/>
        <v>274</v>
      </c>
      <c r="L66" s="34">
        <f t="shared" si="32"/>
        <v>280</v>
      </c>
      <c r="M66" s="34">
        <f t="shared" si="32"/>
        <v>290.76936918250158</v>
      </c>
      <c r="N66" s="34">
        <f t="shared" si="32"/>
        <v>303.01208569345613</v>
      </c>
      <c r="O66" s="34">
        <f t="shared" si="32"/>
        <v>316.68341605957909</v>
      </c>
    </row>
    <row r="67" spans="3:18">
      <c r="D67" s="18" t="s">
        <v>467</v>
      </c>
      <c r="F67" s="34">
        <f t="shared" ref="F67:O67" si="33">F54</f>
        <v>19.299999999999986</v>
      </c>
      <c r="G67" s="34">
        <f t="shared" si="33"/>
        <v>19.2</v>
      </c>
      <c r="H67" s="34">
        <f t="shared" si="33"/>
        <v>39.599999999999987</v>
      </c>
      <c r="I67" s="34">
        <f t="shared" si="33"/>
        <v>39.6</v>
      </c>
      <c r="J67" s="34">
        <f t="shared" si="33"/>
        <v>39.799999999999997</v>
      </c>
      <c r="K67" s="34">
        <f t="shared" si="33"/>
        <v>49.8</v>
      </c>
      <c r="L67" s="34">
        <f t="shared" si="33"/>
        <v>43.077476730006438</v>
      </c>
      <c r="M67" s="34">
        <f t="shared" si="33"/>
        <v>48.97086604381817</v>
      </c>
      <c r="N67" s="34">
        <f t="shared" si="33"/>
        <v>54.685321464491821</v>
      </c>
      <c r="O67" s="34">
        <f t="shared" si="33"/>
        <v>60.342632330958729</v>
      </c>
    </row>
    <row r="68" spans="3:18">
      <c r="D68" s="18" t="s">
        <v>468</v>
      </c>
      <c r="F68" s="34">
        <f t="shared" ref="F68:O68" si="34">F61</f>
        <v>13.999999999999991</v>
      </c>
      <c r="G68" s="34">
        <f t="shared" si="34"/>
        <v>17</v>
      </c>
      <c r="H68" s="34">
        <f t="shared" si="34"/>
        <v>29.999999999999989</v>
      </c>
      <c r="I68" s="34">
        <f t="shared" si="34"/>
        <v>34</v>
      </c>
      <c r="J68" s="34">
        <f t="shared" si="34"/>
        <v>34</v>
      </c>
      <c r="K68" s="34">
        <f t="shared" si="34"/>
        <v>40</v>
      </c>
      <c r="L68" s="34">
        <f t="shared" si="34"/>
        <v>32.308107547504832</v>
      </c>
      <c r="M68" s="34">
        <f t="shared" si="34"/>
        <v>36.728149532863625</v>
      </c>
      <c r="N68" s="34">
        <f t="shared" si="34"/>
        <v>41.013991098368862</v>
      </c>
      <c r="O68" s="34">
        <f t="shared" si="34"/>
        <v>45.256974248219045</v>
      </c>
    </row>
    <row r="69" spans="3:18">
      <c r="D69" s="18" t="s">
        <v>495</v>
      </c>
      <c r="F69" s="34"/>
      <c r="G69" s="34"/>
      <c r="H69" s="34"/>
      <c r="I69" s="34"/>
      <c r="J69" s="34"/>
      <c r="K69" s="34"/>
      <c r="L69" s="34">
        <f>L60</f>
        <v>0</v>
      </c>
      <c r="M69" s="34">
        <f t="shared" ref="M69:O69" si="35">M60</f>
        <v>0</v>
      </c>
      <c r="N69" s="34">
        <f t="shared" si="35"/>
        <v>0</v>
      </c>
      <c r="O69" s="34">
        <f t="shared" si="35"/>
        <v>0</v>
      </c>
    </row>
    <row r="70" spans="3:18">
      <c r="D70" s="18" t="s">
        <v>54</v>
      </c>
      <c r="F70" s="34">
        <f t="shared" ref="F70:O70" si="36">IF(F3,F13,F66+F67-F68+F69)</f>
        <v>200</v>
      </c>
      <c r="G70" s="34">
        <f t="shared" si="36"/>
        <v>220</v>
      </c>
      <c r="H70" s="34">
        <f t="shared" si="36"/>
        <v>260</v>
      </c>
      <c r="I70" s="34">
        <f t="shared" si="36"/>
        <v>264</v>
      </c>
      <c r="J70" s="34">
        <f t="shared" si="36"/>
        <v>274</v>
      </c>
      <c r="K70" s="34">
        <f t="shared" si="36"/>
        <v>280</v>
      </c>
      <c r="L70" s="34">
        <f t="shared" si="36"/>
        <v>290.76936918250158</v>
      </c>
      <c r="M70" s="34">
        <f t="shared" si="36"/>
        <v>303.01208569345613</v>
      </c>
      <c r="N70" s="34">
        <f t="shared" si="36"/>
        <v>316.68341605957909</v>
      </c>
      <c r="O70" s="34">
        <f t="shared" si="36"/>
        <v>331.7690741423188</v>
      </c>
    </row>
    <row r="72" spans="3:18">
      <c r="C72" s="18" t="s">
        <v>271</v>
      </c>
    </row>
    <row r="73" spans="3:18">
      <c r="C73" s="18" t="s">
        <v>485</v>
      </c>
      <c r="F73" s="34">
        <f t="shared" ref="F73:O73" si="37">F36</f>
        <v>900</v>
      </c>
      <c r="G73" s="34">
        <f t="shared" si="37"/>
        <v>1000</v>
      </c>
      <c r="H73" s="34">
        <f t="shared" si="37"/>
        <v>1050</v>
      </c>
      <c r="I73" s="34">
        <f t="shared" si="37"/>
        <v>1100</v>
      </c>
      <c r="J73" s="34">
        <f t="shared" si="37"/>
        <v>1150</v>
      </c>
      <c r="K73" s="34">
        <f t="shared" si="37"/>
        <v>1200</v>
      </c>
      <c r="L73" s="34">
        <f t="shared" si="37"/>
        <v>1350</v>
      </c>
      <c r="M73" s="34">
        <f t="shared" si="37"/>
        <v>1500</v>
      </c>
      <c r="N73" s="34">
        <f t="shared" si="37"/>
        <v>1650</v>
      </c>
      <c r="O73" s="34">
        <f t="shared" si="37"/>
        <v>1800</v>
      </c>
    </row>
    <row r="74" spans="3:18">
      <c r="F74" s="34"/>
      <c r="G74" s="34"/>
      <c r="H74" s="34"/>
      <c r="I74" s="34"/>
      <c r="J74" s="34"/>
      <c r="K74" s="34"/>
      <c r="L74" s="34"/>
      <c r="M74" s="34"/>
      <c r="N74" s="34"/>
      <c r="O74" s="34"/>
    </row>
    <row r="75" spans="3:18">
      <c r="C75" s="18" t="s">
        <v>9</v>
      </c>
      <c r="F75" s="34">
        <f>-F44</f>
        <v>20</v>
      </c>
      <c r="G75" s="34">
        <f t="shared" ref="G75:O75" si="38">-G44</f>
        <v>10</v>
      </c>
      <c r="H75" s="34">
        <f t="shared" si="38"/>
        <v>10</v>
      </c>
      <c r="I75" s="34">
        <f t="shared" si="38"/>
        <v>5</v>
      </c>
      <c r="J75" s="34">
        <f t="shared" si="38"/>
        <v>5</v>
      </c>
      <c r="K75" s="34">
        <f t="shared" si="38"/>
        <v>5</v>
      </c>
      <c r="L75" s="34">
        <f t="shared" si="38"/>
        <v>33.230630817498394</v>
      </c>
      <c r="M75" s="34">
        <f t="shared" si="38"/>
        <v>56.987914306543843</v>
      </c>
      <c r="N75" s="34">
        <f t="shared" si="38"/>
        <v>79.316583940420884</v>
      </c>
      <c r="O75" s="34">
        <f t="shared" si="38"/>
        <v>100.2309258576812</v>
      </c>
    </row>
    <row r="76" spans="3:18">
      <c r="C76" s="18" t="s">
        <v>486</v>
      </c>
      <c r="F76" s="34">
        <f t="shared" ref="F76:O76" si="39">F38</f>
        <v>680</v>
      </c>
      <c r="G76" s="34">
        <f t="shared" si="39"/>
        <v>770</v>
      </c>
      <c r="H76" s="34">
        <f t="shared" si="39"/>
        <v>780</v>
      </c>
      <c r="I76" s="34">
        <f t="shared" si="39"/>
        <v>831</v>
      </c>
      <c r="J76" s="34">
        <f t="shared" si="39"/>
        <v>871</v>
      </c>
      <c r="K76" s="34">
        <f t="shared" si="39"/>
        <v>915</v>
      </c>
      <c r="L76" s="34">
        <f t="shared" si="39"/>
        <v>1026</v>
      </c>
      <c r="M76" s="34">
        <f t="shared" si="39"/>
        <v>1140</v>
      </c>
      <c r="N76" s="34">
        <f t="shared" si="39"/>
        <v>1254</v>
      </c>
      <c r="O76" s="34">
        <f t="shared" si="39"/>
        <v>1368</v>
      </c>
    </row>
    <row r="77" spans="3:18">
      <c r="C77" s="18" t="s">
        <v>469</v>
      </c>
      <c r="F77" s="34">
        <f>F70</f>
        <v>200</v>
      </c>
      <c r="G77" s="34">
        <f t="shared" ref="G77:O77" si="40">G70</f>
        <v>220</v>
      </c>
      <c r="H77" s="34">
        <f t="shared" si="40"/>
        <v>260</v>
      </c>
      <c r="I77" s="34">
        <f t="shared" si="40"/>
        <v>264</v>
      </c>
      <c r="J77" s="34">
        <f t="shared" si="40"/>
        <v>274</v>
      </c>
      <c r="K77" s="34">
        <f t="shared" si="40"/>
        <v>280</v>
      </c>
      <c r="L77" s="34">
        <f t="shared" si="40"/>
        <v>290.76936918250158</v>
      </c>
      <c r="M77" s="34">
        <f t="shared" si="40"/>
        <v>303.01208569345613</v>
      </c>
      <c r="N77" s="34">
        <f t="shared" si="40"/>
        <v>316.68341605957909</v>
      </c>
      <c r="O77" s="34">
        <f t="shared" si="40"/>
        <v>331.7690741423188</v>
      </c>
    </row>
    <row r="78" spans="3:18" ht="15" thickBot="1">
      <c r="C78" s="35" t="s">
        <v>446</v>
      </c>
      <c r="D78" s="35"/>
      <c r="E78" s="35"/>
      <c r="F78" s="36">
        <f>F76+F77+F75</f>
        <v>900</v>
      </c>
      <c r="G78" s="36">
        <f t="shared" ref="G78:O78" si="41">G76+G77+G75</f>
        <v>1000</v>
      </c>
      <c r="H78" s="36">
        <f t="shared" si="41"/>
        <v>1050</v>
      </c>
      <c r="I78" s="36">
        <f t="shared" si="41"/>
        <v>1100</v>
      </c>
      <c r="J78" s="36">
        <f t="shared" si="41"/>
        <v>1150</v>
      </c>
      <c r="K78" s="36">
        <f t="shared" si="41"/>
        <v>1200</v>
      </c>
      <c r="L78" s="36">
        <f t="shared" si="41"/>
        <v>1350</v>
      </c>
      <c r="M78" s="36">
        <f t="shared" si="41"/>
        <v>1500</v>
      </c>
      <c r="N78" s="36">
        <f t="shared" si="41"/>
        <v>1650</v>
      </c>
      <c r="O78" s="36">
        <f t="shared" si="41"/>
        <v>1800</v>
      </c>
    </row>
    <row r="79" spans="3:18">
      <c r="F79" s="34"/>
      <c r="G79" s="34"/>
      <c r="H79" s="34"/>
      <c r="I79" s="34"/>
      <c r="J79" s="34"/>
      <c r="K79" s="34"/>
      <c r="L79" s="34"/>
      <c r="M79" s="34"/>
      <c r="N79" s="34"/>
      <c r="O79" s="34"/>
      <c r="R79" s="18" t="s">
        <v>735</v>
      </c>
    </row>
    <row r="80" spans="3:18">
      <c r="C80" s="18" t="s">
        <v>62</v>
      </c>
      <c r="F80" s="34">
        <f t="shared" ref="F80:O80" si="42">F73-F78</f>
        <v>0</v>
      </c>
      <c r="G80" s="34">
        <f t="shared" si="42"/>
        <v>0</v>
      </c>
      <c r="H80" s="34">
        <f t="shared" si="42"/>
        <v>0</v>
      </c>
      <c r="I80" s="34">
        <f t="shared" si="42"/>
        <v>0</v>
      </c>
      <c r="J80" s="34">
        <f t="shared" si="42"/>
        <v>0</v>
      </c>
      <c r="K80" s="34">
        <f t="shared" si="42"/>
        <v>0</v>
      </c>
      <c r="L80" s="34">
        <f t="shared" si="42"/>
        <v>0</v>
      </c>
      <c r="M80" s="34">
        <f t="shared" si="42"/>
        <v>0</v>
      </c>
      <c r="N80" s="34">
        <f t="shared" si="42"/>
        <v>0</v>
      </c>
      <c r="O80" s="34">
        <f t="shared" si="42"/>
        <v>0</v>
      </c>
      <c r="R80" s="18" t="s">
        <v>736</v>
      </c>
    </row>
    <row r="81" spans="3:18">
      <c r="C81" s="18" t="s">
        <v>529</v>
      </c>
      <c r="E81" s="18" t="b">
        <f>AND(F81:O81)</f>
        <v>1</v>
      </c>
      <c r="F81" s="18" t="b">
        <f>F80=0</f>
        <v>1</v>
      </c>
      <c r="G81" s="18" t="b">
        <f t="shared" ref="G81:O81" si="43">G80=0</f>
        <v>1</v>
      </c>
      <c r="H81" s="18" t="b">
        <f t="shared" si="43"/>
        <v>1</v>
      </c>
      <c r="I81" s="18" t="b">
        <f t="shared" si="43"/>
        <v>1</v>
      </c>
      <c r="J81" s="18" t="b">
        <f t="shared" si="43"/>
        <v>1</v>
      </c>
      <c r="K81" s="18" t="b">
        <f t="shared" si="43"/>
        <v>1</v>
      </c>
      <c r="L81" s="18" t="b">
        <f t="shared" si="43"/>
        <v>1</v>
      </c>
      <c r="M81" s="18" t="b">
        <f t="shared" si="43"/>
        <v>1</v>
      </c>
      <c r="N81" s="18" t="b">
        <f t="shared" si="43"/>
        <v>1</v>
      </c>
      <c r="O81" s="18" t="b">
        <f t="shared" si="43"/>
        <v>1</v>
      </c>
      <c r="R81" s="18" t="s">
        <v>737</v>
      </c>
    </row>
    <row r="82" spans="3:18">
      <c r="R82" s="18" t="s">
        <v>738</v>
      </c>
    </row>
    <row r="83" spans="3:18">
      <c r="C83" s="18" t="s">
        <v>492</v>
      </c>
      <c r="F83" s="20">
        <f>F77/F73</f>
        <v>0.22222222222222221</v>
      </c>
      <c r="G83" s="20">
        <f t="shared" ref="G83:O83" si="44">G77/G73</f>
        <v>0.22</v>
      </c>
      <c r="H83" s="20">
        <f t="shared" si="44"/>
        <v>0.24761904761904763</v>
      </c>
      <c r="I83" s="20">
        <f t="shared" si="44"/>
        <v>0.24</v>
      </c>
      <c r="J83" s="20">
        <f t="shared" si="44"/>
        <v>0.23826086956521739</v>
      </c>
      <c r="K83" s="20">
        <f t="shared" si="44"/>
        <v>0.23333333333333334</v>
      </c>
      <c r="L83" s="20">
        <f t="shared" si="44"/>
        <v>0.21538471791296412</v>
      </c>
      <c r="M83" s="20">
        <f>M77/M73</f>
        <v>0.20200805712897074</v>
      </c>
      <c r="N83" s="20">
        <f t="shared" si="44"/>
        <v>0.19192934306641157</v>
      </c>
      <c r="O83" s="20">
        <f t="shared" si="44"/>
        <v>0.18431615230128823</v>
      </c>
    </row>
    <row r="84" spans="3:18">
      <c r="C84" s="18" t="s">
        <v>493</v>
      </c>
      <c r="F84" s="20">
        <f>F32</f>
        <v>0.21739130434782608</v>
      </c>
      <c r="G84" s="20">
        <f t="shared" ref="G84:O84" si="45">G32</f>
        <v>0.21153846153846154</v>
      </c>
      <c r="H84" s="20">
        <f t="shared" si="45"/>
        <v>0.24074074074074073</v>
      </c>
      <c r="I84" s="20">
        <f t="shared" si="45"/>
        <v>0.23157894736842105</v>
      </c>
      <c r="J84" s="20">
        <f t="shared" si="45"/>
        <v>0.23025210084033612</v>
      </c>
      <c r="K84" s="20">
        <f t="shared" si="45"/>
        <v>0.22580645161290322</v>
      </c>
      <c r="L84" s="20">
        <f t="shared" si="45"/>
        <v>0.22</v>
      </c>
      <c r="M84" s="20">
        <f t="shared" si="45"/>
        <v>0.22</v>
      </c>
      <c r="N84" s="20">
        <f t="shared" si="45"/>
        <v>0.22</v>
      </c>
      <c r="O84" s="20">
        <f t="shared" si="45"/>
        <v>0.22</v>
      </c>
    </row>
    <row r="85" spans="3:18">
      <c r="L85" s="20">
        <f>L83-L84</f>
        <v>-4.6152820870358768E-3</v>
      </c>
      <c r="M85" s="20">
        <f t="shared" ref="M85:O85" si="46">M83-M84</f>
        <v>-1.7991942871029259E-2</v>
      </c>
      <c r="N85" s="20">
        <f t="shared" si="46"/>
        <v>-2.8070656933588428E-2</v>
      </c>
      <c r="O85" s="20">
        <f t="shared" si="46"/>
        <v>-3.5683847698711774E-2</v>
      </c>
    </row>
    <row r="87" spans="3:18">
      <c r="C87" s="18" t="s">
        <v>458</v>
      </c>
      <c r="F87" s="34">
        <f>F68-F69</f>
        <v>13.999999999999991</v>
      </c>
      <c r="G87" s="34">
        <f t="shared" ref="G87:O87" si="47">G68-G69</f>
        <v>17</v>
      </c>
      <c r="H87" s="34">
        <f t="shared" si="47"/>
        <v>29.999999999999989</v>
      </c>
      <c r="I87" s="34">
        <f t="shared" si="47"/>
        <v>34</v>
      </c>
      <c r="J87" s="34">
        <f t="shared" si="47"/>
        <v>34</v>
      </c>
      <c r="K87" s="34">
        <f t="shared" si="47"/>
        <v>40</v>
      </c>
      <c r="L87" s="34">
        <f t="shared" si="47"/>
        <v>32.308107547504832</v>
      </c>
      <c r="M87" s="34">
        <f t="shared" si="47"/>
        <v>36.728149532863625</v>
      </c>
      <c r="N87" s="34">
        <f t="shared" si="47"/>
        <v>41.013991098368862</v>
      </c>
      <c r="O87" s="34">
        <f t="shared" si="47"/>
        <v>45.256974248219045</v>
      </c>
    </row>
    <row r="89" spans="3:18">
      <c r="C89" s="18" t="s">
        <v>739</v>
      </c>
      <c r="L89" s="39"/>
      <c r="M89" s="39"/>
      <c r="N89" s="39"/>
      <c r="O89" s="39"/>
    </row>
    <row r="91" spans="3:18">
      <c r="C91" s="18" t="s">
        <v>772</v>
      </c>
      <c r="E91" s="62"/>
    </row>
    <row r="92" spans="3:18">
      <c r="C92" s="18" t="s">
        <v>394</v>
      </c>
      <c r="E92" s="62"/>
    </row>
    <row r="93" spans="3:18">
      <c r="C93" s="18" t="s">
        <v>700</v>
      </c>
      <c r="E93" s="62"/>
    </row>
  </sheetData>
  <conditionalFormatting sqref="F1:O6 L7:O7 F8:O40 F90:O1048576 F48:O87">
    <cfRule type="expression" dxfId="65" priority="28">
      <formula>F$3=TRUE</formula>
    </cfRule>
  </conditionalFormatting>
  <conditionalFormatting sqref="A1:A2 A4:A5 B1:XFD6 A8:A15 B7:E7 L7:XFD7 C18:XFD22 A38:XFD40 C8:XFD14 A17:A37 B23:XFD37 A66:B70 A90:XFD1048576 A71:XFD87 A48:XFD65 D66:XFD70 B15:XFD17">
    <cfRule type="cellIs" priority="26" stopIfTrue="1" operator="equal">
      <formula>TRUE</formula>
    </cfRule>
    <cfRule type="cellIs" priority="27" stopIfTrue="1" operator="equal">
      <formula>TRUE</formula>
    </cfRule>
  </conditionalFormatting>
  <conditionalFormatting sqref="A1:XFD5 B6:XFD6 A8:A14 B16:XFD16 A17:XFD17 B7:E7 L7:XFD7 A18:A22 C18:XFD22 C8:XFD14 A23:XFD40 A66:B70 A90:XFD1048576 A71:XFD87 A48:XFD65 D66:XFD70 A15:XFD15">
    <cfRule type="containsText" dxfId="64" priority="20" operator="containsText" text="FALSE">
      <formula>NOT(ISERROR(SEARCH("FALSE",A1)))</formula>
    </cfRule>
    <cfRule type="cellIs" dxfId="63" priority="21" operator="equal">
      <formula>TRUE</formula>
    </cfRule>
    <cfRule type="containsText" dxfId="62" priority="22" operator="containsText" text="FALSE">
      <formula>NOT(ISERROR(SEARCH("FALSE",A1)))</formula>
    </cfRule>
    <cfRule type="cellIs" dxfId="61" priority="23" operator="equal">
      <formula>TRUE</formula>
    </cfRule>
    <cfRule type="cellIs" priority="24" stopIfTrue="1" operator="equal">
      <formula>TRUE</formula>
    </cfRule>
    <cfRule type="cellIs" priority="25" stopIfTrue="1" operator="equal">
      <formula>TRUE</formula>
    </cfRule>
  </conditionalFormatting>
  <conditionalFormatting sqref="F7:K7">
    <cfRule type="expression" dxfId="60" priority="14">
      <formula>F$3=TRUE</formula>
    </cfRule>
  </conditionalFormatting>
  <conditionalFormatting sqref="F7:K7">
    <cfRule type="cellIs" priority="12" stopIfTrue="1" operator="equal">
      <formula>TRUE</formula>
    </cfRule>
    <cfRule type="cellIs" priority="13" stopIfTrue="1" operator="equal">
      <formula>TRUE</formula>
    </cfRule>
  </conditionalFormatting>
  <conditionalFormatting sqref="F7:K7">
    <cfRule type="containsText" dxfId="59" priority="6" operator="containsText" text="FALSE">
      <formula>NOT(ISERROR(SEARCH("FALSE",F7)))</formula>
    </cfRule>
    <cfRule type="cellIs" dxfId="58" priority="7" operator="equal">
      <formula>TRUE</formula>
    </cfRule>
    <cfRule type="containsText" dxfId="57" priority="8" operator="containsText" text="FALSE">
      <formula>NOT(ISERROR(SEARCH("FALSE",F7)))</formula>
    </cfRule>
    <cfRule type="cellIs" dxfId="56" priority="9" operator="equal">
      <formula>TRUE</formula>
    </cfRule>
    <cfRule type="cellIs" priority="10" stopIfTrue="1" operator="equal">
      <formula>TRUE</formula>
    </cfRule>
    <cfRule type="cellIs" priority="11" stopIfTrue="1" operator="equal">
      <formula>TRUE</formula>
    </cfRule>
  </conditionalFormatting>
  <conditionalFormatting sqref="F41:O47">
    <cfRule type="expression" dxfId="55" priority="5">
      <formula>F$3=TRUE</formula>
    </cfRule>
  </conditionalFormatting>
  <conditionalFormatting sqref="A41:XFD47">
    <cfRule type="cellIs" priority="3" stopIfTrue="1" operator="equal">
      <formula>TRUE</formula>
    </cfRule>
    <cfRule type="cellIs" priority="4" stopIfTrue="1" operator="equal">
      <formula>TRUE</formula>
    </cfRule>
  </conditionalFormatting>
  <conditionalFormatting sqref="A41:XFD47">
    <cfRule type="cellIs" dxfId="54" priority="1" stopIfTrue="1" operator="equal">
      <formula>TRUE</formula>
    </cfRule>
    <cfRule type="cellIs" priority="2" stopIfTrue="1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1" r:id="rId4" name="Spinner 3">
              <controlPr defaultSize="0" autoPict="0">
                <anchor moveWithCells="1" sizeWithCells="1">
                  <from>
                    <xdr:col>4</xdr:col>
                    <xdr:colOff>82550</xdr:colOff>
                    <xdr:row>27</xdr:row>
                    <xdr:rowOff>0</xdr:rowOff>
                  </from>
                  <to>
                    <xdr:col>4</xdr:col>
                    <xdr:colOff>292100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Check Box 4">
              <controlPr defaultSize="0" autoFill="0" autoLine="0" autoPict="0" macro="[0]!CheckBox2_Click">
                <anchor moveWithCells="1">
                  <from>
                    <xdr:col>3</xdr:col>
                    <xdr:colOff>450850</xdr:colOff>
                    <xdr:row>0</xdr:row>
                    <xdr:rowOff>88900</xdr:rowOff>
                  </from>
                  <to>
                    <xdr:col>4</xdr:col>
                    <xdr:colOff>6350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E81C6-AA47-4EC8-BFC1-CE5D0AFCD344}">
  <sheetPr codeName="Sheet22"/>
  <dimension ref="A1:P91"/>
  <sheetViews>
    <sheetView showGridLines="0" zoomScale="80" zoomScaleNormal="80" workbookViewId="0">
      <selection activeCell="H1" sqref="H1"/>
    </sheetView>
  </sheetViews>
  <sheetFormatPr defaultRowHeight="14.5"/>
  <cols>
    <col min="1" max="3" width="1.54296875" style="18" customWidth="1"/>
    <col min="4" max="4" width="26.7265625" style="18" customWidth="1"/>
    <col min="5" max="5" width="11.08984375" style="18" customWidth="1"/>
    <col min="6" max="11" width="9.26953125" style="18" customWidth="1"/>
    <col min="12" max="16384" width="8.7265625" style="18"/>
  </cols>
  <sheetData>
    <row r="1" spans="1:16">
      <c r="F1" s="34"/>
      <c r="G1" s="34"/>
      <c r="H1" s="34"/>
      <c r="I1" s="34"/>
      <c r="J1" s="34"/>
    </row>
    <row r="2" spans="1:16">
      <c r="A2" s="18" t="s">
        <v>621</v>
      </c>
    </row>
    <row r="3" spans="1:16">
      <c r="B3" s="18" t="s">
        <v>512</v>
      </c>
      <c r="F3" s="29">
        <v>0.05</v>
      </c>
    </row>
    <row r="4" spans="1:16">
      <c r="B4" s="18" t="s">
        <v>622</v>
      </c>
      <c r="F4" s="84">
        <v>0</v>
      </c>
      <c r="G4" s="84">
        <v>9</v>
      </c>
      <c r="H4" s="44">
        <f>G4+1</f>
        <v>10</v>
      </c>
    </row>
    <row r="5" spans="1:16">
      <c r="B5" s="18" t="s">
        <v>623</v>
      </c>
      <c r="F5" s="28">
        <v>0</v>
      </c>
      <c r="G5" s="37">
        <v>5000</v>
      </c>
      <c r="H5" s="28">
        <v>0</v>
      </c>
    </row>
    <row r="6" spans="1:16">
      <c r="G6" s="34"/>
    </row>
    <row r="7" spans="1:16">
      <c r="B7" s="18" t="s">
        <v>339</v>
      </c>
      <c r="F7" s="20">
        <f>F3</f>
        <v>0.05</v>
      </c>
      <c r="G7" s="34"/>
      <c r="M7" s="34">
        <f>F20</f>
        <v>0</v>
      </c>
    </row>
    <row r="8" spans="1:16">
      <c r="B8" s="18" t="s">
        <v>604</v>
      </c>
      <c r="F8" s="114"/>
      <c r="G8" s="34"/>
      <c r="M8" s="34">
        <f>F18</f>
        <v>3223.0445810889855</v>
      </c>
      <c r="N8" s="34">
        <f>M7-M8</f>
        <v>-3223.0445810889855</v>
      </c>
    </row>
    <row r="9" spans="1:16">
      <c r="G9" s="34"/>
    </row>
    <row r="10" spans="1:16">
      <c r="A10" s="18" t="s">
        <v>624</v>
      </c>
      <c r="G10" s="34"/>
    </row>
    <row r="11" spans="1:16">
      <c r="F11" s="28">
        <v>0</v>
      </c>
      <c r="G11" s="28">
        <v>1</v>
      </c>
      <c r="H11" s="28">
        <v>2</v>
      </c>
      <c r="I11" s="28">
        <v>3</v>
      </c>
      <c r="J11" s="28">
        <v>4</v>
      </c>
      <c r="K11" s="28">
        <v>5</v>
      </c>
      <c r="L11" s="28">
        <v>6</v>
      </c>
      <c r="M11" s="28">
        <v>7</v>
      </c>
      <c r="N11" s="28">
        <v>8</v>
      </c>
      <c r="O11" s="28">
        <v>9</v>
      </c>
      <c r="P11" s="28">
        <v>10</v>
      </c>
    </row>
    <row r="12" spans="1:16">
      <c r="B12" s="18" t="s">
        <v>625</v>
      </c>
      <c r="E12" s="18">
        <f>G4</f>
        <v>9</v>
      </c>
      <c r="F12" s="18" t="b">
        <f>F11&lt;=$E$12</f>
        <v>1</v>
      </c>
      <c r="G12" s="18" t="b">
        <f t="shared" ref="G12:N12" si="0">G11&lt;=$E$12</f>
        <v>1</v>
      </c>
      <c r="H12" s="18" t="b">
        <f t="shared" si="0"/>
        <v>1</v>
      </c>
      <c r="I12" s="18" t="b">
        <f t="shared" si="0"/>
        <v>1</v>
      </c>
      <c r="J12" s="18" t="b">
        <f t="shared" si="0"/>
        <v>1</v>
      </c>
      <c r="K12" s="18" t="b">
        <f t="shared" si="0"/>
        <v>1</v>
      </c>
      <c r="L12" s="18" t="b">
        <f t="shared" si="0"/>
        <v>1</v>
      </c>
      <c r="M12" s="18" t="b">
        <f t="shared" si="0"/>
        <v>1</v>
      </c>
      <c r="N12" s="18" t="b">
        <f t="shared" si="0"/>
        <v>1</v>
      </c>
      <c r="O12" s="18" t="b">
        <f>O11&lt;=$E$12</f>
        <v>1</v>
      </c>
      <c r="P12" s="18" t="b">
        <f>P11&lt;=$E$12</f>
        <v>0</v>
      </c>
    </row>
    <row r="13" spans="1:16">
      <c r="B13" s="18" t="s">
        <v>626</v>
      </c>
      <c r="E13" s="18">
        <f>G4</f>
        <v>9</v>
      </c>
      <c r="F13" s="18" t="b">
        <f>F11=$E$13</f>
        <v>0</v>
      </c>
      <c r="G13" s="18" t="b">
        <f t="shared" ref="G13:N13" si="1">G11=$E$13</f>
        <v>0</v>
      </c>
      <c r="H13" s="18" t="b">
        <f t="shared" si="1"/>
        <v>0</v>
      </c>
      <c r="I13" s="18" t="b">
        <f t="shared" si="1"/>
        <v>0</v>
      </c>
      <c r="J13" s="18" t="b">
        <f t="shared" si="1"/>
        <v>0</v>
      </c>
      <c r="K13" s="18" t="b">
        <f t="shared" si="1"/>
        <v>0</v>
      </c>
      <c r="L13" s="18" t="b">
        <f t="shared" si="1"/>
        <v>0</v>
      </c>
      <c r="M13" s="18" t="b">
        <f t="shared" si="1"/>
        <v>0</v>
      </c>
      <c r="N13" s="18" t="b">
        <f t="shared" si="1"/>
        <v>0</v>
      </c>
      <c r="O13" s="18" t="b">
        <f>O11=$E$13</f>
        <v>1</v>
      </c>
      <c r="P13" s="18" t="b">
        <f>P11=$E$13</f>
        <v>0</v>
      </c>
    </row>
    <row r="14" spans="1:16">
      <c r="B14" s="18" t="s">
        <v>627</v>
      </c>
      <c r="F14" s="34">
        <f t="shared" ref="F14:N14" si="2">LOOKUP(F11,4:4,5:5)</f>
        <v>0</v>
      </c>
      <c r="G14" s="34">
        <f t="shared" si="2"/>
        <v>0</v>
      </c>
      <c r="H14" s="34">
        <f t="shared" si="2"/>
        <v>0</v>
      </c>
      <c r="I14" s="34">
        <f t="shared" si="2"/>
        <v>0</v>
      </c>
      <c r="J14" s="34">
        <f t="shared" si="2"/>
        <v>0</v>
      </c>
      <c r="K14" s="34">
        <f t="shared" si="2"/>
        <v>0</v>
      </c>
      <c r="L14" s="34">
        <f t="shared" si="2"/>
        <v>0</v>
      </c>
      <c r="M14" s="34">
        <f t="shared" si="2"/>
        <v>0</v>
      </c>
      <c r="N14" s="34">
        <f t="shared" si="2"/>
        <v>0</v>
      </c>
      <c r="O14" s="34">
        <f>LOOKUP(O11,4:4,5:5)</f>
        <v>5000</v>
      </c>
      <c r="P14" s="34">
        <f>LOOKUP(P11,4:4,5:5)</f>
        <v>0</v>
      </c>
    </row>
    <row r="15" spans="1:16">
      <c r="B15" s="18" t="s">
        <v>628</v>
      </c>
      <c r="E15" s="20">
        <f>F7</f>
        <v>0.05</v>
      </c>
      <c r="F15" s="37">
        <v>1</v>
      </c>
      <c r="G15" s="34">
        <f>F15*(1+$E$15)</f>
        <v>1.05</v>
      </c>
      <c r="H15" s="34">
        <f t="shared" ref="H15:P15" si="3">G15*(1+$E$15)</f>
        <v>1.1025</v>
      </c>
      <c r="I15" s="34">
        <f t="shared" si="3"/>
        <v>1.1576250000000001</v>
      </c>
      <c r="J15" s="34">
        <f t="shared" si="3"/>
        <v>1.2155062500000002</v>
      </c>
      <c r="K15" s="34">
        <f t="shared" si="3"/>
        <v>1.2762815625000004</v>
      </c>
      <c r="L15" s="34">
        <f t="shared" si="3"/>
        <v>1.3400956406250004</v>
      </c>
      <c r="M15" s="34">
        <f t="shared" si="3"/>
        <v>1.4071004226562505</v>
      </c>
      <c r="N15" s="34">
        <f t="shared" si="3"/>
        <v>1.477455443789063</v>
      </c>
      <c r="O15" s="34">
        <f t="shared" si="3"/>
        <v>1.5513282159785162</v>
      </c>
      <c r="P15" s="34">
        <f t="shared" si="3"/>
        <v>1.628894626777442</v>
      </c>
    </row>
    <row r="16" spans="1:16">
      <c r="B16" s="18" t="s">
        <v>629</v>
      </c>
      <c r="E16" s="20">
        <f>E15</f>
        <v>0.05</v>
      </c>
      <c r="F16" s="37">
        <v>1</v>
      </c>
      <c r="G16" s="34">
        <f>F16*(1+$E$16)</f>
        <v>1.05</v>
      </c>
      <c r="H16" s="34">
        <f t="shared" ref="H16:P16" si="4">G16*(1+$E$16)</f>
        <v>1.1025</v>
      </c>
      <c r="I16" s="34">
        <f t="shared" si="4"/>
        <v>1.1576250000000001</v>
      </c>
      <c r="J16" s="34">
        <f t="shared" si="4"/>
        <v>1.2155062500000002</v>
      </c>
      <c r="K16" s="34">
        <f t="shared" si="4"/>
        <v>1.2762815625000004</v>
      </c>
      <c r="L16" s="34">
        <f t="shared" si="4"/>
        <v>1.3400956406250004</v>
      </c>
      <c r="M16" s="34">
        <f t="shared" si="4"/>
        <v>1.4071004226562505</v>
      </c>
      <c r="N16" s="34">
        <f t="shared" si="4"/>
        <v>1.477455443789063</v>
      </c>
      <c r="O16" s="34">
        <f t="shared" si="4"/>
        <v>1.5513282159785162</v>
      </c>
      <c r="P16" s="34">
        <f t="shared" si="4"/>
        <v>1.628894626777442</v>
      </c>
    </row>
    <row r="18" spans="2:16">
      <c r="B18" s="18" t="s">
        <v>630</v>
      </c>
      <c r="F18" s="34">
        <f>SUMPRODUCT(F14:P14/F15:P15)</f>
        <v>3223.0445810889855</v>
      </c>
    </row>
    <row r="19" spans="2:16">
      <c r="B19" s="18" t="s">
        <v>604</v>
      </c>
      <c r="F19" s="34"/>
      <c r="G19" s="34">
        <f>$F$8*G12</f>
        <v>0</v>
      </c>
      <c r="H19" s="34">
        <f t="shared" ref="H19:P19" si="5">$F$8*H12</f>
        <v>0</v>
      </c>
      <c r="I19" s="34">
        <f t="shared" si="5"/>
        <v>0</v>
      </c>
      <c r="J19" s="34">
        <f t="shared" si="5"/>
        <v>0</v>
      </c>
      <c r="K19" s="34">
        <f t="shared" si="5"/>
        <v>0</v>
      </c>
      <c r="L19" s="34">
        <f t="shared" si="5"/>
        <v>0</v>
      </c>
      <c r="M19" s="34">
        <f t="shared" si="5"/>
        <v>0</v>
      </c>
      <c r="N19" s="34">
        <f t="shared" si="5"/>
        <v>0</v>
      </c>
      <c r="O19" s="34">
        <f t="shared" si="5"/>
        <v>0</v>
      </c>
      <c r="P19" s="34">
        <f t="shared" si="5"/>
        <v>0</v>
      </c>
    </row>
    <row r="20" spans="2:16">
      <c r="B20" s="18" t="s">
        <v>631</v>
      </c>
      <c r="F20" s="34">
        <f>SUMPRODUCT(G19:P19/G15:P15)</f>
        <v>0</v>
      </c>
      <c r="G20" s="34"/>
      <c r="H20" s="34"/>
      <c r="I20" s="34"/>
      <c r="J20" s="34"/>
      <c r="K20" s="34"/>
      <c r="L20" s="34"/>
      <c r="M20" s="34"/>
      <c r="N20" s="34"/>
      <c r="O20" s="34"/>
      <c r="P20" s="34"/>
    </row>
    <row r="22" spans="2:16">
      <c r="B22" s="18" t="s">
        <v>242</v>
      </c>
    </row>
    <row r="23" spans="2:16">
      <c r="C23" s="18" t="s">
        <v>632</v>
      </c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2:16">
      <c r="C24" s="18" t="s">
        <v>633</v>
      </c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2:16">
      <c r="C25" s="18" t="s">
        <v>634</v>
      </c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2:16">
      <c r="C26" s="18" t="s">
        <v>635</v>
      </c>
      <c r="F26" s="20" t="e">
        <f>IRR(25:25)</f>
        <v>#NUM!</v>
      </c>
    </row>
    <row r="28" spans="2:16">
      <c r="B28" s="18" t="s">
        <v>636</v>
      </c>
      <c r="F28" s="34">
        <f>F18</f>
        <v>3223.0445810889855</v>
      </c>
      <c r="G28" s="34">
        <f t="shared" ref="G28:P28" si="6">F28*(1+$F$3)*G12</f>
        <v>3384.196810143435</v>
      </c>
      <c r="H28" s="34">
        <f t="shared" si="6"/>
        <v>3553.4066506506069</v>
      </c>
      <c r="I28" s="34">
        <f t="shared" si="6"/>
        <v>3731.0769831831376</v>
      </c>
      <c r="J28" s="34">
        <f t="shared" si="6"/>
        <v>3917.6308323422945</v>
      </c>
      <c r="K28" s="34">
        <f t="shared" si="6"/>
        <v>4113.5123739594092</v>
      </c>
      <c r="L28" s="34">
        <f t="shared" si="6"/>
        <v>4319.1879926573802</v>
      </c>
      <c r="M28" s="34">
        <f t="shared" si="6"/>
        <v>4535.1473922902496</v>
      </c>
      <c r="N28" s="34">
        <f t="shared" si="6"/>
        <v>4761.9047619047624</v>
      </c>
      <c r="O28" s="34">
        <f t="shared" si="6"/>
        <v>5000.0000000000009</v>
      </c>
      <c r="P28" s="34">
        <f t="shared" si="6"/>
        <v>0</v>
      </c>
    </row>
    <row r="30" spans="2:16">
      <c r="B30" s="18" t="s">
        <v>637</v>
      </c>
    </row>
    <row r="31" spans="2:16">
      <c r="C31" s="18" t="s">
        <v>51</v>
      </c>
      <c r="G31" s="34">
        <f>F34</f>
        <v>3223.0445810889855</v>
      </c>
      <c r="H31" s="34">
        <f t="shared" ref="H31:P31" si="7">G34</f>
        <v>3384.196810143435</v>
      </c>
      <c r="I31" s="34">
        <f t="shared" si="7"/>
        <v>3553.4066506506069</v>
      </c>
      <c r="J31" s="34">
        <f t="shared" si="7"/>
        <v>3731.0769831831376</v>
      </c>
      <c r="K31" s="34">
        <f t="shared" si="7"/>
        <v>3917.6308323422945</v>
      </c>
      <c r="L31" s="34">
        <f t="shared" si="7"/>
        <v>4113.5123739594092</v>
      </c>
      <c r="M31" s="34">
        <f t="shared" si="7"/>
        <v>4319.1879926573802</v>
      </c>
      <c r="N31" s="34">
        <f t="shared" si="7"/>
        <v>4535.1473922902496</v>
      </c>
      <c r="O31" s="34">
        <f t="shared" si="7"/>
        <v>4761.9047619047624</v>
      </c>
      <c r="P31" s="34">
        <f t="shared" si="7"/>
        <v>0</v>
      </c>
    </row>
    <row r="32" spans="2:16">
      <c r="C32" s="18" t="s">
        <v>638</v>
      </c>
      <c r="E32" s="20">
        <f>F7</f>
        <v>0.05</v>
      </c>
      <c r="G32" s="34">
        <f t="shared" ref="G32:P32" si="8">(G28-F28)*G12</f>
        <v>161.15222905444944</v>
      </c>
      <c r="H32" s="34">
        <f t="shared" si="8"/>
        <v>169.20984050717198</v>
      </c>
      <c r="I32" s="34">
        <f t="shared" si="8"/>
        <v>177.67033253253067</v>
      </c>
      <c r="J32" s="34">
        <f t="shared" si="8"/>
        <v>186.55384915915693</v>
      </c>
      <c r="K32" s="34">
        <f t="shared" si="8"/>
        <v>195.88154161711464</v>
      </c>
      <c r="L32" s="34">
        <f t="shared" si="8"/>
        <v>205.675618697971</v>
      </c>
      <c r="M32" s="34">
        <f t="shared" si="8"/>
        <v>215.95939963286946</v>
      </c>
      <c r="N32" s="34">
        <f t="shared" si="8"/>
        <v>226.75736961451275</v>
      </c>
      <c r="O32" s="34">
        <f t="shared" si="8"/>
        <v>238.09523809523853</v>
      </c>
      <c r="P32" s="34">
        <f t="shared" si="8"/>
        <v>0</v>
      </c>
    </row>
    <row r="33" spans="2:16">
      <c r="C33" s="18" t="s">
        <v>639</v>
      </c>
      <c r="G33" s="34">
        <f t="shared" ref="G33:P33" si="9">G14</f>
        <v>0</v>
      </c>
      <c r="H33" s="34">
        <f t="shared" si="9"/>
        <v>0</v>
      </c>
      <c r="I33" s="34">
        <f t="shared" si="9"/>
        <v>0</v>
      </c>
      <c r="J33" s="34">
        <f t="shared" si="9"/>
        <v>0</v>
      </c>
      <c r="K33" s="34">
        <f t="shared" si="9"/>
        <v>0</v>
      </c>
      <c r="L33" s="34">
        <f t="shared" si="9"/>
        <v>0</v>
      </c>
      <c r="M33" s="34">
        <f t="shared" si="9"/>
        <v>0</v>
      </c>
      <c r="N33" s="34">
        <f t="shared" si="9"/>
        <v>0</v>
      </c>
      <c r="O33" s="34">
        <f t="shared" si="9"/>
        <v>5000</v>
      </c>
      <c r="P33" s="34">
        <f t="shared" si="9"/>
        <v>0</v>
      </c>
    </row>
    <row r="34" spans="2:16" ht="15" thickBot="1">
      <c r="C34" s="35" t="s">
        <v>54</v>
      </c>
      <c r="D34" s="35"/>
      <c r="E34" s="35"/>
      <c r="F34" s="36">
        <f>F18</f>
        <v>3223.0445810889855</v>
      </c>
      <c r="G34" s="36">
        <f>G31+G32-G33</f>
        <v>3384.196810143435</v>
      </c>
      <c r="H34" s="36">
        <f t="shared" ref="H34:P34" si="10">H31+H32-H33</f>
        <v>3553.4066506506069</v>
      </c>
      <c r="I34" s="36">
        <f t="shared" si="10"/>
        <v>3731.0769831831376</v>
      </c>
      <c r="J34" s="36">
        <f t="shared" si="10"/>
        <v>3917.6308323422945</v>
      </c>
      <c r="K34" s="36">
        <f t="shared" si="10"/>
        <v>4113.5123739594092</v>
      </c>
      <c r="L34" s="36">
        <f t="shared" si="10"/>
        <v>4319.1879926573802</v>
      </c>
      <c r="M34" s="36">
        <f t="shared" si="10"/>
        <v>4535.1473922902496</v>
      </c>
      <c r="N34" s="36">
        <f t="shared" si="10"/>
        <v>4761.9047619047624</v>
      </c>
      <c r="O34" s="36">
        <f t="shared" si="10"/>
        <v>0</v>
      </c>
      <c r="P34" s="36">
        <f t="shared" si="10"/>
        <v>0</v>
      </c>
    </row>
    <row r="36" spans="2:16">
      <c r="B36" s="18" t="s">
        <v>640</v>
      </c>
    </row>
    <row r="37" spans="2:16">
      <c r="C37" s="18" t="s">
        <v>51</v>
      </c>
      <c r="G37" s="34">
        <f>F40</f>
        <v>3223.0445810889855</v>
      </c>
      <c r="H37" s="34">
        <f t="shared" ref="H37:P37" si="11">G40</f>
        <v>3384.196810143435</v>
      </c>
      <c r="I37" s="34">
        <f t="shared" si="11"/>
        <v>3553.4066506506069</v>
      </c>
      <c r="J37" s="34">
        <f t="shared" si="11"/>
        <v>3731.0769831831371</v>
      </c>
      <c r="K37" s="34">
        <f t="shared" si="11"/>
        <v>3917.6308323422941</v>
      </c>
      <c r="L37" s="34">
        <f t="shared" si="11"/>
        <v>4113.5123739594092</v>
      </c>
      <c r="M37" s="34">
        <f t="shared" si="11"/>
        <v>4319.1879926573793</v>
      </c>
      <c r="N37" s="34">
        <f t="shared" si="11"/>
        <v>4535.1473922902478</v>
      </c>
      <c r="O37" s="34">
        <f t="shared" si="11"/>
        <v>4761.9047619047606</v>
      </c>
      <c r="P37" s="34">
        <f t="shared" si="11"/>
        <v>4999.9999999999982</v>
      </c>
    </row>
    <row r="38" spans="2:16">
      <c r="C38" s="18" t="s">
        <v>641</v>
      </c>
      <c r="G38" s="34">
        <f t="shared" ref="G38:P38" si="12">G19</f>
        <v>0</v>
      </c>
      <c r="H38" s="34">
        <f t="shared" si="12"/>
        <v>0</v>
      </c>
      <c r="I38" s="34">
        <f t="shared" si="12"/>
        <v>0</v>
      </c>
      <c r="J38" s="34">
        <f t="shared" si="12"/>
        <v>0</v>
      </c>
      <c r="K38" s="34">
        <f t="shared" si="12"/>
        <v>0</v>
      </c>
      <c r="L38" s="34">
        <f t="shared" si="12"/>
        <v>0</v>
      </c>
      <c r="M38" s="34">
        <f t="shared" si="12"/>
        <v>0</v>
      </c>
      <c r="N38" s="34">
        <f t="shared" si="12"/>
        <v>0</v>
      </c>
      <c r="O38" s="34">
        <f t="shared" si="12"/>
        <v>0</v>
      </c>
      <c r="P38" s="34">
        <f t="shared" si="12"/>
        <v>0</v>
      </c>
    </row>
    <row r="39" spans="2:16">
      <c r="C39" s="18" t="s">
        <v>642</v>
      </c>
      <c r="G39" s="34">
        <f>G37*$F$3</f>
        <v>161.15222905444929</v>
      </c>
      <c r="H39" s="34">
        <f t="shared" ref="H39:P39" si="13">H37*$F$3</f>
        <v>169.20984050717175</v>
      </c>
      <c r="I39" s="34">
        <f t="shared" si="13"/>
        <v>177.67033253253035</v>
      </c>
      <c r="J39" s="34">
        <f t="shared" si="13"/>
        <v>186.55384915915687</v>
      </c>
      <c r="K39" s="34">
        <f t="shared" si="13"/>
        <v>195.88154161711472</v>
      </c>
      <c r="L39" s="34">
        <f t="shared" si="13"/>
        <v>205.67561869797046</v>
      </c>
      <c r="M39" s="34">
        <f t="shared" si="13"/>
        <v>215.95939963286898</v>
      </c>
      <c r="N39" s="34">
        <f t="shared" si="13"/>
        <v>226.75736961451241</v>
      </c>
      <c r="O39" s="34">
        <f t="shared" si="13"/>
        <v>238.09523809523805</v>
      </c>
      <c r="P39" s="34">
        <f t="shared" si="13"/>
        <v>249.99999999999991</v>
      </c>
    </row>
    <row r="40" spans="2:16" ht="15" thickBot="1">
      <c r="C40" s="35" t="s">
        <v>54</v>
      </c>
      <c r="D40" s="35"/>
      <c r="E40" s="35"/>
      <c r="F40" s="36">
        <f>F34</f>
        <v>3223.0445810889855</v>
      </c>
      <c r="G40" s="36">
        <f>G37-G38+G39</f>
        <v>3384.196810143435</v>
      </c>
      <c r="H40" s="36">
        <f t="shared" ref="H40:P40" si="14">H37-H38+H39</f>
        <v>3553.4066506506069</v>
      </c>
      <c r="I40" s="36">
        <f t="shared" si="14"/>
        <v>3731.0769831831371</v>
      </c>
      <c r="J40" s="36">
        <f t="shared" si="14"/>
        <v>3917.6308323422941</v>
      </c>
      <c r="K40" s="36">
        <f t="shared" si="14"/>
        <v>4113.5123739594092</v>
      </c>
      <c r="L40" s="36">
        <f t="shared" si="14"/>
        <v>4319.1879926573793</v>
      </c>
      <c r="M40" s="36">
        <f t="shared" si="14"/>
        <v>4535.1473922902478</v>
      </c>
      <c r="N40" s="36">
        <f t="shared" si="14"/>
        <v>4761.9047619047606</v>
      </c>
      <c r="O40" s="36">
        <f t="shared" si="14"/>
        <v>4999.9999999999982</v>
      </c>
      <c r="P40" s="36">
        <f t="shared" si="14"/>
        <v>5249.9999999999982</v>
      </c>
    </row>
    <row r="42" spans="2:16" ht="15" thickBot="1">
      <c r="B42" s="35" t="s">
        <v>643</v>
      </c>
      <c r="C42" s="35"/>
      <c r="D42" s="35"/>
      <c r="E42" s="35"/>
      <c r="F42" s="36">
        <f>F34-F40</f>
        <v>0</v>
      </c>
      <c r="G42" s="36">
        <f t="shared" ref="G42:P42" si="15">G34-G40</f>
        <v>0</v>
      </c>
      <c r="H42" s="36">
        <f t="shared" si="15"/>
        <v>0</v>
      </c>
      <c r="I42" s="36">
        <f t="shared" si="15"/>
        <v>0</v>
      </c>
      <c r="J42" s="36">
        <f t="shared" si="15"/>
        <v>0</v>
      </c>
      <c r="K42" s="36">
        <f t="shared" si="15"/>
        <v>0</v>
      </c>
      <c r="L42" s="36">
        <f t="shared" si="15"/>
        <v>0</v>
      </c>
      <c r="M42" s="36">
        <f t="shared" si="15"/>
        <v>0</v>
      </c>
      <c r="N42" s="36">
        <f t="shared" si="15"/>
        <v>0</v>
      </c>
      <c r="O42" s="36">
        <f t="shared" si="15"/>
        <v>-4999.9999999999982</v>
      </c>
      <c r="P42" s="36">
        <f t="shared" si="15"/>
        <v>-5249.9999999999982</v>
      </c>
    </row>
    <row r="44" spans="2:16">
      <c r="B44" s="18" t="s">
        <v>599</v>
      </c>
      <c r="G44" s="34" t="b">
        <f>IF(G38,G42/G38)</f>
        <v>0</v>
      </c>
      <c r="H44" s="34" t="b">
        <f t="shared" ref="H44:P44" si="16">IF(H38,H42/H38)</f>
        <v>0</v>
      </c>
      <c r="I44" s="34" t="b">
        <f t="shared" si="16"/>
        <v>0</v>
      </c>
      <c r="J44" s="34" t="b">
        <f t="shared" si="16"/>
        <v>0</v>
      </c>
      <c r="K44" s="34" t="b">
        <f t="shared" si="16"/>
        <v>0</v>
      </c>
      <c r="L44" s="34" t="b">
        <f t="shared" si="16"/>
        <v>0</v>
      </c>
      <c r="M44" s="34" t="b">
        <f t="shared" si="16"/>
        <v>0</v>
      </c>
      <c r="N44" s="34" t="b">
        <f t="shared" si="16"/>
        <v>0</v>
      </c>
      <c r="O44" s="34" t="b">
        <f t="shared" si="16"/>
        <v>0</v>
      </c>
      <c r="P44" s="34" t="b">
        <f t="shared" si="16"/>
        <v>0</v>
      </c>
    </row>
    <row r="46" spans="2:16">
      <c r="B46" s="18" t="s">
        <v>50</v>
      </c>
    </row>
    <row r="47" spans="2:16">
      <c r="C47" s="18" t="s">
        <v>51</v>
      </c>
      <c r="G47" s="34">
        <f>F51</f>
        <v>0</v>
      </c>
      <c r="H47" s="34">
        <f t="shared" ref="H47:P47" si="17">G51</f>
        <v>0</v>
      </c>
      <c r="I47" s="34">
        <f t="shared" si="17"/>
        <v>0</v>
      </c>
      <c r="J47" s="34">
        <f t="shared" si="17"/>
        <v>0</v>
      </c>
      <c r="K47" s="34">
        <f t="shared" si="17"/>
        <v>0</v>
      </c>
      <c r="L47" s="34">
        <f t="shared" si="17"/>
        <v>0</v>
      </c>
      <c r="M47" s="34">
        <f t="shared" si="17"/>
        <v>0</v>
      </c>
      <c r="N47" s="34">
        <f t="shared" si="17"/>
        <v>0</v>
      </c>
      <c r="O47" s="34">
        <f t="shared" si="17"/>
        <v>0</v>
      </c>
      <c r="P47" s="34">
        <f t="shared" si="17"/>
        <v>0</v>
      </c>
    </row>
    <row r="48" spans="2:16">
      <c r="C48" s="18" t="s">
        <v>644</v>
      </c>
      <c r="G48" s="34">
        <f t="shared" ref="G48:P48" si="18">$F$8*G12</f>
        <v>0</v>
      </c>
      <c r="H48" s="34">
        <f t="shared" si="18"/>
        <v>0</v>
      </c>
      <c r="I48" s="34">
        <f t="shared" si="18"/>
        <v>0</v>
      </c>
      <c r="J48" s="34">
        <f t="shared" si="18"/>
        <v>0</v>
      </c>
      <c r="K48" s="34">
        <f t="shared" si="18"/>
        <v>0</v>
      </c>
      <c r="L48" s="34">
        <f t="shared" si="18"/>
        <v>0</v>
      </c>
      <c r="M48" s="34">
        <f t="shared" si="18"/>
        <v>0</v>
      </c>
      <c r="N48" s="34">
        <f t="shared" si="18"/>
        <v>0</v>
      </c>
      <c r="O48" s="34">
        <f t="shared" si="18"/>
        <v>0</v>
      </c>
      <c r="P48" s="34">
        <f t="shared" si="18"/>
        <v>0</v>
      </c>
    </row>
    <row r="49" spans="1:16">
      <c r="C49" s="18" t="s">
        <v>642</v>
      </c>
      <c r="G49" s="34">
        <f>G52</f>
        <v>0</v>
      </c>
      <c r="H49" s="34">
        <f t="shared" ref="H49:P49" si="19">H52</f>
        <v>0</v>
      </c>
      <c r="I49" s="34">
        <f t="shared" si="19"/>
        <v>0</v>
      </c>
      <c r="J49" s="34">
        <f t="shared" si="19"/>
        <v>0</v>
      </c>
      <c r="K49" s="34">
        <f t="shared" si="19"/>
        <v>0</v>
      </c>
      <c r="L49" s="34">
        <f t="shared" si="19"/>
        <v>0</v>
      </c>
      <c r="M49" s="34">
        <f t="shared" si="19"/>
        <v>0</v>
      </c>
      <c r="N49" s="34">
        <f t="shared" si="19"/>
        <v>0</v>
      </c>
      <c r="O49" s="34">
        <f t="shared" si="19"/>
        <v>0</v>
      </c>
      <c r="P49" s="34">
        <f t="shared" si="19"/>
        <v>0</v>
      </c>
    </row>
    <row r="50" spans="1:16">
      <c r="C50" s="18" t="s">
        <v>645</v>
      </c>
      <c r="G50" s="34">
        <f t="shared" ref="G50:P50" si="20">(G47+G48+G49)*G13</f>
        <v>0</v>
      </c>
      <c r="H50" s="34">
        <f t="shared" si="20"/>
        <v>0</v>
      </c>
      <c r="I50" s="34">
        <f t="shared" si="20"/>
        <v>0</v>
      </c>
      <c r="J50" s="34">
        <f t="shared" si="20"/>
        <v>0</v>
      </c>
      <c r="K50" s="34">
        <f t="shared" si="20"/>
        <v>0</v>
      </c>
      <c r="L50" s="34">
        <f t="shared" si="20"/>
        <v>0</v>
      </c>
      <c r="M50" s="34">
        <f t="shared" si="20"/>
        <v>0</v>
      </c>
      <c r="N50" s="34">
        <f t="shared" si="20"/>
        <v>0</v>
      </c>
      <c r="O50" s="34">
        <f t="shared" si="20"/>
        <v>0</v>
      </c>
      <c r="P50" s="34">
        <f t="shared" si="20"/>
        <v>0</v>
      </c>
    </row>
    <row r="51" spans="1:16" ht="15" thickBot="1">
      <c r="C51" s="35" t="s">
        <v>54</v>
      </c>
      <c r="D51" s="35"/>
      <c r="E51" s="35"/>
      <c r="F51" s="35"/>
      <c r="G51" s="36">
        <f>G47+G48-G50+G49</f>
        <v>0</v>
      </c>
      <c r="H51" s="36">
        <f t="shared" ref="H51:P51" si="21">H47+H48-H50+H49</f>
        <v>0</v>
      </c>
      <c r="I51" s="36">
        <f t="shared" si="21"/>
        <v>0</v>
      </c>
      <c r="J51" s="36">
        <f t="shared" si="21"/>
        <v>0</v>
      </c>
      <c r="K51" s="36">
        <f t="shared" si="21"/>
        <v>0</v>
      </c>
      <c r="L51" s="36">
        <f t="shared" si="21"/>
        <v>0</v>
      </c>
      <c r="M51" s="36">
        <f t="shared" si="21"/>
        <v>0</v>
      </c>
      <c r="N51" s="36">
        <f t="shared" si="21"/>
        <v>0</v>
      </c>
      <c r="O51" s="36">
        <f t="shared" si="21"/>
        <v>0</v>
      </c>
      <c r="P51" s="36">
        <f t="shared" si="21"/>
        <v>0</v>
      </c>
    </row>
    <row r="52" spans="1:16">
      <c r="C52" s="18" t="s">
        <v>646</v>
      </c>
      <c r="F52" s="20">
        <f>F3</f>
        <v>0.05</v>
      </c>
      <c r="G52" s="34">
        <f>G47*$F$52</f>
        <v>0</v>
      </c>
      <c r="H52" s="34">
        <f t="shared" ref="H52:P52" si="22">H47*$F$52</f>
        <v>0</v>
      </c>
      <c r="I52" s="34">
        <f t="shared" si="22"/>
        <v>0</v>
      </c>
      <c r="J52" s="34">
        <f t="shared" si="22"/>
        <v>0</v>
      </c>
      <c r="K52" s="34">
        <f t="shared" si="22"/>
        <v>0</v>
      </c>
      <c r="L52" s="34">
        <f t="shared" si="22"/>
        <v>0</v>
      </c>
      <c r="M52" s="34">
        <f t="shared" si="22"/>
        <v>0</v>
      </c>
      <c r="N52" s="34">
        <f t="shared" si="22"/>
        <v>0</v>
      </c>
      <c r="O52" s="34">
        <f t="shared" si="22"/>
        <v>0</v>
      </c>
      <c r="P52" s="34">
        <f t="shared" si="22"/>
        <v>0</v>
      </c>
    </row>
    <row r="53" spans="1:16">
      <c r="F53" s="20"/>
      <c r="G53" s="34"/>
      <c r="H53" s="34"/>
      <c r="I53" s="34"/>
      <c r="J53" s="34"/>
      <c r="K53" s="34"/>
      <c r="L53" s="34"/>
      <c r="M53" s="34"/>
      <c r="N53" s="34"/>
      <c r="O53" s="34"/>
      <c r="P53" s="34"/>
    </row>
    <row r="54" spans="1:16">
      <c r="B54" s="18" t="s">
        <v>608</v>
      </c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7" spans="1:16">
      <c r="A57" s="18" t="s">
        <v>647</v>
      </c>
    </row>
    <row r="58" spans="1:16">
      <c r="B58" s="18" t="s">
        <v>648</v>
      </c>
      <c r="G58" s="34">
        <f t="shared" ref="G58:P58" si="23">G42-F42</f>
        <v>0</v>
      </c>
      <c r="H58" s="34">
        <f t="shared" si="23"/>
        <v>0</v>
      </c>
      <c r="I58" s="34">
        <f t="shared" si="23"/>
        <v>0</v>
      </c>
      <c r="J58" s="34">
        <f t="shared" si="23"/>
        <v>0</v>
      </c>
      <c r="K58" s="34">
        <f t="shared" si="23"/>
        <v>0</v>
      </c>
      <c r="L58" s="34">
        <f t="shared" si="23"/>
        <v>0</v>
      </c>
      <c r="M58" s="34">
        <f t="shared" si="23"/>
        <v>0</v>
      </c>
      <c r="N58" s="34">
        <f t="shared" si="23"/>
        <v>0</v>
      </c>
      <c r="O58" s="34">
        <f t="shared" si="23"/>
        <v>-4999.9999999999982</v>
      </c>
      <c r="P58" s="34">
        <f t="shared" si="23"/>
        <v>-250</v>
      </c>
    </row>
    <row r="59" spans="1:16">
      <c r="B59" s="18" t="s">
        <v>649</v>
      </c>
      <c r="G59" s="34">
        <f t="shared" ref="G59:P59" si="24">G33</f>
        <v>0</v>
      </c>
      <c r="H59" s="34">
        <f t="shared" si="24"/>
        <v>0</v>
      </c>
      <c r="I59" s="34">
        <f t="shared" si="24"/>
        <v>0</v>
      </c>
      <c r="J59" s="34">
        <f t="shared" si="24"/>
        <v>0</v>
      </c>
      <c r="K59" s="34">
        <f t="shared" si="24"/>
        <v>0</v>
      </c>
      <c r="L59" s="34">
        <f t="shared" si="24"/>
        <v>0</v>
      </c>
      <c r="M59" s="34">
        <f t="shared" si="24"/>
        <v>0</v>
      </c>
      <c r="N59" s="34">
        <f t="shared" si="24"/>
        <v>0</v>
      </c>
      <c r="O59" s="34">
        <f t="shared" si="24"/>
        <v>5000</v>
      </c>
      <c r="P59" s="34">
        <f t="shared" si="24"/>
        <v>0</v>
      </c>
    </row>
    <row r="60" spans="1:16">
      <c r="B60" s="18" t="s">
        <v>650</v>
      </c>
      <c r="G60" s="34">
        <f>SUM(G58:G59)</f>
        <v>0</v>
      </c>
      <c r="H60" s="34">
        <f t="shared" ref="H60:P60" si="25">SUM(H58:H59)</f>
        <v>0</v>
      </c>
      <c r="I60" s="34">
        <f t="shared" si="25"/>
        <v>0</v>
      </c>
      <c r="J60" s="34">
        <f t="shared" si="25"/>
        <v>0</v>
      </c>
      <c r="K60" s="34">
        <f t="shared" si="25"/>
        <v>0</v>
      </c>
      <c r="L60" s="34">
        <f t="shared" si="25"/>
        <v>0</v>
      </c>
      <c r="M60" s="34">
        <f t="shared" si="25"/>
        <v>0</v>
      </c>
      <c r="N60" s="34">
        <f t="shared" si="25"/>
        <v>0</v>
      </c>
      <c r="O60" s="34">
        <f t="shared" si="25"/>
        <v>0</v>
      </c>
      <c r="P60" s="34">
        <f t="shared" si="25"/>
        <v>-250</v>
      </c>
    </row>
    <row r="61" spans="1:16">
      <c r="G61" s="34"/>
      <c r="H61" s="34"/>
      <c r="I61" s="34"/>
      <c r="J61" s="34"/>
      <c r="K61" s="34"/>
      <c r="L61" s="34"/>
      <c r="M61" s="34"/>
      <c r="N61" s="34"/>
      <c r="O61" s="34"/>
      <c r="P61" s="34"/>
    </row>
    <row r="62" spans="1:16">
      <c r="B62" s="18" t="s">
        <v>651</v>
      </c>
      <c r="G62" s="34" t="b">
        <f>IF(G60,G42/G60)</f>
        <v>0</v>
      </c>
      <c r="H62" s="34" t="b">
        <f t="shared" ref="H62:P62" si="26">IF(H60,H42/H60)</f>
        <v>0</v>
      </c>
      <c r="I62" s="34" t="b">
        <f t="shared" si="26"/>
        <v>0</v>
      </c>
      <c r="J62" s="34" t="b">
        <f t="shared" si="26"/>
        <v>0</v>
      </c>
      <c r="K62" s="34" t="b">
        <f t="shared" si="26"/>
        <v>0</v>
      </c>
      <c r="L62" s="34" t="b">
        <f t="shared" si="26"/>
        <v>0</v>
      </c>
      <c r="M62" s="34" t="b">
        <f t="shared" si="26"/>
        <v>0</v>
      </c>
      <c r="N62" s="34" t="b">
        <f t="shared" si="26"/>
        <v>0</v>
      </c>
      <c r="O62" s="34" t="b">
        <f t="shared" si="26"/>
        <v>0</v>
      </c>
      <c r="P62" s="34">
        <f t="shared" si="26"/>
        <v>20.999999999999993</v>
      </c>
    </row>
    <row r="64" spans="1:16">
      <c r="B64" s="18" t="s">
        <v>652</v>
      </c>
    </row>
    <row r="65" spans="2:16">
      <c r="C65" s="18" t="s">
        <v>653</v>
      </c>
      <c r="G65" s="34">
        <f t="shared" ref="G65:P65" si="27">G48</f>
        <v>0</v>
      </c>
      <c r="H65" s="34">
        <f t="shared" si="27"/>
        <v>0</v>
      </c>
      <c r="I65" s="34">
        <f t="shared" si="27"/>
        <v>0</v>
      </c>
      <c r="J65" s="34">
        <f t="shared" si="27"/>
        <v>0</v>
      </c>
      <c r="K65" s="34">
        <f t="shared" si="27"/>
        <v>0</v>
      </c>
      <c r="L65" s="34">
        <f t="shared" si="27"/>
        <v>0</v>
      </c>
      <c r="M65" s="34">
        <f t="shared" si="27"/>
        <v>0</v>
      </c>
      <c r="N65" s="34">
        <f t="shared" si="27"/>
        <v>0</v>
      </c>
      <c r="O65" s="34">
        <f t="shared" si="27"/>
        <v>0</v>
      </c>
      <c r="P65" s="34">
        <f t="shared" si="27"/>
        <v>0</v>
      </c>
    </row>
    <row r="66" spans="2:16">
      <c r="C66" s="18" t="s">
        <v>346</v>
      </c>
      <c r="G66" s="34">
        <f t="shared" ref="G66:P66" si="28">G52</f>
        <v>0</v>
      </c>
      <c r="H66" s="34">
        <f t="shared" si="28"/>
        <v>0</v>
      </c>
      <c r="I66" s="34">
        <f t="shared" si="28"/>
        <v>0</v>
      </c>
      <c r="J66" s="34">
        <f t="shared" si="28"/>
        <v>0</v>
      </c>
      <c r="K66" s="34">
        <f t="shared" si="28"/>
        <v>0</v>
      </c>
      <c r="L66" s="34">
        <f t="shared" si="28"/>
        <v>0</v>
      </c>
      <c r="M66" s="34">
        <f t="shared" si="28"/>
        <v>0</v>
      </c>
      <c r="N66" s="34">
        <f t="shared" si="28"/>
        <v>0</v>
      </c>
      <c r="O66" s="34">
        <f t="shared" si="28"/>
        <v>0</v>
      </c>
      <c r="P66" s="34">
        <f t="shared" si="28"/>
        <v>0</v>
      </c>
    </row>
    <row r="67" spans="2:16">
      <c r="C67" s="18" t="s">
        <v>654</v>
      </c>
      <c r="G67" s="34">
        <f>G60</f>
        <v>0</v>
      </c>
      <c r="H67" s="34">
        <f t="shared" ref="H67:P67" si="29">H60</f>
        <v>0</v>
      </c>
      <c r="I67" s="34">
        <f t="shared" si="29"/>
        <v>0</v>
      </c>
      <c r="J67" s="34">
        <f t="shared" si="29"/>
        <v>0</v>
      </c>
      <c r="K67" s="34">
        <f t="shared" si="29"/>
        <v>0</v>
      </c>
      <c r="L67" s="34">
        <f t="shared" si="29"/>
        <v>0</v>
      </c>
      <c r="M67" s="34">
        <f t="shared" si="29"/>
        <v>0</v>
      </c>
      <c r="N67" s="34">
        <f t="shared" si="29"/>
        <v>0</v>
      </c>
      <c r="O67" s="34">
        <f t="shared" si="29"/>
        <v>0</v>
      </c>
      <c r="P67" s="34">
        <f t="shared" si="29"/>
        <v>-250</v>
      </c>
    </row>
    <row r="68" spans="2:16" ht="15" thickBot="1">
      <c r="D68" s="35" t="s">
        <v>234</v>
      </c>
      <c r="E68" s="35"/>
      <c r="F68" s="35"/>
      <c r="G68" s="36">
        <f>G65+G66-G67</f>
        <v>0</v>
      </c>
      <c r="H68" s="36">
        <f t="shared" ref="H68:P68" si="30">H65+H66-H67</f>
        <v>0</v>
      </c>
      <c r="I68" s="36">
        <f t="shared" si="30"/>
        <v>0</v>
      </c>
      <c r="J68" s="36">
        <f t="shared" si="30"/>
        <v>0</v>
      </c>
      <c r="K68" s="36">
        <f t="shared" si="30"/>
        <v>0</v>
      </c>
      <c r="L68" s="36">
        <f t="shared" si="30"/>
        <v>0</v>
      </c>
      <c r="M68" s="36">
        <f t="shared" si="30"/>
        <v>0</v>
      </c>
      <c r="N68" s="36">
        <f t="shared" si="30"/>
        <v>0</v>
      </c>
      <c r="O68" s="36">
        <f t="shared" si="30"/>
        <v>0</v>
      </c>
      <c r="P68" s="36">
        <f t="shared" si="30"/>
        <v>250</v>
      </c>
    </row>
    <row r="70" spans="2:16">
      <c r="B70" s="18" t="s">
        <v>655</v>
      </c>
      <c r="G70" s="34" t="b">
        <f>IF(G65,G67/G65)</f>
        <v>0</v>
      </c>
      <c r="H70" s="34" t="b">
        <f t="shared" ref="H70:P70" si="31">IF(H65,H67/H65)</f>
        <v>0</v>
      </c>
      <c r="I70" s="34" t="b">
        <f t="shared" si="31"/>
        <v>0</v>
      </c>
      <c r="J70" s="34" t="b">
        <f t="shared" si="31"/>
        <v>0</v>
      </c>
      <c r="K70" s="34" t="b">
        <f t="shared" si="31"/>
        <v>0</v>
      </c>
      <c r="L70" s="34" t="b">
        <f t="shared" si="31"/>
        <v>0</v>
      </c>
      <c r="M70" s="34" t="b">
        <f t="shared" si="31"/>
        <v>0</v>
      </c>
      <c r="N70" s="34" t="b">
        <f t="shared" si="31"/>
        <v>0</v>
      </c>
      <c r="O70" s="34" t="b">
        <f t="shared" si="31"/>
        <v>0</v>
      </c>
      <c r="P70" s="34" t="b">
        <f t="shared" si="31"/>
        <v>0</v>
      </c>
    </row>
    <row r="72" spans="2:16">
      <c r="B72" s="18" t="s">
        <v>242</v>
      </c>
    </row>
    <row r="73" spans="2:16">
      <c r="C73" s="18" t="s">
        <v>652</v>
      </c>
      <c r="G73" s="34">
        <f>G68</f>
        <v>0</v>
      </c>
      <c r="H73" s="34">
        <f t="shared" ref="H73:P73" si="32">H68</f>
        <v>0</v>
      </c>
      <c r="I73" s="34">
        <f t="shared" si="32"/>
        <v>0</v>
      </c>
      <c r="J73" s="34">
        <f t="shared" si="32"/>
        <v>0</v>
      </c>
      <c r="K73" s="34">
        <f t="shared" si="32"/>
        <v>0</v>
      </c>
      <c r="L73" s="34">
        <f t="shared" si="32"/>
        <v>0</v>
      </c>
      <c r="M73" s="34">
        <f t="shared" si="32"/>
        <v>0</v>
      </c>
      <c r="N73" s="34">
        <f t="shared" si="32"/>
        <v>0</v>
      </c>
      <c r="O73" s="34">
        <f t="shared" si="32"/>
        <v>0</v>
      </c>
      <c r="P73" s="34">
        <f t="shared" si="32"/>
        <v>250</v>
      </c>
    </row>
    <row r="74" spans="2:16">
      <c r="C74" s="18" t="s">
        <v>619</v>
      </c>
      <c r="G74" s="34">
        <f t="shared" ref="G74:P74" si="33">G42-F42</f>
        <v>0</v>
      </c>
      <c r="H74" s="34">
        <f t="shared" si="33"/>
        <v>0</v>
      </c>
      <c r="I74" s="34">
        <f t="shared" si="33"/>
        <v>0</v>
      </c>
      <c r="J74" s="34">
        <f t="shared" si="33"/>
        <v>0</v>
      </c>
      <c r="K74" s="34">
        <f t="shared" si="33"/>
        <v>0</v>
      </c>
      <c r="L74" s="34">
        <f t="shared" si="33"/>
        <v>0</v>
      </c>
      <c r="M74" s="34">
        <f t="shared" si="33"/>
        <v>0</v>
      </c>
      <c r="N74" s="34">
        <f t="shared" si="33"/>
        <v>0</v>
      </c>
      <c r="O74" s="34">
        <f t="shared" si="33"/>
        <v>-4999.9999999999982</v>
      </c>
      <c r="P74" s="34">
        <f t="shared" si="33"/>
        <v>-250</v>
      </c>
    </row>
    <row r="75" spans="2:16">
      <c r="C75" s="18" t="s">
        <v>618</v>
      </c>
      <c r="G75" s="34">
        <f t="shared" ref="G75:P75" si="34">G51-F51</f>
        <v>0</v>
      </c>
      <c r="H75" s="34">
        <f t="shared" si="34"/>
        <v>0</v>
      </c>
      <c r="I75" s="34">
        <f t="shared" si="34"/>
        <v>0</v>
      </c>
      <c r="J75" s="34">
        <f t="shared" si="34"/>
        <v>0</v>
      </c>
      <c r="K75" s="34">
        <f t="shared" si="34"/>
        <v>0</v>
      </c>
      <c r="L75" s="34">
        <f t="shared" si="34"/>
        <v>0</v>
      </c>
      <c r="M75" s="34">
        <f t="shared" si="34"/>
        <v>0</v>
      </c>
      <c r="N75" s="34">
        <f t="shared" si="34"/>
        <v>0</v>
      </c>
      <c r="O75" s="34">
        <f t="shared" si="34"/>
        <v>0</v>
      </c>
      <c r="P75" s="34">
        <f t="shared" si="34"/>
        <v>0</v>
      </c>
    </row>
    <row r="76" spans="2:16" ht="15" thickBot="1">
      <c r="D76" s="35" t="s">
        <v>360</v>
      </c>
      <c r="E76" s="35"/>
      <c r="F76" s="35"/>
      <c r="G76" s="36">
        <f>G73+G74-G75</f>
        <v>0</v>
      </c>
      <c r="H76" s="36">
        <f t="shared" ref="H76:P76" si="35">H73+H74-H75</f>
        <v>0</v>
      </c>
      <c r="I76" s="36">
        <f t="shared" si="35"/>
        <v>0</v>
      </c>
      <c r="J76" s="36">
        <f t="shared" si="35"/>
        <v>0</v>
      </c>
      <c r="K76" s="36">
        <f t="shared" si="35"/>
        <v>0</v>
      </c>
      <c r="L76" s="36">
        <f t="shared" si="35"/>
        <v>0</v>
      </c>
      <c r="M76" s="36">
        <f t="shared" si="35"/>
        <v>0</v>
      </c>
      <c r="N76" s="36">
        <f t="shared" si="35"/>
        <v>0</v>
      </c>
      <c r="O76" s="36">
        <f t="shared" si="35"/>
        <v>-4999.9999999999982</v>
      </c>
      <c r="P76" s="36">
        <f t="shared" si="35"/>
        <v>0</v>
      </c>
    </row>
    <row r="78" spans="2:16">
      <c r="B78" s="18" t="s">
        <v>270</v>
      </c>
    </row>
    <row r="79" spans="2:16">
      <c r="C79" s="18" t="s">
        <v>656</v>
      </c>
    </row>
    <row r="80" spans="2:16">
      <c r="D80" s="18" t="s">
        <v>51</v>
      </c>
      <c r="G80" s="34">
        <f>F83</f>
        <v>0</v>
      </c>
      <c r="H80" s="34">
        <f t="shared" ref="H80:P80" si="36">G83</f>
        <v>0</v>
      </c>
      <c r="I80" s="34">
        <f t="shared" si="36"/>
        <v>0</v>
      </c>
      <c r="J80" s="34">
        <f t="shared" si="36"/>
        <v>0</v>
      </c>
      <c r="K80" s="34">
        <f t="shared" si="36"/>
        <v>0</v>
      </c>
      <c r="L80" s="34">
        <f t="shared" si="36"/>
        <v>0</v>
      </c>
      <c r="M80" s="34">
        <f t="shared" si="36"/>
        <v>0</v>
      </c>
      <c r="N80" s="34">
        <f t="shared" si="36"/>
        <v>0</v>
      </c>
      <c r="O80" s="34">
        <f t="shared" si="36"/>
        <v>0</v>
      </c>
      <c r="P80" s="34">
        <f t="shared" si="36"/>
        <v>4999.9999999999982</v>
      </c>
    </row>
    <row r="81" spans="3:16">
      <c r="D81" s="18" t="s">
        <v>52</v>
      </c>
      <c r="G81" s="34">
        <f>G68</f>
        <v>0</v>
      </c>
      <c r="H81" s="34">
        <f t="shared" ref="H81:P81" si="37">H68</f>
        <v>0</v>
      </c>
      <c r="I81" s="34">
        <f t="shared" si="37"/>
        <v>0</v>
      </c>
      <c r="J81" s="34">
        <f t="shared" si="37"/>
        <v>0</v>
      </c>
      <c r="K81" s="34">
        <f t="shared" si="37"/>
        <v>0</v>
      </c>
      <c r="L81" s="34">
        <f t="shared" si="37"/>
        <v>0</v>
      </c>
      <c r="M81" s="34">
        <f t="shared" si="37"/>
        <v>0</v>
      </c>
      <c r="N81" s="34">
        <f t="shared" si="37"/>
        <v>0</v>
      </c>
      <c r="O81" s="34">
        <f t="shared" si="37"/>
        <v>0</v>
      </c>
      <c r="P81" s="34">
        <f t="shared" si="37"/>
        <v>250</v>
      </c>
    </row>
    <row r="82" spans="3:16">
      <c r="D82" s="18" t="s">
        <v>361</v>
      </c>
      <c r="G82" s="34">
        <f>G76</f>
        <v>0</v>
      </c>
      <c r="H82" s="34">
        <f t="shared" ref="H82:P82" si="38">H76</f>
        <v>0</v>
      </c>
      <c r="I82" s="34">
        <f t="shared" si="38"/>
        <v>0</v>
      </c>
      <c r="J82" s="34">
        <f t="shared" si="38"/>
        <v>0</v>
      </c>
      <c r="K82" s="34">
        <f t="shared" si="38"/>
        <v>0</v>
      </c>
      <c r="L82" s="34">
        <f t="shared" si="38"/>
        <v>0</v>
      </c>
      <c r="M82" s="34">
        <f t="shared" si="38"/>
        <v>0</v>
      </c>
      <c r="N82" s="34">
        <f t="shared" si="38"/>
        <v>0</v>
      </c>
      <c r="O82" s="34">
        <f t="shared" si="38"/>
        <v>-4999.9999999999982</v>
      </c>
      <c r="P82" s="34">
        <f t="shared" si="38"/>
        <v>0</v>
      </c>
    </row>
    <row r="83" spans="3:16" ht="15" thickBot="1">
      <c r="D83" s="35" t="s">
        <v>54</v>
      </c>
      <c r="E83" s="35"/>
      <c r="F83" s="35"/>
      <c r="G83" s="36">
        <f>G80+G81-G82</f>
        <v>0</v>
      </c>
      <c r="H83" s="36">
        <f t="shared" ref="H83:P83" si="39">H80+H81-H82</f>
        <v>0</v>
      </c>
      <c r="I83" s="36">
        <f t="shared" si="39"/>
        <v>0</v>
      </c>
      <c r="J83" s="36">
        <f t="shared" si="39"/>
        <v>0</v>
      </c>
      <c r="K83" s="36">
        <f t="shared" si="39"/>
        <v>0</v>
      </c>
      <c r="L83" s="36">
        <f t="shared" si="39"/>
        <v>0</v>
      </c>
      <c r="M83" s="36">
        <f t="shared" si="39"/>
        <v>0</v>
      </c>
      <c r="N83" s="36">
        <f t="shared" si="39"/>
        <v>0</v>
      </c>
      <c r="O83" s="36">
        <f t="shared" si="39"/>
        <v>4999.9999999999982</v>
      </c>
      <c r="P83" s="36">
        <f t="shared" si="39"/>
        <v>5249.9999999999982</v>
      </c>
    </row>
    <row r="85" spans="3:16">
      <c r="C85" s="18" t="s">
        <v>271</v>
      </c>
    </row>
    <row r="86" spans="3:16">
      <c r="D86" s="18" t="s">
        <v>533</v>
      </c>
      <c r="G86" s="34">
        <f t="shared" ref="G86:P86" si="40">G51</f>
        <v>0</v>
      </c>
      <c r="H86" s="34">
        <f t="shared" si="40"/>
        <v>0</v>
      </c>
      <c r="I86" s="34">
        <f t="shared" si="40"/>
        <v>0</v>
      </c>
      <c r="J86" s="34">
        <f t="shared" si="40"/>
        <v>0</v>
      </c>
      <c r="K86" s="34">
        <f t="shared" si="40"/>
        <v>0</v>
      </c>
      <c r="L86" s="34">
        <f t="shared" si="40"/>
        <v>0</v>
      </c>
      <c r="M86" s="34">
        <f t="shared" si="40"/>
        <v>0</v>
      </c>
      <c r="N86" s="34">
        <f t="shared" si="40"/>
        <v>0</v>
      </c>
      <c r="O86" s="34">
        <f t="shared" si="40"/>
        <v>0</v>
      </c>
      <c r="P86" s="34">
        <f t="shared" si="40"/>
        <v>0</v>
      </c>
    </row>
    <row r="88" spans="3:16">
      <c r="C88" s="18" t="s">
        <v>657</v>
      </c>
    </row>
    <row r="89" spans="3:16">
      <c r="D89" s="18" t="s">
        <v>532</v>
      </c>
      <c r="G89" s="34">
        <f t="shared" ref="G89:P89" si="41">G42</f>
        <v>0</v>
      </c>
      <c r="H89" s="34">
        <f t="shared" si="41"/>
        <v>0</v>
      </c>
      <c r="I89" s="34">
        <f t="shared" si="41"/>
        <v>0</v>
      </c>
      <c r="J89" s="34">
        <f t="shared" si="41"/>
        <v>0</v>
      </c>
      <c r="K89" s="34">
        <f t="shared" si="41"/>
        <v>0</v>
      </c>
      <c r="L89" s="34">
        <f t="shared" si="41"/>
        <v>0</v>
      </c>
      <c r="M89" s="34">
        <f t="shared" si="41"/>
        <v>0</v>
      </c>
      <c r="N89" s="34">
        <f t="shared" si="41"/>
        <v>0</v>
      </c>
      <c r="O89" s="34">
        <f t="shared" si="41"/>
        <v>-4999.9999999999982</v>
      </c>
      <c r="P89" s="34">
        <f t="shared" si="41"/>
        <v>-5249.9999999999982</v>
      </c>
    </row>
    <row r="90" spans="3:16">
      <c r="D90" s="18" t="s">
        <v>466</v>
      </c>
      <c r="G90" s="34">
        <f>G83</f>
        <v>0</v>
      </c>
      <c r="H90" s="34">
        <f t="shared" ref="H90:P90" si="42">H83</f>
        <v>0</v>
      </c>
      <c r="I90" s="34">
        <f t="shared" si="42"/>
        <v>0</v>
      </c>
      <c r="J90" s="34">
        <f t="shared" si="42"/>
        <v>0</v>
      </c>
      <c r="K90" s="34">
        <f t="shared" si="42"/>
        <v>0</v>
      </c>
      <c r="L90" s="34">
        <f t="shared" si="42"/>
        <v>0</v>
      </c>
      <c r="M90" s="34">
        <f t="shared" si="42"/>
        <v>0</v>
      </c>
      <c r="N90" s="34">
        <f t="shared" si="42"/>
        <v>0</v>
      </c>
      <c r="O90" s="34">
        <f t="shared" si="42"/>
        <v>4999.9999999999982</v>
      </c>
      <c r="P90" s="34">
        <f t="shared" si="42"/>
        <v>5249.9999999999982</v>
      </c>
    </row>
    <row r="91" spans="3:16">
      <c r="D91" s="18" t="s">
        <v>446</v>
      </c>
      <c r="G91" s="34">
        <f>SUM(G89:G90)</f>
        <v>0</v>
      </c>
      <c r="H91" s="34">
        <f t="shared" ref="H91:P91" si="43">SUM(H89:H90)</f>
        <v>0</v>
      </c>
      <c r="I91" s="34">
        <f t="shared" si="43"/>
        <v>0</v>
      </c>
      <c r="J91" s="34">
        <f t="shared" si="43"/>
        <v>0</v>
      </c>
      <c r="K91" s="34">
        <f t="shared" si="43"/>
        <v>0</v>
      </c>
      <c r="L91" s="34">
        <f t="shared" si="43"/>
        <v>0</v>
      </c>
      <c r="M91" s="34">
        <f t="shared" si="43"/>
        <v>0</v>
      </c>
      <c r="N91" s="34">
        <f t="shared" si="43"/>
        <v>0</v>
      </c>
      <c r="O91" s="34">
        <f t="shared" si="43"/>
        <v>0</v>
      </c>
      <c r="P91" s="34">
        <f t="shared" si="43"/>
        <v>0</v>
      </c>
    </row>
  </sheetData>
  <conditionalFormatting sqref="A1:XFD2 A8:XFD1048576 A3:P7 S3:XFD7 Q3:R6">
    <cfRule type="containsText" dxfId="53" priority="1" operator="containsText" text="FALSE">
      <formula>NOT(ISERROR(SEARCH("FALSE",A1)))</formula>
    </cfRule>
    <cfRule type="cellIs" dxfId="52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Check Box 1">
              <controlPr defaultSize="0" autoFill="0" autoLine="0" autoPict="0" macro="[0]!CheckBox2_Click">
                <anchor moveWithCells="1">
                  <from>
                    <xdr:col>9</xdr:col>
                    <xdr:colOff>450850</xdr:colOff>
                    <xdr:row>2</xdr:row>
                    <xdr:rowOff>88900</xdr:rowOff>
                  </from>
                  <to>
                    <xdr:col>11</xdr:col>
                    <xdr:colOff>19050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19BE0-2A8C-46E8-90EA-96F9B1FEA8FE}">
  <sheetPr codeName="Sheet23"/>
  <dimension ref="A1:P85"/>
  <sheetViews>
    <sheetView showGridLines="0" zoomScale="80" zoomScaleNormal="80" workbookViewId="0">
      <selection activeCell="O6" sqref="O6"/>
    </sheetView>
  </sheetViews>
  <sheetFormatPr defaultRowHeight="14.5"/>
  <cols>
    <col min="1" max="3" width="1.54296875" style="18" customWidth="1"/>
    <col min="4" max="4" width="26.7265625" style="18" customWidth="1"/>
    <col min="5" max="5" width="11.08984375" style="18" customWidth="1"/>
    <col min="6" max="11" width="9.26953125" style="18" customWidth="1"/>
    <col min="12" max="16384" width="8.7265625" style="18"/>
  </cols>
  <sheetData>
    <row r="1" spans="1:16">
      <c r="F1" s="34"/>
      <c r="G1" s="34"/>
      <c r="H1" s="34"/>
      <c r="I1" s="34"/>
      <c r="J1" s="34"/>
    </row>
    <row r="2" spans="1:16" s="31" customFormat="1">
      <c r="A2" s="31" t="s">
        <v>621</v>
      </c>
    </row>
    <row r="3" spans="1:16">
      <c r="B3" s="18" t="s">
        <v>512</v>
      </c>
      <c r="F3" s="29">
        <v>0.05</v>
      </c>
    </row>
    <row r="4" spans="1:16">
      <c r="B4" s="18" t="s">
        <v>622</v>
      </c>
      <c r="F4" s="84">
        <v>0</v>
      </c>
      <c r="G4" s="84">
        <v>9</v>
      </c>
      <c r="H4" s="44">
        <f>G4+1</f>
        <v>10</v>
      </c>
    </row>
    <row r="5" spans="1:16">
      <c r="B5" s="18" t="s">
        <v>623</v>
      </c>
      <c r="F5" s="28">
        <v>0</v>
      </c>
      <c r="G5" s="37">
        <v>5000</v>
      </c>
      <c r="H5" s="28">
        <v>0</v>
      </c>
    </row>
    <row r="6" spans="1:16">
      <c r="G6" s="34"/>
    </row>
    <row r="7" spans="1:16">
      <c r="B7" s="18" t="s">
        <v>339</v>
      </c>
      <c r="F7" s="20">
        <f>F3</f>
        <v>0.05</v>
      </c>
      <c r="G7" s="34"/>
      <c r="H7" s="34">
        <f>F19</f>
        <v>3255.2750268998752</v>
      </c>
      <c r="M7" s="18">
        <v>1</v>
      </c>
    </row>
    <row r="8" spans="1:16">
      <c r="B8" s="18" t="s">
        <v>604</v>
      </c>
      <c r="F8" s="37">
        <v>453.45039987893898</v>
      </c>
      <c r="G8" s="34"/>
      <c r="H8" s="34">
        <f>F17</f>
        <v>3223.0445810889855</v>
      </c>
      <c r="I8" s="34">
        <f>H7-H8</f>
        <v>32.230445810889705</v>
      </c>
    </row>
    <row r="9" spans="1:16">
      <c r="F9" s="29"/>
      <c r="G9" s="34"/>
    </row>
    <row r="10" spans="1:16">
      <c r="F10" s="28">
        <v>0</v>
      </c>
      <c r="G10" s="28">
        <v>1</v>
      </c>
      <c r="H10" s="28">
        <v>2</v>
      </c>
      <c r="I10" s="28">
        <v>3</v>
      </c>
      <c r="J10" s="28">
        <v>4</v>
      </c>
      <c r="K10" s="28">
        <v>5</v>
      </c>
      <c r="L10" s="28">
        <v>6</v>
      </c>
      <c r="M10" s="28">
        <v>7</v>
      </c>
      <c r="N10" s="28">
        <v>8</v>
      </c>
      <c r="O10" s="28">
        <v>9</v>
      </c>
      <c r="P10" s="28">
        <v>10</v>
      </c>
    </row>
    <row r="11" spans="1:16">
      <c r="B11" s="18" t="s">
        <v>625</v>
      </c>
      <c r="E11" s="18">
        <f>G4</f>
        <v>9</v>
      </c>
      <c r="F11" s="18" t="b">
        <f>F10&lt;=$E$11</f>
        <v>1</v>
      </c>
      <c r="G11" s="18" t="b">
        <f t="shared" ref="G11:P11" si="0">G10&lt;=$E$11</f>
        <v>1</v>
      </c>
      <c r="H11" s="18" t="b">
        <f t="shared" si="0"/>
        <v>1</v>
      </c>
      <c r="I11" s="18" t="b">
        <f t="shared" si="0"/>
        <v>1</v>
      </c>
      <c r="J11" s="18" t="b">
        <f t="shared" si="0"/>
        <v>1</v>
      </c>
      <c r="K11" s="18" t="b">
        <f t="shared" si="0"/>
        <v>1</v>
      </c>
      <c r="L11" s="18" t="b">
        <f t="shared" si="0"/>
        <v>1</v>
      </c>
      <c r="M11" s="18" t="b">
        <f t="shared" si="0"/>
        <v>1</v>
      </c>
      <c r="N11" s="18" t="b">
        <f t="shared" si="0"/>
        <v>1</v>
      </c>
      <c r="O11" s="18" t="b">
        <f t="shared" si="0"/>
        <v>1</v>
      </c>
      <c r="P11" s="18" t="b">
        <f t="shared" si="0"/>
        <v>0</v>
      </c>
    </row>
    <row r="12" spans="1:16">
      <c r="B12" s="18" t="s">
        <v>626</v>
      </c>
      <c r="E12" s="18">
        <f>G4</f>
        <v>9</v>
      </c>
      <c r="F12" s="18" t="b">
        <f>F10=$E$12</f>
        <v>0</v>
      </c>
      <c r="G12" s="18" t="b">
        <f t="shared" ref="G12:P12" si="1">G10=$E$12</f>
        <v>0</v>
      </c>
      <c r="H12" s="18" t="b">
        <f t="shared" si="1"/>
        <v>0</v>
      </c>
      <c r="I12" s="18" t="b">
        <f t="shared" si="1"/>
        <v>0</v>
      </c>
      <c r="J12" s="18" t="b">
        <f t="shared" si="1"/>
        <v>0</v>
      </c>
      <c r="K12" s="18" t="b">
        <f t="shared" si="1"/>
        <v>0</v>
      </c>
      <c r="L12" s="18" t="b">
        <f t="shared" si="1"/>
        <v>0</v>
      </c>
      <c r="M12" s="18" t="b">
        <f t="shared" si="1"/>
        <v>0</v>
      </c>
      <c r="N12" s="18" t="b">
        <f t="shared" si="1"/>
        <v>0</v>
      </c>
      <c r="O12" s="18" t="b">
        <f t="shared" si="1"/>
        <v>1</v>
      </c>
      <c r="P12" s="18" t="b">
        <f t="shared" si="1"/>
        <v>0</v>
      </c>
    </row>
    <row r="13" spans="1:16">
      <c r="B13" s="18" t="s">
        <v>627</v>
      </c>
      <c r="F13" s="34">
        <f t="shared" ref="F13:P13" si="2">LOOKUP(F10,4:4,5:5)</f>
        <v>0</v>
      </c>
      <c r="G13" s="34">
        <f t="shared" si="2"/>
        <v>0</v>
      </c>
      <c r="H13" s="34">
        <f t="shared" si="2"/>
        <v>0</v>
      </c>
      <c r="I13" s="34">
        <f t="shared" si="2"/>
        <v>0</v>
      </c>
      <c r="J13" s="34">
        <f t="shared" si="2"/>
        <v>0</v>
      </c>
      <c r="K13" s="34">
        <f t="shared" si="2"/>
        <v>0</v>
      </c>
      <c r="L13" s="34">
        <f t="shared" si="2"/>
        <v>0</v>
      </c>
      <c r="M13" s="34">
        <f t="shared" si="2"/>
        <v>0</v>
      </c>
      <c r="N13" s="34">
        <f t="shared" si="2"/>
        <v>0</v>
      </c>
      <c r="O13" s="34">
        <f t="shared" si="2"/>
        <v>5000</v>
      </c>
      <c r="P13" s="34">
        <f t="shared" si="2"/>
        <v>0</v>
      </c>
    </row>
    <row r="14" spans="1:16">
      <c r="B14" s="18" t="s">
        <v>628</v>
      </c>
      <c r="E14" s="20">
        <f>F7</f>
        <v>0.05</v>
      </c>
      <c r="F14" s="37">
        <v>1</v>
      </c>
      <c r="G14" s="34">
        <f>F14*(1+$E$14)</f>
        <v>1.05</v>
      </c>
      <c r="H14" s="34">
        <f t="shared" ref="H14:P14" si="3">G14*(1+$E$14)</f>
        <v>1.1025</v>
      </c>
      <c r="I14" s="34">
        <f t="shared" si="3"/>
        <v>1.1576250000000001</v>
      </c>
      <c r="J14" s="34">
        <f t="shared" si="3"/>
        <v>1.2155062500000002</v>
      </c>
      <c r="K14" s="34">
        <f t="shared" si="3"/>
        <v>1.2762815625000004</v>
      </c>
      <c r="L14" s="34">
        <f t="shared" si="3"/>
        <v>1.3400956406250004</v>
      </c>
      <c r="M14" s="34">
        <f t="shared" si="3"/>
        <v>1.4071004226562505</v>
      </c>
      <c r="N14" s="34">
        <f t="shared" si="3"/>
        <v>1.477455443789063</v>
      </c>
      <c r="O14" s="34">
        <f t="shared" si="3"/>
        <v>1.5513282159785162</v>
      </c>
      <c r="P14" s="34">
        <f t="shared" si="3"/>
        <v>1.628894626777442</v>
      </c>
    </row>
    <row r="15" spans="1:16">
      <c r="B15" s="18" t="s">
        <v>629</v>
      </c>
      <c r="E15" s="20">
        <f>E14</f>
        <v>0.05</v>
      </c>
      <c r="F15" s="37">
        <v>1</v>
      </c>
      <c r="G15" s="34">
        <f>F15*(1+$E$15)</f>
        <v>1.05</v>
      </c>
      <c r="H15" s="34">
        <f t="shared" ref="H15:P15" si="4">G15*(1+$E$15)</f>
        <v>1.1025</v>
      </c>
      <c r="I15" s="34">
        <f t="shared" si="4"/>
        <v>1.1576250000000001</v>
      </c>
      <c r="J15" s="34">
        <f t="shared" si="4"/>
        <v>1.2155062500000002</v>
      </c>
      <c r="K15" s="34">
        <f t="shared" si="4"/>
        <v>1.2762815625000004</v>
      </c>
      <c r="L15" s="34">
        <f t="shared" si="4"/>
        <v>1.3400956406250004</v>
      </c>
      <c r="M15" s="34">
        <f t="shared" si="4"/>
        <v>1.4071004226562505</v>
      </c>
      <c r="N15" s="34">
        <f t="shared" si="4"/>
        <v>1.477455443789063</v>
      </c>
      <c r="O15" s="34">
        <f t="shared" si="4"/>
        <v>1.5513282159785162</v>
      </c>
      <c r="P15" s="34">
        <f t="shared" si="4"/>
        <v>1.628894626777442</v>
      </c>
    </row>
    <row r="17" spans="1:16">
      <c r="B17" s="18" t="s">
        <v>630</v>
      </c>
      <c r="F17" s="34">
        <f>SUMPRODUCT(F13:P13/F14:P14)</f>
        <v>3223.0445810889855</v>
      </c>
    </row>
    <row r="18" spans="1:16">
      <c r="B18" s="18" t="s">
        <v>604</v>
      </c>
      <c r="E18" s="29">
        <f>M7/100</f>
        <v>0.01</v>
      </c>
      <c r="F18" s="34"/>
      <c r="G18" s="34">
        <f>$F$8*G11*(1+$E$18)</f>
        <v>457.98490387772836</v>
      </c>
      <c r="H18" s="34">
        <f t="shared" ref="H18:P18" si="5">$F$8*H11*(1+$E$18)</f>
        <v>457.98490387772836</v>
      </c>
      <c r="I18" s="34">
        <f t="shared" si="5"/>
        <v>457.98490387772836</v>
      </c>
      <c r="J18" s="34">
        <f t="shared" si="5"/>
        <v>457.98490387772836</v>
      </c>
      <c r="K18" s="34">
        <f t="shared" si="5"/>
        <v>457.98490387772836</v>
      </c>
      <c r="L18" s="34">
        <f t="shared" si="5"/>
        <v>457.98490387772836</v>
      </c>
      <c r="M18" s="34">
        <f t="shared" si="5"/>
        <v>457.98490387772836</v>
      </c>
      <c r="N18" s="34">
        <f t="shared" si="5"/>
        <v>457.98490387772836</v>
      </c>
      <c r="O18" s="34">
        <f t="shared" si="5"/>
        <v>457.98490387772836</v>
      </c>
      <c r="P18" s="34">
        <f t="shared" si="5"/>
        <v>0</v>
      </c>
    </row>
    <row r="19" spans="1:16">
      <c r="B19" s="18" t="s">
        <v>631</v>
      </c>
      <c r="F19" s="34">
        <f>SUMPRODUCT(G18:P18/G14:P14)</f>
        <v>3255.2750268998752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</row>
    <row r="21" spans="1:16">
      <c r="B21" s="18" t="s">
        <v>658</v>
      </c>
      <c r="F21" s="34">
        <f>F17</f>
        <v>3223.0445810889855</v>
      </c>
      <c r="G21" s="34">
        <f t="shared" ref="G21:P21" si="6">F21*(1+$F$3)*G11</f>
        <v>3384.196810143435</v>
      </c>
      <c r="H21" s="34">
        <f t="shared" si="6"/>
        <v>3553.4066506506069</v>
      </c>
      <c r="I21" s="34">
        <f t="shared" si="6"/>
        <v>3731.0769831831376</v>
      </c>
      <c r="J21" s="34">
        <f t="shared" si="6"/>
        <v>3917.6308323422945</v>
      </c>
      <c r="K21" s="34">
        <f t="shared" si="6"/>
        <v>4113.5123739594092</v>
      </c>
      <c r="L21" s="34">
        <f t="shared" si="6"/>
        <v>4319.1879926573802</v>
      </c>
      <c r="M21" s="34">
        <f t="shared" si="6"/>
        <v>4535.1473922902496</v>
      </c>
      <c r="N21" s="34">
        <f t="shared" si="6"/>
        <v>4761.9047619047624</v>
      </c>
      <c r="O21" s="34">
        <f t="shared" si="6"/>
        <v>5000.0000000000009</v>
      </c>
      <c r="P21" s="34">
        <f t="shared" si="6"/>
        <v>0</v>
      </c>
    </row>
    <row r="23" spans="1:16" s="31" customFormat="1">
      <c r="A23" s="31" t="s">
        <v>734</v>
      </c>
    </row>
    <row r="24" spans="1:16">
      <c r="B24" s="18" t="s">
        <v>637</v>
      </c>
    </row>
    <row r="25" spans="1:16">
      <c r="C25" s="18" t="s">
        <v>51</v>
      </c>
      <c r="G25" s="34">
        <f>F28</f>
        <v>3223.0445810889855</v>
      </c>
      <c r="H25" s="34">
        <f t="shared" ref="H25:P25" si="7">G28</f>
        <v>3384.196810143435</v>
      </c>
      <c r="I25" s="34">
        <f t="shared" si="7"/>
        <v>3553.4066506506069</v>
      </c>
      <c r="J25" s="34">
        <f t="shared" si="7"/>
        <v>3731.0769831831376</v>
      </c>
      <c r="K25" s="34">
        <f t="shared" si="7"/>
        <v>3917.6308323422945</v>
      </c>
      <c r="L25" s="34">
        <f t="shared" si="7"/>
        <v>4113.5123739594092</v>
      </c>
      <c r="M25" s="34">
        <f t="shared" si="7"/>
        <v>4319.1879926573802</v>
      </c>
      <c r="N25" s="34">
        <f t="shared" si="7"/>
        <v>4535.1473922902496</v>
      </c>
      <c r="O25" s="34">
        <f t="shared" si="7"/>
        <v>4761.9047619047624</v>
      </c>
      <c r="P25" s="34">
        <f t="shared" si="7"/>
        <v>0</v>
      </c>
    </row>
    <row r="26" spans="1:16">
      <c r="C26" s="18" t="s">
        <v>638</v>
      </c>
      <c r="E26" s="20">
        <f>F7</f>
        <v>0.05</v>
      </c>
      <c r="G26" s="34">
        <f t="shared" ref="G26:P26" si="8">(G21-F21)*G11</f>
        <v>161.15222905444944</v>
      </c>
      <c r="H26" s="34">
        <f t="shared" si="8"/>
        <v>169.20984050717198</v>
      </c>
      <c r="I26" s="34">
        <f t="shared" si="8"/>
        <v>177.67033253253067</v>
      </c>
      <c r="J26" s="34">
        <f t="shared" si="8"/>
        <v>186.55384915915693</v>
      </c>
      <c r="K26" s="34">
        <f t="shared" si="8"/>
        <v>195.88154161711464</v>
      </c>
      <c r="L26" s="34">
        <f t="shared" si="8"/>
        <v>205.675618697971</v>
      </c>
      <c r="M26" s="34">
        <f t="shared" si="8"/>
        <v>215.95939963286946</v>
      </c>
      <c r="N26" s="34">
        <f t="shared" si="8"/>
        <v>226.75736961451275</v>
      </c>
      <c r="O26" s="34">
        <f t="shared" si="8"/>
        <v>238.09523809523853</v>
      </c>
      <c r="P26" s="34">
        <f t="shared" si="8"/>
        <v>0</v>
      </c>
    </row>
    <row r="27" spans="1:16">
      <c r="C27" s="18" t="s">
        <v>639</v>
      </c>
      <c r="G27" s="34">
        <f t="shared" ref="G27:P27" si="9">G13</f>
        <v>0</v>
      </c>
      <c r="H27" s="34">
        <f t="shared" si="9"/>
        <v>0</v>
      </c>
      <c r="I27" s="34">
        <f t="shared" si="9"/>
        <v>0</v>
      </c>
      <c r="J27" s="34">
        <f t="shared" si="9"/>
        <v>0</v>
      </c>
      <c r="K27" s="34">
        <f t="shared" si="9"/>
        <v>0</v>
      </c>
      <c r="L27" s="34">
        <f t="shared" si="9"/>
        <v>0</v>
      </c>
      <c r="M27" s="34">
        <f t="shared" si="9"/>
        <v>0</v>
      </c>
      <c r="N27" s="34">
        <f t="shared" si="9"/>
        <v>0</v>
      </c>
      <c r="O27" s="34">
        <f t="shared" si="9"/>
        <v>5000</v>
      </c>
      <c r="P27" s="34">
        <f t="shared" si="9"/>
        <v>0</v>
      </c>
    </row>
    <row r="28" spans="1:16">
      <c r="C28" s="18" t="s">
        <v>54</v>
      </c>
      <c r="F28" s="34">
        <f>F17</f>
        <v>3223.0445810889855</v>
      </c>
      <c r="G28" s="34">
        <f>G25+G26-G27</f>
        <v>3384.196810143435</v>
      </c>
      <c r="H28" s="34">
        <f t="shared" ref="H28:P28" si="10">H25+H26-H27</f>
        <v>3553.4066506506069</v>
      </c>
      <c r="I28" s="34">
        <f t="shared" si="10"/>
        <v>3731.0769831831376</v>
      </c>
      <c r="J28" s="34">
        <f t="shared" si="10"/>
        <v>3917.6308323422945</v>
      </c>
      <c r="K28" s="34">
        <f t="shared" si="10"/>
        <v>4113.5123739594092</v>
      </c>
      <c r="L28" s="34">
        <f t="shared" si="10"/>
        <v>4319.1879926573802</v>
      </c>
      <c r="M28" s="34">
        <f t="shared" si="10"/>
        <v>4535.1473922902496</v>
      </c>
      <c r="N28" s="34">
        <f t="shared" si="10"/>
        <v>4761.9047619047624</v>
      </c>
      <c r="O28" s="34">
        <f t="shared" si="10"/>
        <v>0</v>
      </c>
      <c r="P28" s="34">
        <f t="shared" si="10"/>
        <v>0</v>
      </c>
    </row>
    <row r="30" spans="1:16">
      <c r="B30" s="18" t="s">
        <v>640</v>
      </c>
    </row>
    <row r="31" spans="1:16">
      <c r="C31" s="18" t="s">
        <v>51</v>
      </c>
      <c r="G31" s="34">
        <f>F34</f>
        <v>3223.0445810889855</v>
      </c>
      <c r="H31" s="34">
        <f t="shared" ref="H31:P31" si="11">G34</f>
        <v>2930.7464102644958</v>
      </c>
      <c r="I31" s="34">
        <f t="shared" si="11"/>
        <v>2623.8333308987812</v>
      </c>
      <c r="J31" s="34">
        <f t="shared" si="11"/>
        <v>2301.574597564781</v>
      </c>
      <c r="K31" s="34">
        <f t="shared" si="11"/>
        <v>1963.2029275640812</v>
      </c>
      <c r="L31" s="34">
        <f t="shared" si="11"/>
        <v>1607.9126740633462</v>
      </c>
      <c r="M31" s="34">
        <f t="shared" si="11"/>
        <v>1234.8579078875746</v>
      </c>
      <c r="N31" s="34">
        <f t="shared" si="11"/>
        <v>843.15040340301437</v>
      </c>
      <c r="O31" s="34">
        <f t="shared" si="11"/>
        <v>431.85752369422607</v>
      </c>
      <c r="P31" s="34">
        <f t="shared" si="11"/>
        <v>-1.6022738691390259E-12</v>
      </c>
    </row>
    <row r="32" spans="1:16">
      <c r="C32" s="18" t="s">
        <v>641</v>
      </c>
      <c r="G32" s="34">
        <f t="shared" ref="G32:P32" si="12">$F$8*G11</f>
        <v>453.45039987893898</v>
      </c>
      <c r="H32" s="34">
        <f t="shared" si="12"/>
        <v>453.45039987893898</v>
      </c>
      <c r="I32" s="34">
        <f t="shared" si="12"/>
        <v>453.45039987893898</v>
      </c>
      <c r="J32" s="34">
        <f t="shared" si="12"/>
        <v>453.45039987893898</v>
      </c>
      <c r="K32" s="34">
        <f t="shared" si="12"/>
        <v>453.45039987893898</v>
      </c>
      <c r="L32" s="34">
        <f t="shared" si="12"/>
        <v>453.45039987893898</v>
      </c>
      <c r="M32" s="34">
        <f t="shared" si="12"/>
        <v>453.45039987893898</v>
      </c>
      <c r="N32" s="34">
        <f t="shared" si="12"/>
        <v>453.45039987893898</v>
      </c>
      <c r="O32" s="34">
        <f t="shared" si="12"/>
        <v>453.45039987893898</v>
      </c>
      <c r="P32" s="34">
        <f t="shared" si="12"/>
        <v>0</v>
      </c>
    </row>
    <row r="33" spans="2:16">
      <c r="C33" s="18" t="s">
        <v>642</v>
      </c>
      <c r="G33" s="34">
        <f>G31*$F$3</f>
        <v>161.15222905444929</v>
      </c>
      <c r="H33" s="34">
        <f t="shared" ref="H33:P33" si="13">H31*$F$3</f>
        <v>146.53732051322478</v>
      </c>
      <c r="I33" s="34">
        <f t="shared" si="13"/>
        <v>131.19166654493907</v>
      </c>
      <c r="J33" s="34">
        <f t="shared" si="13"/>
        <v>115.07872987823906</v>
      </c>
      <c r="K33" s="34">
        <f t="shared" si="13"/>
        <v>98.160146378204061</v>
      </c>
      <c r="L33" s="34">
        <f t="shared" si="13"/>
        <v>80.39563370316732</v>
      </c>
      <c r="M33" s="34">
        <f t="shared" si="13"/>
        <v>61.742895394378735</v>
      </c>
      <c r="N33" s="34">
        <f t="shared" si="13"/>
        <v>42.157520170150718</v>
      </c>
      <c r="O33" s="34">
        <f t="shared" si="13"/>
        <v>21.592876184711304</v>
      </c>
      <c r="P33" s="34">
        <f t="shared" si="13"/>
        <v>-8.0113693456951298E-14</v>
      </c>
    </row>
    <row r="34" spans="2:16">
      <c r="C34" s="18" t="s">
        <v>54</v>
      </c>
      <c r="F34" s="34">
        <f>F28</f>
        <v>3223.0445810889855</v>
      </c>
      <c r="G34" s="34">
        <f>G31-G32+G33</f>
        <v>2930.7464102644958</v>
      </c>
      <c r="H34" s="34">
        <f t="shared" ref="H34:P34" si="14">H31-H32+H33</f>
        <v>2623.8333308987812</v>
      </c>
      <c r="I34" s="34">
        <f t="shared" si="14"/>
        <v>2301.574597564781</v>
      </c>
      <c r="J34" s="34">
        <f t="shared" si="14"/>
        <v>1963.2029275640812</v>
      </c>
      <c r="K34" s="34">
        <f t="shared" si="14"/>
        <v>1607.9126740633462</v>
      </c>
      <c r="L34" s="34">
        <f t="shared" si="14"/>
        <v>1234.8579078875746</v>
      </c>
      <c r="M34" s="34">
        <f t="shared" si="14"/>
        <v>843.15040340301437</v>
      </c>
      <c r="N34" s="34">
        <f t="shared" si="14"/>
        <v>431.85752369422607</v>
      </c>
      <c r="O34" s="34">
        <f t="shared" si="14"/>
        <v>-1.6022738691390259E-12</v>
      </c>
      <c r="P34" s="34">
        <f t="shared" si="14"/>
        <v>-1.6823875625959773E-12</v>
      </c>
    </row>
    <row r="36" spans="2:16" ht="15" thickBot="1">
      <c r="B36" s="35" t="s">
        <v>659</v>
      </c>
      <c r="C36" s="35"/>
      <c r="D36" s="35"/>
      <c r="E36" s="35"/>
      <c r="F36" s="36">
        <f>F28-F34</f>
        <v>0</v>
      </c>
      <c r="G36" s="36">
        <f t="shared" ref="G36:P36" si="15">G28-G34</f>
        <v>453.45039987893915</v>
      </c>
      <c r="H36" s="36">
        <f t="shared" si="15"/>
        <v>929.57331975182569</v>
      </c>
      <c r="I36" s="36">
        <f t="shared" si="15"/>
        <v>1429.5023856183566</v>
      </c>
      <c r="J36" s="36">
        <f t="shared" si="15"/>
        <v>1954.4279047782134</v>
      </c>
      <c r="K36" s="36">
        <f t="shared" si="15"/>
        <v>2505.5996998960627</v>
      </c>
      <c r="L36" s="36">
        <f t="shared" si="15"/>
        <v>3084.3300847698056</v>
      </c>
      <c r="M36" s="36">
        <f t="shared" si="15"/>
        <v>3691.9969888872351</v>
      </c>
      <c r="N36" s="36">
        <f t="shared" si="15"/>
        <v>4330.0472382105363</v>
      </c>
      <c r="O36" s="36">
        <f t="shared" si="15"/>
        <v>1.6022738691390259E-12</v>
      </c>
      <c r="P36" s="36">
        <f t="shared" si="15"/>
        <v>1.6823875625959773E-12</v>
      </c>
    </row>
    <row r="38" spans="2:16">
      <c r="B38" s="18" t="s">
        <v>599</v>
      </c>
      <c r="G38" s="34">
        <f t="shared" ref="G38:P38" si="16">IF(G18,G36/G18)</f>
        <v>0.99009900990099053</v>
      </c>
      <c r="H38" s="34">
        <f t="shared" si="16"/>
        <v>2.0297029702970315</v>
      </c>
      <c r="I38" s="34">
        <f t="shared" si="16"/>
        <v>3.1212871287128747</v>
      </c>
      <c r="J38" s="34">
        <f t="shared" si="16"/>
        <v>4.2674504950495082</v>
      </c>
      <c r="K38" s="34">
        <f t="shared" si="16"/>
        <v>5.4709220297029733</v>
      </c>
      <c r="L38" s="34">
        <f t="shared" si="16"/>
        <v>6.7345671410891139</v>
      </c>
      <c r="M38" s="34">
        <f t="shared" si="16"/>
        <v>8.0613945080445593</v>
      </c>
      <c r="N38" s="34">
        <f t="shared" si="16"/>
        <v>9.4545632433477795</v>
      </c>
      <c r="O38" s="34">
        <f t="shared" si="16"/>
        <v>3.4985298763620316E-15</v>
      </c>
      <c r="P38" s="34" t="b">
        <f t="shared" si="16"/>
        <v>0</v>
      </c>
    </row>
    <row r="40" spans="2:16">
      <c r="B40" s="18" t="s">
        <v>50</v>
      </c>
    </row>
    <row r="41" spans="2:16">
      <c r="C41" s="18" t="s">
        <v>51</v>
      </c>
      <c r="G41" s="34">
        <f>F45</f>
        <v>0</v>
      </c>
      <c r="H41" s="34">
        <f t="shared" ref="H41:P41" si="17">G45</f>
        <v>457.98490387772836</v>
      </c>
      <c r="I41" s="34">
        <f t="shared" si="17"/>
        <v>938.86905294934309</v>
      </c>
      <c r="J41" s="34">
        <f t="shared" si="17"/>
        <v>1443.7974094745387</v>
      </c>
      <c r="K41" s="34">
        <f t="shared" si="17"/>
        <v>1973.9721838259939</v>
      </c>
      <c r="L41" s="34">
        <f t="shared" si="17"/>
        <v>2530.6556968950217</v>
      </c>
      <c r="M41" s="34">
        <f t="shared" si="17"/>
        <v>3115.173385617501</v>
      </c>
      <c r="N41" s="34">
        <f t="shared" si="17"/>
        <v>3728.9169587761044</v>
      </c>
      <c r="O41" s="34">
        <f t="shared" si="17"/>
        <v>4373.3477105926377</v>
      </c>
      <c r="P41" s="34">
        <f t="shared" si="17"/>
        <v>-2.5579538487363607E-13</v>
      </c>
    </row>
    <row r="42" spans="2:16">
      <c r="C42" s="18" t="s">
        <v>644</v>
      </c>
      <c r="G42" s="34">
        <f t="shared" ref="G42:P42" si="18">G18</f>
        <v>457.98490387772836</v>
      </c>
      <c r="H42" s="34">
        <f t="shared" si="18"/>
        <v>457.98490387772836</v>
      </c>
      <c r="I42" s="34">
        <f t="shared" si="18"/>
        <v>457.98490387772836</v>
      </c>
      <c r="J42" s="34">
        <f t="shared" si="18"/>
        <v>457.98490387772836</v>
      </c>
      <c r="K42" s="34">
        <f t="shared" si="18"/>
        <v>457.98490387772836</v>
      </c>
      <c r="L42" s="34">
        <f t="shared" si="18"/>
        <v>457.98490387772836</v>
      </c>
      <c r="M42" s="34">
        <f t="shared" si="18"/>
        <v>457.98490387772836</v>
      </c>
      <c r="N42" s="34">
        <f t="shared" si="18"/>
        <v>457.98490387772836</v>
      </c>
      <c r="O42" s="34">
        <f t="shared" si="18"/>
        <v>457.98490387772836</v>
      </c>
      <c r="P42" s="34">
        <f t="shared" si="18"/>
        <v>0</v>
      </c>
    </row>
    <row r="43" spans="2:16">
      <c r="C43" s="18" t="s">
        <v>642</v>
      </c>
      <c r="G43" s="34">
        <f>G46</f>
        <v>0</v>
      </c>
      <c r="H43" s="34">
        <f t="shared" ref="H43:P43" si="19">H46</f>
        <v>22.899245193886419</v>
      </c>
      <c r="I43" s="34">
        <f t="shared" si="19"/>
        <v>46.943452647467154</v>
      </c>
      <c r="J43" s="34">
        <f t="shared" si="19"/>
        <v>72.189870473726941</v>
      </c>
      <c r="K43" s="34">
        <f t="shared" si="19"/>
        <v>98.698609191299695</v>
      </c>
      <c r="L43" s="34">
        <f t="shared" si="19"/>
        <v>126.53278484475109</v>
      </c>
      <c r="M43" s="34">
        <f t="shared" si="19"/>
        <v>155.75866928087507</v>
      </c>
      <c r="N43" s="34">
        <f t="shared" si="19"/>
        <v>186.44584793880523</v>
      </c>
      <c r="O43" s="34">
        <f t="shared" si="19"/>
        <v>218.6673855296319</v>
      </c>
      <c r="P43" s="34">
        <f t="shared" si="19"/>
        <v>-1.2789769243681804E-14</v>
      </c>
    </row>
    <row r="44" spans="2:16">
      <c r="C44" s="18" t="s">
        <v>645</v>
      </c>
      <c r="G44" s="34">
        <f t="shared" ref="G44:P44" si="20">(G41+G42+G43)*G12</f>
        <v>0</v>
      </c>
      <c r="H44" s="34">
        <f t="shared" si="20"/>
        <v>0</v>
      </c>
      <c r="I44" s="34">
        <f t="shared" si="20"/>
        <v>0</v>
      </c>
      <c r="J44" s="34">
        <f t="shared" si="20"/>
        <v>0</v>
      </c>
      <c r="K44" s="34">
        <f t="shared" si="20"/>
        <v>0</v>
      </c>
      <c r="L44" s="34">
        <f t="shared" si="20"/>
        <v>0</v>
      </c>
      <c r="M44" s="34">
        <f t="shared" si="20"/>
        <v>0</v>
      </c>
      <c r="N44" s="34">
        <f t="shared" si="20"/>
        <v>0</v>
      </c>
      <c r="O44" s="34">
        <f t="shared" si="20"/>
        <v>5049.9999999999982</v>
      </c>
      <c r="P44" s="34">
        <f t="shared" si="20"/>
        <v>0</v>
      </c>
    </row>
    <row r="45" spans="2:16" ht="15" thickBot="1">
      <c r="C45" s="35" t="s">
        <v>54</v>
      </c>
      <c r="D45" s="35"/>
      <c r="E45" s="35"/>
      <c r="F45" s="35"/>
      <c r="G45" s="36">
        <f>G41+G42-G44+G43</f>
        <v>457.98490387772836</v>
      </c>
      <c r="H45" s="36">
        <f t="shared" ref="H45:P45" si="21">H41+H42-H44+H43</f>
        <v>938.86905294934309</v>
      </c>
      <c r="I45" s="36">
        <f t="shared" si="21"/>
        <v>1443.7974094745387</v>
      </c>
      <c r="J45" s="36">
        <f t="shared" si="21"/>
        <v>1973.9721838259939</v>
      </c>
      <c r="K45" s="36">
        <f t="shared" si="21"/>
        <v>2530.6556968950217</v>
      </c>
      <c r="L45" s="36">
        <f t="shared" si="21"/>
        <v>3115.173385617501</v>
      </c>
      <c r="M45" s="36">
        <f t="shared" si="21"/>
        <v>3728.9169587761044</v>
      </c>
      <c r="N45" s="36">
        <f t="shared" si="21"/>
        <v>4373.3477105926377</v>
      </c>
      <c r="O45" s="36">
        <f t="shared" si="21"/>
        <v>-2.5579538487363607E-13</v>
      </c>
      <c r="P45" s="36">
        <f t="shared" si="21"/>
        <v>-2.6858515411731785E-13</v>
      </c>
    </row>
    <row r="46" spans="2:16">
      <c r="F46" s="20">
        <f>F3</f>
        <v>0.05</v>
      </c>
      <c r="G46" s="34">
        <f>G41*$F$46</f>
        <v>0</v>
      </c>
      <c r="H46" s="34">
        <f t="shared" ref="H46:P46" si="22">H41*$F$46</f>
        <v>22.899245193886419</v>
      </c>
      <c r="I46" s="34">
        <f t="shared" si="22"/>
        <v>46.943452647467154</v>
      </c>
      <c r="J46" s="34">
        <f t="shared" si="22"/>
        <v>72.189870473726941</v>
      </c>
      <c r="K46" s="34">
        <f t="shared" si="22"/>
        <v>98.698609191299695</v>
      </c>
      <c r="L46" s="34">
        <f t="shared" si="22"/>
        <v>126.53278484475109</v>
      </c>
      <c r="M46" s="34">
        <f t="shared" si="22"/>
        <v>155.75866928087507</v>
      </c>
      <c r="N46" s="34">
        <f t="shared" si="22"/>
        <v>186.44584793880523</v>
      </c>
      <c r="O46" s="34">
        <f t="shared" si="22"/>
        <v>218.6673855296319</v>
      </c>
      <c r="P46" s="34">
        <f t="shared" si="22"/>
        <v>-1.2789769243681804E-14</v>
      </c>
    </row>
    <row r="47" spans="2:16">
      <c r="F47" s="20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>
      <c r="B48" s="18" t="s">
        <v>608</v>
      </c>
      <c r="G48" s="34">
        <f t="shared" ref="G48:P48" si="23">G45/G36</f>
        <v>1.0099999999999996</v>
      </c>
      <c r="H48" s="34">
        <f t="shared" si="23"/>
        <v>1.0099999999999991</v>
      </c>
      <c r="I48" s="34">
        <f t="shared" si="23"/>
        <v>1.0099999999999989</v>
      </c>
      <c r="J48" s="34">
        <f t="shared" si="23"/>
        <v>1.0099999999999991</v>
      </c>
      <c r="K48" s="34">
        <f t="shared" si="23"/>
        <v>1.0099999999999993</v>
      </c>
      <c r="L48" s="34">
        <f t="shared" si="23"/>
        <v>1.0099999999999991</v>
      </c>
      <c r="M48" s="34">
        <f t="shared" si="23"/>
        <v>1.0099999999999991</v>
      </c>
      <c r="N48" s="34">
        <f t="shared" si="23"/>
        <v>1.0099999999999991</v>
      </c>
      <c r="O48" s="34">
        <f t="shared" si="23"/>
        <v>-0.15964523281596452</v>
      </c>
      <c r="P48" s="34">
        <f t="shared" si="23"/>
        <v>-0.15964523281596452</v>
      </c>
    </row>
    <row r="50" spans="1:16">
      <c r="B50" s="18" t="s">
        <v>242</v>
      </c>
    </row>
    <row r="51" spans="1:16">
      <c r="C51" s="18" t="s">
        <v>632</v>
      </c>
      <c r="G51" s="34">
        <f t="shared" ref="G51:P51" si="24">G27</f>
        <v>0</v>
      </c>
      <c r="H51" s="34">
        <f t="shared" si="24"/>
        <v>0</v>
      </c>
      <c r="I51" s="34">
        <f t="shared" si="24"/>
        <v>0</v>
      </c>
      <c r="J51" s="34">
        <f t="shared" si="24"/>
        <v>0</v>
      </c>
      <c r="K51" s="34">
        <f t="shared" si="24"/>
        <v>0</v>
      </c>
      <c r="L51" s="34">
        <f t="shared" si="24"/>
        <v>0</v>
      </c>
      <c r="M51" s="34">
        <f t="shared" si="24"/>
        <v>0</v>
      </c>
      <c r="N51" s="34">
        <f t="shared" si="24"/>
        <v>0</v>
      </c>
      <c r="O51" s="34">
        <f t="shared" si="24"/>
        <v>5000</v>
      </c>
      <c r="P51" s="34">
        <f t="shared" si="24"/>
        <v>0</v>
      </c>
    </row>
    <row r="52" spans="1:16">
      <c r="C52" s="18" t="s">
        <v>633</v>
      </c>
      <c r="G52" s="34">
        <f t="shared" ref="G52:P52" si="25">G32</f>
        <v>453.45039987893898</v>
      </c>
      <c r="H52" s="34">
        <f t="shared" si="25"/>
        <v>453.45039987893898</v>
      </c>
      <c r="I52" s="34">
        <f t="shared" si="25"/>
        <v>453.45039987893898</v>
      </c>
      <c r="J52" s="34">
        <f t="shared" si="25"/>
        <v>453.45039987893898</v>
      </c>
      <c r="K52" s="34">
        <f t="shared" si="25"/>
        <v>453.45039987893898</v>
      </c>
      <c r="L52" s="34">
        <f t="shared" si="25"/>
        <v>453.45039987893898</v>
      </c>
      <c r="M52" s="34">
        <f t="shared" si="25"/>
        <v>453.45039987893898</v>
      </c>
      <c r="N52" s="34">
        <f t="shared" si="25"/>
        <v>453.45039987893898</v>
      </c>
      <c r="O52" s="34">
        <f t="shared" si="25"/>
        <v>453.45039987893898</v>
      </c>
      <c r="P52" s="34">
        <f t="shared" si="25"/>
        <v>0</v>
      </c>
    </row>
    <row r="53" spans="1:16">
      <c r="C53" s="18" t="s">
        <v>634</v>
      </c>
      <c r="G53" s="34">
        <f>G52-G51</f>
        <v>453.45039987893898</v>
      </c>
      <c r="H53" s="34">
        <f t="shared" ref="H53:P53" si="26">H52-H51</f>
        <v>453.45039987893898</v>
      </c>
      <c r="I53" s="34">
        <f t="shared" si="26"/>
        <v>453.45039987893898</v>
      </c>
      <c r="J53" s="34">
        <f t="shared" si="26"/>
        <v>453.45039987893898</v>
      </c>
      <c r="K53" s="34">
        <f t="shared" si="26"/>
        <v>453.45039987893898</v>
      </c>
      <c r="L53" s="34">
        <f t="shared" si="26"/>
        <v>453.45039987893898</v>
      </c>
      <c r="M53" s="34">
        <f t="shared" si="26"/>
        <v>453.45039987893898</v>
      </c>
      <c r="N53" s="34">
        <f t="shared" si="26"/>
        <v>453.45039987893898</v>
      </c>
      <c r="O53" s="34">
        <f t="shared" si="26"/>
        <v>-4546.5496001210613</v>
      </c>
      <c r="P53" s="34">
        <f t="shared" si="26"/>
        <v>0</v>
      </c>
    </row>
    <row r="54" spans="1:16">
      <c r="C54" s="18" t="s">
        <v>635</v>
      </c>
      <c r="F54" s="20">
        <f>IRR(53:53)</f>
        <v>5.0000000000007372E-2</v>
      </c>
    </row>
    <row r="56" spans="1:16" s="31" customFormat="1">
      <c r="A56" s="31" t="s">
        <v>647</v>
      </c>
    </row>
    <row r="57" spans="1:16">
      <c r="B57" s="18" t="s">
        <v>652</v>
      </c>
    </row>
    <row r="58" spans="1:16">
      <c r="C58" s="18" t="s">
        <v>653</v>
      </c>
      <c r="G58" s="34">
        <f t="shared" ref="G58:P58" si="27">G18</f>
        <v>457.98490387772836</v>
      </c>
      <c r="H58" s="34">
        <f t="shared" si="27"/>
        <v>457.98490387772836</v>
      </c>
      <c r="I58" s="34">
        <f t="shared" si="27"/>
        <v>457.98490387772836</v>
      </c>
      <c r="J58" s="34">
        <f t="shared" si="27"/>
        <v>457.98490387772836</v>
      </c>
      <c r="K58" s="34">
        <f t="shared" si="27"/>
        <v>457.98490387772836</v>
      </c>
      <c r="L58" s="34">
        <f t="shared" si="27"/>
        <v>457.98490387772836</v>
      </c>
      <c r="M58" s="34">
        <f t="shared" si="27"/>
        <v>457.98490387772836</v>
      </c>
      <c r="N58" s="34">
        <f t="shared" si="27"/>
        <v>457.98490387772836</v>
      </c>
      <c r="O58" s="34">
        <f t="shared" si="27"/>
        <v>457.98490387772836</v>
      </c>
      <c r="P58" s="34">
        <f t="shared" si="27"/>
        <v>0</v>
      </c>
    </row>
    <row r="59" spans="1:16">
      <c r="C59" s="18" t="s">
        <v>346</v>
      </c>
      <c r="G59" s="34">
        <f>G46</f>
        <v>0</v>
      </c>
      <c r="H59" s="34">
        <f t="shared" ref="H59:P59" si="28">H46</f>
        <v>22.899245193886419</v>
      </c>
      <c r="I59" s="34">
        <f t="shared" si="28"/>
        <v>46.943452647467154</v>
      </c>
      <c r="J59" s="34">
        <f t="shared" si="28"/>
        <v>72.189870473726941</v>
      </c>
      <c r="K59" s="34">
        <f t="shared" si="28"/>
        <v>98.698609191299695</v>
      </c>
      <c r="L59" s="34">
        <f t="shared" si="28"/>
        <v>126.53278484475109</v>
      </c>
      <c r="M59" s="34">
        <f t="shared" si="28"/>
        <v>155.75866928087507</v>
      </c>
      <c r="N59" s="34">
        <f t="shared" si="28"/>
        <v>186.44584793880523</v>
      </c>
      <c r="O59" s="34">
        <f t="shared" si="28"/>
        <v>218.6673855296319</v>
      </c>
      <c r="P59" s="34">
        <f t="shared" si="28"/>
        <v>-1.2789769243681804E-14</v>
      </c>
    </row>
    <row r="60" spans="1:16">
      <c r="C60" s="18" t="s">
        <v>660</v>
      </c>
      <c r="G60" s="34">
        <f t="shared" ref="G60:P60" si="29">G36-F36</f>
        <v>453.45039987893915</v>
      </c>
      <c r="H60" s="34">
        <f t="shared" si="29"/>
        <v>476.12291987288654</v>
      </c>
      <c r="I60" s="34">
        <f t="shared" si="29"/>
        <v>499.92906586653089</v>
      </c>
      <c r="J60" s="34">
        <f t="shared" si="29"/>
        <v>524.92551915985678</v>
      </c>
      <c r="K60" s="34">
        <f t="shared" si="29"/>
        <v>551.17179511784934</v>
      </c>
      <c r="L60" s="34">
        <f t="shared" si="29"/>
        <v>578.73038487374288</v>
      </c>
      <c r="M60" s="34">
        <f t="shared" si="29"/>
        <v>607.66690411742957</v>
      </c>
      <c r="N60" s="34">
        <f t="shared" si="29"/>
        <v>638.05024932330116</v>
      </c>
      <c r="O60" s="34">
        <f t="shared" si="29"/>
        <v>-4330.0472382105345</v>
      </c>
      <c r="P60" s="34">
        <f t="shared" si="29"/>
        <v>8.0113693456951336E-14</v>
      </c>
    </row>
    <row r="61" spans="1:16">
      <c r="C61" s="18" t="s">
        <v>661</v>
      </c>
      <c r="G61" s="34">
        <f t="shared" ref="G61:P61" si="30">G27</f>
        <v>0</v>
      </c>
      <c r="H61" s="34">
        <f t="shared" si="30"/>
        <v>0</v>
      </c>
      <c r="I61" s="34">
        <f t="shared" si="30"/>
        <v>0</v>
      </c>
      <c r="J61" s="34">
        <f t="shared" si="30"/>
        <v>0</v>
      </c>
      <c r="K61" s="34">
        <f t="shared" si="30"/>
        <v>0</v>
      </c>
      <c r="L61" s="34">
        <f t="shared" si="30"/>
        <v>0</v>
      </c>
      <c r="M61" s="34">
        <f t="shared" si="30"/>
        <v>0</v>
      </c>
      <c r="N61" s="34">
        <f t="shared" si="30"/>
        <v>0</v>
      </c>
      <c r="O61" s="34">
        <f t="shared" si="30"/>
        <v>5000</v>
      </c>
      <c r="P61" s="34">
        <f t="shared" si="30"/>
        <v>0</v>
      </c>
    </row>
    <row r="62" spans="1:16" ht="15" thickBot="1">
      <c r="D62" s="35" t="s">
        <v>234</v>
      </c>
      <c r="E62" s="35"/>
      <c r="F62" s="35"/>
      <c r="G62" s="36">
        <f>G58+G59-G60-G61</f>
        <v>4.5345039987892051</v>
      </c>
      <c r="H62" s="36">
        <f t="shared" ref="H62:P62" si="31">H58+H59-H60-H61</f>
        <v>4.7612291987282447</v>
      </c>
      <c r="I62" s="36">
        <f t="shared" si="31"/>
        <v>4.99929065866462</v>
      </c>
      <c r="J62" s="36">
        <f t="shared" si="31"/>
        <v>5.2492551915985359</v>
      </c>
      <c r="K62" s="36">
        <f t="shared" si="31"/>
        <v>5.5117179511787526</v>
      </c>
      <c r="L62" s="36">
        <f t="shared" si="31"/>
        <v>5.787303848736542</v>
      </c>
      <c r="M62" s="36">
        <f t="shared" si="31"/>
        <v>6.0766690411738864</v>
      </c>
      <c r="N62" s="36">
        <f t="shared" si="31"/>
        <v>6.3805024932323704</v>
      </c>
      <c r="O62" s="36">
        <f t="shared" si="31"/>
        <v>6.6995276178950007</v>
      </c>
      <c r="P62" s="36">
        <f t="shared" si="31"/>
        <v>-9.2903462700633145E-14</v>
      </c>
    </row>
    <row r="64" spans="1:16">
      <c r="B64" s="18" t="s">
        <v>242</v>
      </c>
    </row>
    <row r="65" spans="2:16">
      <c r="C65" s="18" t="s">
        <v>652</v>
      </c>
      <c r="G65" s="34">
        <f>G62</f>
        <v>4.5345039987892051</v>
      </c>
      <c r="H65" s="34">
        <f t="shared" ref="H65:P65" si="32">H62</f>
        <v>4.7612291987282447</v>
      </c>
      <c r="I65" s="34">
        <f t="shared" si="32"/>
        <v>4.99929065866462</v>
      </c>
      <c r="J65" s="34">
        <f t="shared" si="32"/>
        <v>5.2492551915985359</v>
      </c>
      <c r="K65" s="34">
        <f t="shared" si="32"/>
        <v>5.5117179511787526</v>
      </c>
      <c r="L65" s="34">
        <f t="shared" si="32"/>
        <v>5.787303848736542</v>
      </c>
      <c r="M65" s="34">
        <f t="shared" si="32"/>
        <v>6.0766690411738864</v>
      </c>
      <c r="N65" s="34">
        <f t="shared" si="32"/>
        <v>6.3805024932323704</v>
      </c>
      <c r="O65" s="34">
        <f t="shared" si="32"/>
        <v>6.6995276178950007</v>
      </c>
      <c r="P65" s="34">
        <f t="shared" si="32"/>
        <v>-9.2903462700633145E-14</v>
      </c>
    </row>
    <row r="66" spans="2:16">
      <c r="C66" s="18" t="s">
        <v>619</v>
      </c>
      <c r="G66" s="34">
        <f t="shared" ref="G66:P66" si="33">G36-F36</f>
        <v>453.45039987893915</v>
      </c>
      <c r="H66" s="34">
        <f t="shared" si="33"/>
        <v>476.12291987288654</v>
      </c>
      <c r="I66" s="34">
        <f t="shared" si="33"/>
        <v>499.92906586653089</v>
      </c>
      <c r="J66" s="34">
        <f t="shared" si="33"/>
        <v>524.92551915985678</v>
      </c>
      <c r="K66" s="34">
        <f t="shared" si="33"/>
        <v>551.17179511784934</v>
      </c>
      <c r="L66" s="34">
        <f t="shared" si="33"/>
        <v>578.73038487374288</v>
      </c>
      <c r="M66" s="34">
        <f t="shared" si="33"/>
        <v>607.66690411742957</v>
      </c>
      <c r="N66" s="34">
        <f t="shared" si="33"/>
        <v>638.05024932330116</v>
      </c>
      <c r="O66" s="34">
        <f t="shared" si="33"/>
        <v>-4330.0472382105345</v>
      </c>
      <c r="P66" s="34">
        <f t="shared" si="33"/>
        <v>8.0113693456951336E-14</v>
      </c>
    </row>
    <row r="67" spans="2:16">
      <c r="C67" s="18" t="s">
        <v>618</v>
      </c>
      <c r="G67" s="34">
        <f>G45-F45</f>
        <v>457.98490387772836</v>
      </c>
      <c r="H67" s="34">
        <f t="shared" ref="H67:P67" si="34">H45-G45</f>
        <v>480.88414907161473</v>
      </c>
      <c r="I67" s="34">
        <f t="shared" si="34"/>
        <v>504.92835652519557</v>
      </c>
      <c r="J67" s="34">
        <f t="shared" si="34"/>
        <v>530.1747743514552</v>
      </c>
      <c r="K67" s="34">
        <f t="shared" si="34"/>
        <v>556.68351306902787</v>
      </c>
      <c r="L67" s="34">
        <f t="shared" si="34"/>
        <v>584.51768872247931</v>
      </c>
      <c r="M67" s="34">
        <f t="shared" si="34"/>
        <v>613.74357315860334</v>
      </c>
      <c r="N67" s="34">
        <f t="shared" si="34"/>
        <v>644.4307518165333</v>
      </c>
      <c r="O67" s="34">
        <f t="shared" si="34"/>
        <v>-4373.3477105926377</v>
      </c>
      <c r="P67" s="34">
        <f t="shared" si="34"/>
        <v>-1.2789769243681783E-14</v>
      </c>
    </row>
    <row r="68" spans="2:16" ht="15" thickBot="1">
      <c r="D68" s="35" t="s">
        <v>360</v>
      </c>
      <c r="E68" s="35"/>
      <c r="F68" s="35"/>
      <c r="G68" s="36">
        <f>G65+G66-G67</f>
        <v>0</v>
      </c>
      <c r="H68" s="36">
        <f t="shared" ref="H68:P68" si="35">H65+H66-H67</f>
        <v>0</v>
      </c>
      <c r="I68" s="36">
        <f t="shared" si="35"/>
        <v>0</v>
      </c>
      <c r="J68" s="36">
        <f t="shared" si="35"/>
        <v>0</v>
      </c>
      <c r="K68" s="36">
        <f t="shared" si="35"/>
        <v>0</v>
      </c>
      <c r="L68" s="36">
        <f t="shared" si="35"/>
        <v>0</v>
      </c>
      <c r="M68" s="36">
        <f t="shared" si="35"/>
        <v>0</v>
      </c>
      <c r="N68" s="36">
        <f t="shared" si="35"/>
        <v>0</v>
      </c>
      <c r="O68" s="36">
        <f t="shared" si="35"/>
        <v>49.999999999998181</v>
      </c>
      <c r="P68" s="36">
        <f t="shared" si="35"/>
        <v>-2.5243548967072378E-29</v>
      </c>
    </row>
    <row r="70" spans="2:16">
      <c r="B70" s="18" t="s">
        <v>270</v>
      </c>
    </row>
    <row r="71" spans="2:16">
      <c r="C71" s="18" t="s">
        <v>656</v>
      </c>
    </row>
    <row r="72" spans="2:16">
      <c r="D72" s="18" t="s">
        <v>51</v>
      </c>
      <c r="G72" s="34">
        <f>F75</f>
        <v>0</v>
      </c>
      <c r="H72" s="34">
        <f t="shared" ref="H72:P72" si="36">G75</f>
        <v>4.5345039987892051</v>
      </c>
      <c r="I72" s="34">
        <f t="shared" si="36"/>
        <v>9.2957331975174498</v>
      </c>
      <c r="J72" s="34">
        <f t="shared" si="36"/>
        <v>14.29502385618207</v>
      </c>
      <c r="K72" s="34">
        <f t="shared" si="36"/>
        <v>19.544279047780606</v>
      </c>
      <c r="L72" s="34">
        <f t="shared" si="36"/>
        <v>25.055996998959358</v>
      </c>
      <c r="M72" s="34">
        <f t="shared" si="36"/>
        <v>30.8433008476959</v>
      </c>
      <c r="N72" s="34">
        <f t="shared" si="36"/>
        <v>36.919969888869787</v>
      </c>
      <c r="O72" s="34">
        <f t="shared" si="36"/>
        <v>43.300472382102157</v>
      </c>
      <c r="P72" s="34">
        <f t="shared" si="36"/>
        <v>49.999999999997158</v>
      </c>
    </row>
    <row r="73" spans="2:16">
      <c r="D73" s="18" t="s">
        <v>52</v>
      </c>
      <c r="G73" s="34">
        <f>G62</f>
        <v>4.5345039987892051</v>
      </c>
      <c r="H73" s="34">
        <f t="shared" ref="H73:P73" si="37">H62</f>
        <v>4.7612291987282447</v>
      </c>
      <c r="I73" s="34">
        <f t="shared" si="37"/>
        <v>4.99929065866462</v>
      </c>
      <c r="J73" s="34">
        <f t="shared" si="37"/>
        <v>5.2492551915985359</v>
      </c>
      <c r="K73" s="34">
        <f t="shared" si="37"/>
        <v>5.5117179511787526</v>
      </c>
      <c r="L73" s="34">
        <f t="shared" si="37"/>
        <v>5.787303848736542</v>
      </c>
      <c r="M73" s="34">
        <f t="shared" si="37"/>
        <v>6.0766690411738864</v>
      </c>
      <c r="N73" s="34">
        <f t="shared" si="37"/>
        <v>6.3805024932323704</v>
      </c>
      <c r="O73" s="34">
        <f t="shared" si="37"/>
        <v>6.6995276178950007</v>
      </c>
      <c r="P73" s="34">
        <f t="shared" si="37"/>
        <v>-9.2903462700633145E-14</v>
      </c>
    </row>
    <row r="74" spans="2:16">
      <c r="D74" s="18" t="s">
        <v>361</v>
      </c>
      <c r="G74" s="34"/>
      <c r="H74" s="34"/>
      <c r="I74" s="34"/>
      <c r="J74" s="34"/>
      <c r="K74" s="34"/>
      <c r="L74" s="34"/>
      <c r="M74" s="34"/>
      <c r="N74" s="34"/>
      <c r="O74" s="34"/>
      <c r="P74" s="34"/>
    </row>
    <row r="75" spans="2:16" ht="15" thickBot="1">
      <c r="D75" s="35" t="s">
        <v>54</v>
      </c>
      <c r="E75" s="35"/>
      <c r="F75" s="35"/>
      <c r="G75" s="36">
        <f>G72+G73-G74</f>
        <v>4.5345039987892051</v>
      </c>
      <c r="H75" s="36">
        <f t="shared" ref="H75:P75" si="38">H72+H73-H74</f>
        <v>9.2957331975174498</v>
      </c>
      <c r="I75" s="36">
        <f t="shared" si="38"/>
        <v>14.29502385618207</v>
      </c>
      <c r="J75" s="36">
        <f t="shared" si="38"/>
        <v>19.544279047780606</v>
      </c>
      <c r="K75" s="36">
        <f t="shared" si="38"/>
        <v>25.055996998959358</v>
      </c>
      <c r="L75" s="36">
        <f t="shared" si="38"/>
        <v>30.8433008476959</v>
      </c>
      <c r="M75" s="36">
        <f t="shared" si="38"/>
        <v>36.919969888869787</v>
      </c>
      <c r="N75" s="36">
        <f t="shared" si="38"/>
        <v>43.300472382102157</v>
      </c>
      <c r="O75" s="36">
        <f t="shared" si="38"/>
        <v>49.999999999997158</v>
      </c>
      <c r="P75" s="36">
        <f t="shared" si="38"/>
        <v>49.999999999997065</v>
      </c>
    </row>
    <row r="77" spans="2:16">
      <c r="C77" s="18" t="s">
        <v>271</v>
      </c>
    </row>
    <row r="78" spans="2:16">
      <c r="D78" s="18" t="s">
        <v>533</v>
      </c>
      <c r="G78" s="34">
        <f>G45</f>
        <v>457.98490387772836</v>
      </c>
      <c r="H78" s="34">
        <f t="shared" ref="H78:P78" si="39">H45</f>
        <v>938.86905294934309</v>
      </c>
      <c r="I78" s="34">
        <f t="shared" si="39"/>
        <v>1443.7974094745387</v>
      </c>
      <c r="J78" s="34">
        <f t="shared" si="39"/>
        <v>1973.9721838259939</v>
      </c>
      <c r="K78" s="34">
        <f t="shared" si="39"/>
        <v>2530.6556968950217</v>
      </c>
      <c r="L78" s="34">
        <f t="shared" si="39"/>
        <v>3115.173385617501</v>
      </c>
      <c r="M78" s="34">
        <f t="shared" si="39"/>
        <v>3728.9169587761044</v>
      </c>
      <c r="N78" s="34">
        <f t="shared" si="39"/>
        <v>4373.3477105926377</v>
      </c>
      <c r="O78" s="34">
        <f t="shared" si="39"/>
        <v>-2.5579538487363607E-13</v>
      </c>
      <c r="P78" s="34">
        <f t="shared" si="39"/>
        <v>-2.6858515411731785E-13</v>
      </c>
    </row>
    <row r="80" spans="2:16">
      <c r="C80" s="18" t="s">
        <v>657</v>
      </c>
    </row>
    <row r="81" spans="4:16">
      <c r="D81" s="18" t="s">
        <v>532</v>
      </c>
      <c r="G81" s="34">
        <f t="shared" ref="G81:P81" si="40">G36</f>
        <v>453.45039987893915</v>
      </c>
      <c r="H81" s="34">
        <f t="shared" si="40"/>
        <v>929.57331975182569</v>
      </c>
      <c r="I81" s="34">
        <f t="shared" si="40"/>
        <v>1429.5023856183566</v>
      </c>
      <c r="J81" s="34">
        <f t="shared" si="40"/>
        <v>1954.4279047782134</v>
      </c>
      <c r="K81" s="34">
        <f t="shared" si="40"/>
        <v>2505.5996998960627</v>
      </c>
      <c r="L81" s="34">
        <f t="shared" si="40"/>
        <v>3084.3300847698056</v>
      </c>
      <c r="M81" s="34">
        <f t="shared" si="40"/>
        <v>3691.9969888872351</v>
      </c>
      <c r="N81" s="34">
        <f t="shared" si="40"/>
        <v>4330.0472382105363</v>
      </c>
      <c r="O81" s="34">
        <f t="shared" si="40"/>
        <v>1.6022738691390259E-12</v>
      </c>
      <c r="P81" s="34">
        <f t="shared" si="40"/>
        <v>1.6823875625959773E-12</v>
      </c>
    </row>
    <row r="82" spans="4:16">
      <c r="D82" s="18" t="s">
        <v>466</v>
      </c>
      <c r="G82" s="34">
        <f>G75</f>
        <v>4.5345039987892051</v>
      </c>
      <c r="H82" s="34">
        <f t="shared" ref="H82:P82" si="41">H75</f>
        <v>9.2957331975174498</v>
      </c>
      <c r="I82" s="34">
        <f t="shared" si="41"/>
        <v>14.29502385618207</v>
      </c>
      <c r="J82" s="34">
        <f t="shared" si="41"/>
        <v>19.544279047780606</v>
      </c>
      <c r="K82" s="34">
        <f t="shared" si="41"/>
        <v>25.055996998959358</v>
      </c>
      <c r="L82" s="34">
        <f t="shared" si="41"/>
        <v>30.8433008476959</v>
      </c>
      <c r="M82" s="34">
        <f t="shared" si="41"/>
        <v>36.919969888869787</v>
      </c>
      <c r="N82" s="34">
        <f t="shared" si="41"/>
        <v>43.300472382102157</v>
      </c>
      <c r="O82" s="34">
        <f t="shared" si="41"/>
        <v>49.999999999997158</v>
      </c>
      <c r="P82" s="34">
        <f t="shared" si="41"/>
        <v>49.999999999997065</v>
      </c>
    </row>
    <row r="83" spans="4:16">
      <c r="D83" s="18" t="s">
        <v>446</v>
      </c>
      <c r="G83" s="34">
        <f>SUM(G81:G82)</f>
        <v>457.98490387772836</v>
      </c>
      <c r="H83" s="34">
        <f t="shared" ref="H83:P83" si="42">SUM(H81:H82)</f>
        <v>938.86905294934309</v>
      </c>
      <c r="I83" s="34">
        <f t="shared" si="42"/>
        <v>1443.7974094745387</v>
      </c>
      <c r="J83" s="34">
        <f t="shared" si="42"/>
        <v>1973.9721838259939</v>
      </c>
      <c r="K83" s="34">
        <f t="shared" si="42"/>
        <v>2530.6556968950222</v>
      </c>
      <c r="L83" s="34">
        <f t="shared" si="42"/>
        <v>3115.1733856175015</v>
      </c>
      <c r="M83" s="34">
        <f t="shared" si="42"/>
        <v>3728.9169587761048</v>
      </c>
      <c r="N83" s="34">
        <f t="shared" si="42"/>
        <v>4373.3477105926386</v>
      </c>
      <c r="O83" s="34">
        <f t="shared" si="42"/>
        <v>49.999999999998764</v>
      </c>
      <c r="P83" s="34">
        <f t="shared" si="42"/>
        <v>49.999999999998749</v>
      </c>
    </row>
    <row r="85" spans="4:16">
      <c r="D85" s="18" t="s">
        <v>365</v>
      </c>
      <c r="G85" s="20">
        <f>G62/G82</f>
        <v>1</v>
      </c>
      <c r="H85" s="20">
        <f t="shared" ref="H85:P85" si="43">H62/H82</f>
        <v>0.51219512195119743</v>
      </c>
      <c r="I85" s="20">
        <f t="shared" si="43"/>
        <v>0.3497224425059362</v>
      </c>
      <c r="J85" s="20">
        <f t="shared" si="43"/>
        <v>0.26858269771760279</v>
      </c>
      <c r="K85" s="20">
        <f t="shared" si="43"/>
        <v>0.21997599821741953</v>
      </c>
      <c r="L85" s="20">
        <f t="shared" si="43"/>
        <v>0.18763568391444957</v>
      </c>
      <c r="M85" s="20">
        <f t="shared" si="43"/>
        <v>0.16459030328206772</v>
      </c>
      <c r="N85" s="20">
        <f t="shared" si="43"/>
        <v>0.14735410821683531</v>
      </c>
      <c r="O85" s="20">
        <f t="shared" si="43"/>
        <v>0.13399055235790763</v>
      </c>
      <c r="P85" s="20">
        <f t="shared" si="43"/>
        <v>-1.8580692540127721E-15</v>
      </c>
    </row>
  </sheetData>
  <conditionalFormatting sqref="A1:XFD1048576">
    <cfRule type="containsText" dxfId="51" priority="1" operator="containsText" text="FALSE">
      <formula>NOT(ISERROR(SEARCH("FALSE",A1)))</formula>
    </cfRule>
    <cfRule type="cellIs" dxfId="50" priority="2" operator="equal">
      <formula>TRUE</formula>
    </cfRule>
    <cfRule type="containsText" dxfId="49" priority="3" operator="containsText" text="FALSE">
      <formula>NOT(ISERROR(SEARCH("FALSE",A1)))</formula>
    </cfRule>
    <cfRule type="cellIs" dxfId="48" priority="4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8" r:id="rId4" name="Check Box 2">
              <controlPr defaultSize="0" autoFill="0" autoLine="0" autoPict="0" macro="[0]!CheckBox2_Click">
                <anchor moveWithCells="1">
                  <from>
                    <xdr:col>10</xdr:col>
                    <xdr:colOff>450850</xdr:colOff>
                    <xdr:row>3</xdr:row>
                    <xdr:rowOff>88900</xdr:rowOff>
                  </from>
                  <to>
                    <xdr:col>12</xdr:col>
                    <xdr:colOff>57150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5" name="Spinner 3">
              <controlPr defaultSize="0" autoPict="0">
                <anchor moveWithCells="1" sizeWithCells="1">
                  <from>
                    <xdr:col>13</xdr:col>
                    <xdr:colOff>31750</xdr:colOff>
                    <xdr:row>6</xdr:row>
                    <xdr:rowOff>25400</xdr:rowOff>
                  </from>
                  <to>
                    <xdr:col>13</xdr:col>
                    <xdr:colOff>285750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4B8CE-0E0E-40EF-A1BF-62F129BD3AF0}">
  <sheetPr codeName="Sheet19"/>
  <dimension ref="A1:R101"/>
  <sheetViews>
    <sheetView showGridLines="0" zoomScale="80" zoomScaleNormal="80" workbookViewId="0">
      <pane xSplit="5" ySplit="3" topLeftCell="F4" activePane="bottomRight" state="frozen"/>
      <selection pane="topRight"/>
      <selection pane="bottomLeft"/>
      <selection pane="bottomRight" activeCell="G25" sqref="G25"/>
    </sheetView>
  </sheetViews>
  <sheetFormatPr defaultColWidth="8.90625" defaultRowHeight="14.5"/>
  <cols>
    <col min="1" max="1" width="1.54296875" style="71" customWidth="1"/>
    <col min="2" max="3" width="1.54296875" style="18" customWidth="1"/>
    <col min="4" max="4" width="30.81640625" style="18" customWidth="1"/>
    <col min="5" max="16384" width="8.90625" style="18"/>
  </cols>
  <sheetData>
    <row r="1" spans="1:15">
      <c r="D1" s="18" t="s">
        <v>597</v>
      </c>
      <c r="E1" s="18">
        <f>E27</f>
        <v>65</v>
      </c>
    </row>
    <row r="2" spans="1:15">
      <c r="F2" s="18">
        <v>2012</v>
      </c>
      <c r="G2" s="18">
        <v>2013</v>
      </c>
      <c r="H2" s="18">
        <v>2014</v>
      </c>
      <c r="I2" s="18">
        <v>2015</v>
      </c>
      <c r="J2" s="18">
        <v>2016</v>
      </c>
      <c r="K2" s="18">
        <v>2017</v>
      </c>
      <c r="L2" s="18">
        <v>2018</v>
      </c>
      <c r="M2" s="18">
        <v>2019</v>
      </c>
      <c r="N2" s="18">
        <v>2020</v>
      </c>
      <c r="O2" s="18">
        <v>2021</v>
      </c>
    </row>
    <row r="3" spans="1:15">
      <c r="B3" s="18" t="s">
        <v>448</v>
      </c>
      <c r="E3" s="18">
        <v>2017</v>
      </c>
      <c r="F3" s="18" t="b">
        <f>F2&lt;=$E$3</f>
        <v>1</v>
      </c>
      <c r="G3" s="18" t="b">
        <f t="shared" ref="G3:O3" si="0">G2&lt;=$E$3</f>
        <v>1</v>
      </c>
      <c r="H3" s="18" t="b">
        <f t="shared" si="0"/>
        <v>1</v>
      </c>
      <c r="I3" s="18" t="b">
        <f t="shared" si="0"/>
        <v>1</v>
      </c>
      <c r="J3" s="18" t="b">
        <f t="shared" si="0"/>
        <v>1</v>
      </c>
      <c r="K3" s="18" t="b">
        <f t="shared" si="0"/>
        <v>1</v>
      </c>
      <c r="L3" s="18" t="b">
        <f t="shared" si="0"/>
        <v>0</v>
      </c>
      <c r="M3" s="18" t="b">
        <f t="shared" si="0"/>
        <v>0</v>
      </c>
      <c r="N3" s="18" t="b">
        <f t="shared" si="0"/>
        <v>0</v>
      </c>
      <c r="O3" s="18" t="b">
        <f t="shared" si="0"/>
        <v>0</v>
      </c>
    </row>
    <row r="5" spans="1:15">
      <c r="A5" s="71" t="s">
        <v>496</v>
      </c>
    </row>
    <row r="6" spans="1:15">
      <c r="B6" s="18" t="s">
        <v>270</v>
      </c>
    </row>
    <row r="7" spans="1:15">
      <c r="C7" s="18" t="s">
        <v>518</v>
      </c>
      <c r="F7" s="34">
        <v>20</v>
      </c>
      <c r="G7" s="34">
        <v>40</v>
      </c>
      <c r="H7" s="34">
        <v>30</v>
      </c>
      <c r="I7" s="34">
        <v>40</v>
      </c>
      <c r="J7" s="34">
        <v>40</v>
      </c>
      <c r="K7" s="34">
        <v>40</v>
      </c>
    </row>
    <row r="8" spans="1:15">
      <c r="C8" s="18" t="s">
        <v>533</v>
      </c>
      <c r="F8" s="34">
        <v>900</v>
      </c>
      <c r="G8" s="34">
        <v>1000</v>
      </c>
      <c r="H8" s="34">
        <v>1050</v>
      </c>
      <c r="I8" s="34">
        <v>1100</v>
      </c>
      <c r="J8" s="34">
        <v>1150</v>
      </c>
      <c r="K8" s="34">
        <v>1200</v>
      </c>
    </row>
    <row r="9" spans="1:15" ht="15" thickBot="1">
      <c r="D9" s="35" t="s">
        <v>446</v>
      </c>
      <c r="E9" s="35"/>
      <c r="F9" s="36">
        <f>SUM(F7:F8)</f>
        <v>920</v>
      </c>
      <c r="G9" s="36">
        <f t="shared" ref="G9:K9" si="1">SUM(G7:G8)</f>
        <v>1040</v>
      </c>
      <c r="H9" s="36">
        <f t="shared" si="1"/>
        <v>1080</v>
      </c>
      <c r="I9" s="36">
        <f t="shared" si="1"/>
        <v>1140</v>
      </c>
      <c r="J9" s="36">
        <f t="shared" si="1"/>
        <v>1190</v>
      </c>
      <c r="K9" s="36">
        <f t="shared" si="1"/>
        <v>1240</v>
      </c>
    </row>
    <row r="11" spans="1:15">
      <c r="C11" s="18" t="s">
        <v>519</v>
      </c>
      <c r="F11" s="34">
        <v>40</v>
      </c>
      <c r="G11" s="34">
        <v>50</v>
      </c>
      <c r="H11" s="34">
        <v>40</v>
      </c>
      <c r="I11" s="34">
        <v>45</v>
      </c>
      <c r="J11" s="34">
        <v>45</v>
      </c>
      <c r="K11" s="34">
        <v>45</v>
      </c>
    </row>
    <row r="12" spans="1:15">
      <c r="C12" s="18" t="s">
        <v>532</v>
      </c>
      <c r="F12" s="34">
        <f>F8/1.2</f>
        <v>750</v>
      </c>
      <c r="G12" s="34">
        <f t="shared" ref="G12:K12" si="2">G8/1.2</f>
        <v>833.33333333333337</v>
      </c>
      <c r="H12" s="34">
        <f t="shared" si="2"/>
        <v>875</v>
      </c>
      <c r="I12" s="34">
        <f t="shared" si="2"/>
        <v>916.66666666666674</v>
      </c>
      <c r="J12" s="34">
        <f t="shared" si="2"/>
        <v>958.33333333333337</v>
      </c>
      <c r="K12" s="34">
        <f t="shared" si="2"/>
        <v>1000</v>
      </c>
    </row>
    <row r="13" spans="1:15">
      <c r="C13" s="18" t="s">
        <v>362</v>
      </c>
      <c r="F13" s="34">
        <f>F9-F11-F12</f>
        <v>130</v>
      </c>
      <c r="G13" s="34">
        <f t="shared" ref="G13:K13" si="3">G9-G11-G12</f>
        <v>156.66666666666663</v>
      </c>
      <c r="H13" s="34">
        <f t="shared" si="3"/>
        <v>165</v>
      </c>
      <c r="I13" s="34">
        <f t="shared" si="3"/>
        <v>178.33333333333326</v>
      </c>
      <c r="J13" s="34">
        <f t="shared" si="3"/>
        <v>186.66666666666663</v>
      </c>
      <c r="K13" s="34">
        <f t="shared" si="3"/>
        <v>195</v>
      </c>
    </row>
    <row r="14" spans="1:15" ht="15" thickBot="1">
      <c r="D14" s="35" t="s">
        <v>446</v>
      </c>
      <c r="E14" s="35"/>
      <c r="F14" s="36">
        <f>SUM(F11:F13)</f>
        <v>920</v>
      </c>
      <c r="G14" s="36">
        <f t="shared" ref="G14:K14" si="4">SUM(G11:G13)</f>
        <v>1040</v>
      </c>
      <c r="H14" s="36">
        <f t="shared" si="4"/>
        <v>1080</v>
      </c>
      <c r="I14" s="36">
        <f t="shared" si="4"/>
        <v>1140</v>
      </c>
      <c r="J14" s="36">
        <f t="shared" si="4"/>
        <v>1190</v>
      </c>
      <c r="K14" s="36">
        <f t="shared" si="4"/>
        <v>1240</v>
      </c>
    </row>
    <row r="16" spans="1:15">
      <c r="B16" s="18" t="s">
        <v>497</v>
      </c>
    </row>
    <row r="18" spans="1:15">
      <c r="C18" s="18" t="s">
        <v>534</v>
      </c>
      <c r="F18" s="34">
        <v>45</v>
      </c>
      <c r="G18" s="34">
        <v>50</v>
      </c>
      <c r="H18" s="34">
        <v>52.5</v>
      </c>
      <c r="I18" s="34">
        <v>55</v>
      </c>
      <c r="J18" s="34">
        <v>57.5</v>
      </c>
      <c r="K18" s="34">
        <v>60</v>
      </c>
    </row>
    <row r="19" spans="1:15">
      <c r="C19" s="18" t="s">
        <v>603</v>
      </c>
      <c r="F19" s="34">
        <v>250</v>
      </c>
      <c r="G19" s="34">
        <v>260</v>
      </c>
      <c r="H19" s="34">
        <v>275</v>
      </c>
      <c r="I19" s="34">
        <v>280</v>
      </c>
      <c r="J19" s="34">
        <v>290</v>
      </c>
      <c r="K19" s="34">
        <v>300</v>
      </c>
    </row>
    <row r="20" spans="1:15">
      <c r="C20" s="18" t="s">
        <v>602</v>
      </c>
      <c r="F20" s="34">
        <f>F19*1.1</f>
        <v>275</v>
      </c>
      <c r="G20" s="34">
        <f t="shared" ref="G20:K20" si="5">G19*1.1</f>
        <v>286</v>
      </c>
      <c r="H20" s="34">
        <f t="shared" si="5"/>
        <v>302.5</v>
      </c>
      <c r="I20" s="34">
        <f t="shared" si="5"/>
        <v>308</v>
      </c>
      <c r="J20" s="34">
        <f t="shared" si="5"/>
        <v>319</v>
      </c>
      <c r="K20" s="34">
        <f t="shared" si="5"/>
        <v>330</v>
      </c>
    </row>
    <row r="21" spans="1:15">
      <c r="C21" s="18" t="s">
        <v>601</v>
      </c>
      <c r="F21" s="34">
        <v>0.7</v>
      </c>
      <c r="G21" s="34">
        <f>(F11-F7)*0.04</f>
        <v>0.8</v>
      </c>
      <c r="H21" s="34">
        <f>(G11-G7)*0.04</f>
        <v>0.4</v>
      </c>
      <c r="I21" s="34">
        <f>(H11-H7)*0.04</f>
        <v>0.4</v>
      </c>
      <c r="J21" s="34">
        <f>(I11-I7)*0.04</f>
        <v>0.2</v>
      </c>
      <c r="K21" s="34">
        <f>(J11-J7)*0.04</f>
        <v>0.2</v>
      </c>
    </row>
    <row r="22" spans="1:15">
      <c r="C22" s="65" t="s">
        <v>234</v>
      </c>
      <c r="D22" s="65"/>
      <c r="E22" s="65"/>
      <c r="F22" s="78">
        <f>F18+F19-F20-F21</f>
        <v>19.3</v>
      </c>
      <c r="G22" s="78">
        <f t="shared" ref="G22:K22" si="6">G18+G19-G20-G21</f>
        <v>23.2</v>
      </c>
      <c r="H22" s="78">
        <f t="shared" si="6"/>
        <v>24.6</v>
      </c>
      <c r="I22" s="78">
        <f t="shared" si="6"/>
        <v>26.6</v>
      </c>
      <c r="J22" s="78">
        <f t="shared" si="6"/>
        <v>28.3</v>
      </c>
      <c r="K22" s="78">
        <f t="shared" si="6"/>
        <v>29.8</v>
      </c>
    </row>
    <row r="23" spans="1:15" ht="15" thickBot="1">
      <c r="C23" s="35" t="s">
        <v>457</v>
      </c>
      <c r="D23" s="35"/>
      <c r="E23" s="35"/>
      <c r="F23" s="36">
        <v>19</v>
      </c>
      <c r="G23" s="36">
        <v>20</v>
      </c>
      <c r="H23" s="36">
        <v>23</v>
      </c>
      <c r="I23" s="36">
        <v>23</v>
      </c>
      <c r="J23" s="36">
        <v>25</v>
      </c>
      <c r="K23" s="36">
        <v>27</v>
      </c>
    </row>
    <row r="26" spans="1:15">
      <c r="A26" s="71" t="s">
        <v>433</v>
      </c>
    </row>
    <row r="27" spans="1:15" ht="15" thickBot="1">
      <c r="B27" s="35" t="s">
        <v>597</v>
      </c>
      <c r="C27" s="35"/>
      <c r="D27" s="35"/>
      <c r="E27" s="35">
        <v>65</v>
      </c>
      <c r="F27" s="35"/>
      <c r="G27" s="67"/>
      <c r="H27" s="67"/>
      <c r="I27" s="67"/>
      <c r="J27" s="67"/>
      <c r="K27" s="67"/>
      <c r="L27" s="36">
        <f>E27</f>
        <v>65</v>
      </c>
      <c r="M27" s="36">
        <f>L27</f>
        <v>65</v>
      </c>
      <c r="N27" s="36">
        <f t="shared" ref="N27:O27" si="7">M27</f>
        <v>65</v>
      </c>
      <c r="O27" s="36">
        <f t="shared" si="7"/>
        <v>65</v>
      </c>
    </row>
    <row r="28" spans="1:15">
      <c r="B28" s="18" t="s">
        <v>488</v>
      </c>
      <c r="E28" s="20">
        <v>4.4999999999999998E-2</v>
      </c>
      <c r="F28" s="20">
        <f>IF(F3,F18/F8,$E$28)</f>
        <v>0.05</v>
      </c>
      <c r="G28" s="20">
        <f t="shared" ref="G28:O28" si="8">IF(G3,G18/G8,$E$28)</f>
        <v>0.05</v>
      </c>
      <c r="H28" s="20">
        <f t="shared" si="8"/>
        <v>0.05</v>
      </c>
      <c r="I28" s="20">
        <f t="shared" si="8"/>
        <v>0.05</v>
      </c>
      <c r="J28" s="20">
        <f t="shared" si="8"/>
        <v>0.05</v>
      </c>
      <c r="K28" s="20">
        <f t="shared" si="8"/>
        <v>0.05</v>
      </c>
      <c r="L28" s="20">
        <f t="shared" si="8"/>
        <v>4.4999999999999998E-2</v>
      </c>
      <c r="M28" s="20">
        <f t="shared" si="8"/>
        <v>4.4999999999999998E-2</v>
      </c>
      <c r="N28" s="20">
        <f t="shared" si="8"/>
        <v>4.4999999999999998E-2</v>
      </c>
      <c r="O28" s="20">
        <f t="shared" si="8"/>
        <v>4.4999999999999998E-2</v>
      </c>
    </row>
    <row r="29" spans="1:15">
      <c r="B29" s="18" t="s">
        <v>598</v>
      </c>
      <c r="E29" s="22">
        <v>1.1000000000000001</v>
      </c>
      <c r="F29" s="20">
        <f>IF(F3,F20/F19,$E$29)</f>
        <v>1.1000000000000001</v>
      </c>
      <c r="G29" s="20">
        <f t="shared" ref="G29:O29" si="9">IF(G3,G20/G19,$E$29)</f>
        <v>1.1000000000000001</v>
      </c>
      <c r="H29" s="20">
        <f t="shared" si="9"/>
        <v>1.1000000000000001</v>
      </c>
      <c r="I29" s="20">
        <f t="shared" si="9"/>
        <v>1.1000000000000001</v>
      </c>
      <c r="J29" s="20">
        <f t="shared" si="9"/>
        <v>1.1000000000000001</v>
      </c>
      <c r="K29" s="20">
        <f t="shared" si="9"/>
        <v>1.1000000000000001</v>
      </c>
      <c r="L29" s="20">
        <f t="shared" si="9"/>
        <v>1.1000000000000001</v>
      </c>
      <c r="M29" s="20">
        <f t="shared" si="9"/>
        <v>1.1000000000000001</v>
      </c>
      <c r="N29" s="20">
        <f t="shared" si="9"/>
        <v>1.1000000000000001</v>
      </c>
      <c r="O29" s="20">
        <f t="shared" si="9"/>
        <v>1.1000000000000001</v>
      </c>
    </row>
    <row r="30" spans="1:15">
      <c r="B30" s="18" t="s">
        <v>600</v>
      </c>
      <c r="E30" s="18">
        <v>3.5</v>
      </c>
      <c r="F30" s="34">
        <f>IF(F3,F12/F19,$E$30)</f>
        <v>3</v>
      </c>
      <c r="G30" s="34">
        <f t="shared" ref="G30:O30" si="10">IF(G3,G12/G19,$E$30)</f>
        <v>3.2051282051282053</v>
      </c>
      <c r="H30" s="34">
        <f t="shared" si="10"/>
        <v>3.1818181818181817</v>
      </c>
      <c r="I30" s="34">
        <f t="shared" si="10"/>
        <v>3.2738095238095242</v>
      </c>
      <c r="J30" s="34">
        <f t="shared" si="10"/>
        <v>3.3045977011494254</v>
      </c>
      <c r="K30" s="34">
        <f t="shared" si="10"/>
        <v>3.3333333333333335</v>
      </c>
      <c r="L30" s="34">
        <f t="shared" si="10"/>
        <v>3.5</v>
      </c>
      <c r="M30" s="34">
        <f t="shared" si="10"/>
        <v>3.5</v>
      </c>
      <c r="N30" s="34">
        <f t="shared" si="10"/>
        <v>3.5</v>
      </c>
      <c r="O30" s="34">
        <f t="shared" si="10"/>
        <v>3.5</v>
      </c>
    </row>
    <row r="31" spans="1:15">
      <c r="B31" s="18" t="s">
        <v>608</v>
      </c>
      <c r="E31" s="18">
        <v>1.2</v>
      </c>
      <c r="F31" s="34">
        <f>IF(F3,F8/F12,$E$31)</f>
        <v>1.2</v>
      </c>
      <c r="G31" s="34">
        <f t="shared" ref="G31:O31" si="11">IF(G3,G8/G12,$E$31)</f>
        <v>1.2</v>
      </c>
      <c r="H31" s="34">
        <f t="shared" si="11"/>
        <v>1.2</v>
      </c>
      <c r="I31" s="34">
        <f t="shared" si="11"/>
        <v>1.2</v>
      </c>
      <c r="J31" s="34">
        <f t="shared" si="11"/>
        <v>1.2</v>
      </c>
      <c r="K31" s="34">
        <f t="shared" si="11"/>
        <v>1.2</v>
      </c>
      <c r="L31" s="34">
        <f t="shared" si="11"/>
        <v>1.2</v>
      </c>
      <c r="M31" s="34">
        <f t="shared" si="11"/>
        <v>1.2</v>
      </c>
      <c r="N31" s="34">
        <f t="shared" si="11"/>
        <v>1.2</v>
      </c>
      <c r="O31" s="34">
        <f t="shared" si="11"/>
        <v>1.2</v>
      </c>
    </row>
    <row r="32" spans="1:15">
      <c r="B32" s="18" t="s">
        <v>9</v>
      </c>
      <c r="F32" s="34">
        <f t="shared" ref="F32:K32" si="12">(F11-F7)</f>
        <v>20</v>
      </c>
      <c r="G32" s="34">
        <f t="shared" si="12"/>
        <v>10</v>
      </c>
      <c r="H32" s="34">
        <f t="shared" si="12"/>
        <v>10</v>
      </c>
      <c r="I32" s="34">
        <f t="shared" si="12"/>
        <v>5</v>
      </c>
      <c r="J32" s="34">
        <f t="shared" si="12"/>
        <v>5</v>
      </c>
      <c r="K32" s="34">
        <f t="shared" si="12"/>
        <v>5</v>
      </c>
      <c r="L32" s="34"/>
      <c r="M32" s="34"/>
      <c r="N32" s="34"/>
      <c r="O32" s="34"/>
    </row>
    <row r="33" spans="1:15">
      <c r="B33" s="18" t="s">
        <v>523</v>
      </c>
      <c r="E33" s="20">
        <v>0.04</v>
      </c>
      <c r="F33" s="20">
        <v>0.04</v>
      </c>
      <c r="G33" s="20">
        <f t="shared" ref="G33:O33" si="13">IF(G3,G21/F32,$E$33)</f>
        <v>0.04</v>
      </c>
      <c r="H33" s="20">
        <f t="shared" si="13"/>
        <v>0.04</v>
      </c>
      <c r="I33" s="20">
        <f t="shared" si="13"/>
        <v>0.04</v>
      </c>
      <c r="J33" s="20">
        <f t="shared" si="13"/>
        <v>0.04</v>
      </c>
      <c r="K33" s="20">
        <f t="shared" si="13"/>
        <v>0.04</v>
      </c>
      <c r="L33" s="20">
        <f t="shared" si="13"/>
        <v>0.04</v>
      </c>
      <c r="M33" s="20">
        <f t="shared" si="13"/>
        <v>0.04</v>
      </c>
      <c r="N33" s="20">
        <f t="shared" si="13"/>
        <v>0.04</v>
      </c>
      <c r="O33" s="20">
        <f t="shared" si="13"/>
        <v>0.04</v>
      </c>
    </row>
    <row r="34" spans="1:15">
      <c r="B34" s="18" t="s">
        <v>524</v>
      </c>
      <c r="E34" s="20">
        <v>0.155</v>
      </c>
      <c r="F34" s="20">
        <f t="shared" ref="F34:O34" si="14">IF(F3,F13/F9,$E$34)</f>
        <v>0.14130434782608695</v>
      </c>
      <c r="G34" s="20">
        <f t="shared" si="14"/>
        <v>0.15064102564102561</v>
      </c>
      <c r="H34" s="20">
        <f t="shared" si="14"/>
        <v>0.15277777777777779</v>
      </c>
      <c r="I34" s="20">
        <f t="shared" si="14"/>
        <v>0.15643274853801162</v>
      </c>
      <c r="J34" s="20">
        <f t="shared" si="14"/>
        <v>0.15686274509803919</v>
      </c>
      <c r="K34" s="20">
        <f t="shared" si="14"/>
        <v>0.15725806451612903</v>
      </c>
      <c r="L34" s="20">
        <f t="shared" si="14"/>
        <v>0.155</v>
      </c>
      <c r="M34" s="20">
        <f t="shared" si="14"/>
        <v>0.155</v>
      </c>
      <c r="N34" s="20">
        <f t="shared" si="14"/>
        <v>0.155</v>
      </c>
      <c r="O34" s="20">
        <f t="shared" si="14"/>
        <v>0.155</v>
      </c>
    </row>
    <row r="35" spans="1:15">
      <c r="B35" s="18" t="s">
        <v>525</v>
      </c>
      <c r="E35" s="22">
        <v>0.75</v>
      </c>
      <c r="F35" s="20">
        <f t="shared" ref="F35:O35" si="15">IF(F3,F23/F22,$E$35)</f>
        <v>0.98445595854922274</v>
      </c>
      <c r="G35" s="20">
        <f t="shared" si="15"/>
        <v>0.86206896551724144</v>
      </c>
      <c r="H35" s="20">
        <f t="shared" si="15"/>
        <v>0.93495934959349591</v>
      </c>
      <c r="I35" s="20">
        <f t="shared" si="15"/>
        <v>0.86466165413533835</v>
      </c>
      <c r="J35" s="20">
        <f t="shared" si="15"/>
        <v>0.88339222614840984</v>
      </c>
      <c r="K35" s="20">
        <f t="shared" si="15"/>
        <v>0.90604026845637586</v>
      </c>
      <c r="L35" s="20">
        <f t="shared" si="15"/>
        <v>0.75</v>
      </c>
      <c r="M35" s="20">
        <f t="shared" si="15"/>
        <v>0.75</v>
      </c>
      <c r="N35" s="20">
        <f t="shared" si="15"/>
        <v>0.75</v>
      </c>
      <c r="O35" s="20">
        <f t="shared" si="15"/>
        <v>0.75</v>
      </c>
    </row>
    <row r="37" spans="1:15">
      <c r="A37" s="71" t="s">
        <v>455</v>
      </c>
    </row>
    <row r="38" spans="1:15">
      <c r="B38" s="18" t="s">
        <v>604</v>
      </c>
      <c r="F38" s="34">
        <f>IF(F3,F19,E38+F27)</f>
        <v>250</v>
      </c>
      <c r="G38" s="34">
        <f t="shared" ref="G38:O38" si="16">IF(G3,G19,F38+G27)</f>
        <v>260</v>
      </c>
      <c r="H38" s="34">
        <f t="shared" si="16"/>
        <v>275</v>
      </c>
      <c r="I38" s="34">
        <f t="shared" si="16"/>
        <v>280</v>
      </c>
      <c r="J38" s="34">
        <f t="shared" si="16"/>
        <v>290</v>
      </c>
      <c r="K38" s="34">
        <f t="shared" si="16"/>
        <v>300</v>
      </c>
      <c r="L38" s="34">
        <f t="shared" si="16"/>
        <v>365</v>
      </c>
      <c r="M38" s="34">
        <f t="shared" si="16"/>
        <v>430</v>
      </c>
      <c r="N38" s="34">
        <f t="shared" si="16"/>
        <v>495</v>
      </c>
      <c r="O38" s="34">
        <f t="shared" si="16"/>
        <v>560</v>
      </c>
    </row>
    <row r="39" spans="1:15">
      <c r="B39" s="18" t="s">
        <v>606</v>
      </c>
      <c r="F39" s="34">
        <f>F38*F29</f>
        <v>275</v>
      </c>
      <c r="G39" s="34">
        <f t="shared" ref="G39:O39" si="17">G38*G29</f>
        <v>286</v>
      </c>
      <c r="H39" s="34">
        <f t="shared" si="17"/>
        <v>302.5</v>
      </c>
      <c r="I39" s="34">
        <f t="shared" si="17"/>
        <v>308</v>
      </c>
      <c r="J39" s="34">
        <f t="shared" si="17"/>
        <v>319</v>
      </c>
      <c r="K39" s="34">
        <f t="shared" si="17"/>
        <v>330</v>
      </c>
      <c r="L39" s="34">
        <f t="shared" si="17"/>
        <v>401.50000000000006</v>
      </c>
      <c r="M39" s="34">
        <f t="shared" si="17"/>
        <v>473.00000000000006</v>
      </c>
      <c r="N39" s="34">
        <f t="shared" si="17"/>
        <v>544.5</v>
      </c>
      <c r="O39" s="34">
        <f t="shared" si="17"/>
        <v>616</v>
      </c>
    </row>
    <row r="40" spans="1:15">
      <c r="B40" s="18" t="s">
        <v>532</v>
      </c>
      <c r="F40" s="34">
        <f>IF(F3,F12,F30*F38)</f>
        <v>750</v>
      </c>
      <c r="G40" s="34">
        <f t="shared" ref="G40:O40" si="18">IF(G3,G12,G30*G38)</f>
        <v>833.33333333333337</v>
      </c>
      <c r="H40" s="34">
        <f t="shared" si="18"/>
        <v>875</v>
      </c>
      <c r="I40" s="34">
        <f t="shared" si="18"/>
        <v>916.66666666666674</v>
      </c>
      <c r="J40" s="34">
        <f t="shared" si="18"/>
        <v>958.33333333333337</v>
      </c>
      <c r="K40" s="34">
        <f t="shared" si="18"/>
        <v>1000</v>
      </c>
      <c r="L40" s="34">
        <f t="shared" si="18"/>
        <v>1277.5</v>
      </c>
      <c r="M40" s="34">
        <f t="shared" si="18"/>
        <v>1505</v>
      </c>
      <c r="N40" s="34">
        <f t="shared" si="18"/>
        <v>1732.5</v>
      </c>
      <c r="O40" s="34">
        <f t="shared" si="18"/>
        <v>1960</v>
      </c>
    </row>
    <row r="41" spans="1:15">
      <c r="B41" s="18" t="s">
        <v>533</v>
      </c>
      <c r="F41" s="34">
        <f>F40*F31</f>
        <v>900</v>
      </c>
      <c r="G41" s="34">
        <f t="shared" ref="G41:O41" si="19">G40*G31</f>
        <v>1000</v>
      </c>
      <c r="H41" s="34">
        <f t="shared" si="19"/>
        <v>1050</v>
      </c>
      <c r="I41" s="34">
        <f t="shared" si="19"/>
        <v>1100</v>
      </c>
      <c r="J41" s="34">
        <f t="shared" si="19"/>
        <v>1150</v>
      </c>
      <c r="K41" s="34">
        <f t="shared" si="19"/>
        <v>1200</v>
      </c>
      <c r="L41" s="34">
        <f t="shared" si="19"/>
        <v>1533</v>
      </c>
      <c r="M41" s="34">
        <f t="shared" si="19"/>
        <v>1806</v>
      </c>
      <c r="N41" s="34">
        <f t="shared" si="19"/>
        <v>2079</v>
      </c>
      <c r="O41" s="34">
        <f t="shared" si="19"/>
        <v>2352</v>
      </c>
    </row>
    <row r="42" spans="1:15">
      <c r="B42" s="18" t="s">
        <v>487</v>
      </c>
      <c r="F42" s="34">
        <f>F41*F28</f>
        <v>45</v>
      </c>
      <c r="G42" s="34">
        <f t="shared" ref="G42:O42" si="20">G41*G28</f>
        <v>50</v>
      </c>
      <c r="H42" s="34">
        <f t="shared" si="20"/>
        <v>52.5</v>
      </c>
      <c r="I42" s="34">
        <f t="shared" si="20"/>
        <v>55</v>
      </c>
      <c r="J42" s="34">
        <f t="shared" si="20"/>
        <v>57.5</v>
      </c>
      <c r="K42" s="34">
        <f t="shared" si="20"/>
        <v>60</v>
      </c>
      <c r="L42" s="34">
        <f t="shared" si="20"/>
        <v>68.984999999999999</v>
      </c>
      <c r="M42" s="34">
        <f t="shared" si="20"/>
        <v>81.27</v>
      </c>
      <c r="N42" s="34">
        <f t="shared" si="20"/>
        <v>93.554999999999993</v>
      </c>
      <c r="O42" s="34">
        <f t="shared" si="20"/>
        <v>105.83999999999999</v>
      </c>
    </row>
    <row r="44" spans="1:15">
      <c r="B44" s="18" t="s">
        <v>502</v>
      </c>
    </row>
    <row r="45" spans="1:15">
      <c r="C45" s="18" t="s">
        <v>51</v>
      </c>
      <c r="F45" s="34">
        <f>E47</f>
        <v>0</v>
      </c>
      <c r="G45" s="34">
        <f t="shared" ref="G45:O45" si="21">F47</f>
        <v>-20</v>
      </c>
      <c r="H45" s="34">
        <f t="shared" si="21"/>
        <v>-10</v>
      </c>
      <c r="I45" s="34">
        <f t="shared" si="21"/>
        <v>-10</v>
      </c>
      <c r="J45" s="34">
        <f t="shared" si="21"/>
        <v>-5</v>
      </c>
      <c r="K45" s="34">
        <f t="shared" si="21"/>
        <v>-5</v>
      </c>
      <c r="L45" s="34">
        <f t="shared" si="21"/>
        <v>-5</v>
      </c>
      <c r="M45" s="34">
        <f t="shared" si="21"/>
        <v>-52.328750000000028</v>
      </c>
      <c r="N45" s="34">
        <f t="shared" si="21"/>
        <v>-87.737962500000037</v>
      </c>
      <c r="O45" s="34">
        <f t="shared" si="21"/>
        <v>-121.34683287500003</v>
      </c>
    </row>
    <row r="46" spans="1:15">
      <c r="C46" s="18" t="s">
        <v>337</v>
      </c>
      <c r="F46" s="34">
        <f>F66</f>
        <v>-149.70000000000005</v>
      </c>
      <c r="G46" s="34">
        <f t="shared" ref="G46:O46" si="22">G66</f>
        <v>-13.466666666666626</v>
      </c>
      <c r="H46" s="34">
        <f t="shared" si="22"/>
        <v>-6.7333333333333698</v>
      </c>
      <c r="I46" s="34">
        <f t="shared" si="22"/>
        <v>-4.7333333333332561</v>
      </c>
      <c r="J46" s="34">
        <f t="shared" si="22"/>
        <v>-5.0333333333333705</v>
      </c>
      <c r="K46" s="34">
        <f t="shared" si="22"/>
        <v>-5.5333333333333705</v>
      </c>
      <c r="L46" s="34">
        <f t="shared" si="22"/>
        <v>-47.328750000000028</v>
      </c>
      <c r="M46" s="34">
        <f t="shared" si="22"/>
        <v>-35.40921250000001</v>
      </c>
      <c r="N46" s="34">
        <f t="shared" si="22"/>
        <v>-33.608870374999995</v>
      </c>
      <c r="O46" s="34">
        <f t="shared" si="22"/>
        <v>-31.826531671250009</v>
      </c>
    </row>
    <row r="47" spans="1:15">
      <c r="C47" s="18" t="s">
        <v>54</v>
      </c>
      <c r="F47" s="34">
        <f t="shared" ref="F47:O47" si="23">IF(F3,F7-F11,F45+F46)</f>
        <v>-20</v>
      </c>
      <c r="G47" s="34">
        <f t="shared" si="23"/>
        <v>-10</v>
      </c>
      <c r="H47" s="34">
        <f t="shared" si="23"/>
        <v>-10</v>
      </c>
      <c r="I47" s="34">
        <f t="shared" si="23"/>
        <v>-5</v>
      </c>
      <c r="J47" s="34">
        <f t="shared" si="23"/>
        <v>-5</v>
      </c>
      <c r="K47" s="34">
        <f t="shared" si="23"/>
        <v>-5</v>
      </c>
      <c r="L47" s="34">
        <f t="shared" si="23"/>
        <v>-52.328750000000028</v>
      </c>
      <c r="M47" s="34">
        <f t="shared" si="23"/>
        <v>-87.737962500000037</v>
      </c>
      <c r="N47" s="34">
        <f t="shared" si="23"/>
        <v>-121.34683287500003</v>
      </c>
      <c r="O47" s="34">
        <f t="shared" si="23"/>
        <v>-153.17336454625004</v>
      </c>
    </row>
    <row r="49" spans="1:15">
      <c r="C49" s="18" t="s">
        <v>339</v>
      </c>
      <c r="F49" s="20">
        <f t="shared" ref="F49:O49" si="24">F33</f>
        <v>0.04</v>
      </c>
      <c r="G49" s="20">
        <f t="shared" si="24"/>
        <v>0.04</v>
      </c>
      <c r="H49" s="20">
        <f t="shared" si="24"/>
        <v>0.04</v>
      </c>
      <c r="I49" s="20">
        <f t="shared" si="24"/>
        <v>0.04</v>
      </c>
      <c r="J49" s="20">
        <f t="shared" si="24"/>
        <v>0.04</v>
      </c>
      <c r="K49" s="20">
        <f t="shared" si="24"/>
        <v>0.04</v>
      </c>
      <c r="L49" s="20">
        <f t="shared" si="24"/>
        <v>0.04</v>
      </c>
      <c r="M49" s="20">
        <f t="shared" si="24"/>
        <v>0.04</v>
      </c>
      <c r="N49" s="20">
        <f t="shared" si="24"/>
        <v>0.04</v>
      </c>
      <c r="O49" s="20">
        <f t="shared" si="24"/>
        <v>0.04</v>
      </c>
    </row>
    <row r="50" spans="1:15">
      <c r="C50" s="18" t="s">
        <v>225</v>
      </c>
      <c r="F50" s="34">
        <f t="shared" ref="F50:O50" si="25">IF(F3,F21,F45*F49)</f>
        <v>0.7</v>
      </c>
      <c r="G50" s="34">
        <f t="shared" si="25"/>
        <v>0.8</v>
      </c>
      <c r="H50" s="34">
        <f t="shared" si="25"/>
        <v>0.4</v>
      </c>
      <c r="I50" s="34">
        <f t="shared" si="25"/>
        <v>0.4</v>
      </c>
      <c r="J50" s="34">
        <f t="shared" si="25"/>
        <v>0.2</v>
      </c>
      <c r="K50" s="34">
        <f t="shared" si="25"/>
        <v>0.2</v>
      </c>
      <c r="L50" s="34">
        <f t="shared" si="25"/>
        <v>-0.2</v>
      </c>
      <c r="M50" s="34">
        <f t="shared" si="25"/>
        <v>-2.093150000000001</v>
      </c>
      <c r="N50" s="34">
        <f t="shared" si="25"/>
        <v>-3.5095185000000018</v>
      </c>
      <c r="O50" s="34">
        <f t="shared" si="25"/>
        <v>-4.8538733150000013</v>
      </c>
    </row>
    <row r="52" spans="1:15">
      <c r="A52" s="71" t="s">
        <v>465</v>
      </c>
    </row>
    <row r="53" spans="1:15">
      <c r="B53" s="18" t="s">
        <v>212</v>
      </c>
    </row>
    <row r="54" spans="1:15">
      <c r="C54" s="18" t="s">
        <v>534</v>
      </c>
      <c r="F54" s="34">
        <f t="shared" ref="F54:O54" si="26">F42</f>
        <v>45</v>
      </c>
      <c r="G54" s="34">
        <f t="shared" si="26"/>
        <v>50</v>
      </c>
      <c r="H54" s="34">
        <f t="shared" si="26"/>
        <v>52.5</v>
      </c>
      <c r="I54" s="34">
        <f t="shared" si="26"/>
        <v>55</v>
      </c>
      <c r="J54" s="34">
        <f t="shared" si="26"/>
        <v>57.5</v>
      </c>
      <c r="K54" s="34">
        <f t="shared" si="26"/>
        <v>60</v>
      </c>
      <c r="L54" s="34">
        <f t="shared" si="26"/>
        <v>68.984999999999999</v>
      </c>
      <c r="M54" s="34">
        <f t="shared" si="26"/>
        <v>81.27</v>
      </c>
      <c r="N54" s="34">
        <f t="shared" si="26"/>
        <v>93.554999999999993</v>
      </c>
      <c r="O54" s="34">
        <f t="shared" si="26"/>
        <v>105.83999999999999</v>
      </c>
    </row>
    <row r="55" spans="1:15">
      <c r="C55" s="18" t="s">
        <v>603</v>
      </c>
      <c r="F55" s="34">
        <f>F38</f>
        <v>250</v>
      </c>
      <c r="G55" s="34">
        <f t="shared" ref="G55:O55" si="27">G38</f>
        <v>260</v>
      </c>
      <c r="H55" s="34">
        <f t="shared" si="27"/>
        <v>275</v>
      </c>
      <c r="I55" s="34">
        <f t="shared" si="27"/>
        <v>280</v>
      </c>
      <c r="J55" s="34">
        <f t="shared" si="27"/>
        <v>290</v>
      </c>
      <c r="K55" s="34">
        <f t="shared" si="27"/>
        <v>300</v>
      </c>
      <c r="L55" s="34">
        <f t="shared" si="27"/>
        <v>365</v>
      </c>
      <c r="M55" s="34">
        <f t="shared" si="27"/>
        <v>430</v>
      </c>
      <c r="N55" s="34">
        <f t="shared" si="27"/>
        <v>495</v>
      </c>
      <c r="O55" s="34">
        <f t="shared" si="27"/>
        <v>560</v>
      </c>
    </row>
    <row r="56" spans="1:15">
      <c r="C56" s="18" t="s">
        <v>602</v>
      </c>
      <c r="F56" s="34">
        <f>F39</f>
        <v>275</v>
      </c>
      <c r="G56" s="34">
        <f t="shared" ref="G56:O56" si="28">G39</f>
        <v>286</v>
      </c>
      <c r="H56" s="34">
        <f t="shared" si="28"/>
        <v>302.5</v>
      </c>
      <c r="I56" s="34">
        <f t="shared" si="28"/>
        <v>308</v>
      </c>
      <c r="J56" s="34">
        <f t="shared" si="28"/>
        <v>319</v>
      </c>
      <c r="K56" s="34">
        <f t="shared" si="28"/>
        <v>330</v>
      </c>
      <c r="L56" s="34">
        <f t="shared" si="28"/>
        <v>401.50000000000006</v>
      </c>
      <c r="M56" s="34">
        <f t="shared" si="28"/>
        <v>473.00000000000006</v>
      </c>
      <c r="N56" s="34">
        <f t="shared" si="28"/>
        <v>544.5</v>
      </c>
      <c r="O56" s="34">
        <f t="shared" si="28"/>
        <v>616</v>
      </c>
    </row>
    <row r="57" spans="1:15">
      <c r="C57" s="18" t="s">
        <v>601</v>
      </c>
      <c r="F57" s="34">
        <f>F50</f>
        <v>0.7</v>
      </c>
      <c r="G57" s="34">
        <f t="shared" ref="G57:O57" si="29">G50</f>
        <v>0.8</v>
      </c>
      <c r="H57" s="34">
        <f t="shared" si="29"/>
        <v>0.4</v>
      </c>
      <c r="I57" s="34">
        <f t="shared" si="29"/>
        <v>0.4</v>
      </c>
      <c r="J57" s="34">
        <f t="shared" si="29"/>
        <v>0.2</v>
      </c>
      <c r="K57" s="34">
        <f t="shared" si="29"/>
        <v>0.2</v>
      </c>
      <c r="L57" s="34">
        <f t="shared" si="29"/>
        <v>-0.2</v>
      </c>
      <c r="M57" s="34">
        <f t="shared" si="29"/>
        <v>-2.093150000000001</v>
      </c>
      <c r="N57" s="34">
        <f t="shared" si="29"/>
        <v>-3.5095185000000018</v>
      </c>
      <c r="O57" s="34">
        <f t="shared" si="29"/>
        <v>-4.8538733150000013</v>
      </c>
    </row>
    <row r="58" spans="1:15" ht="15" thickBot="1">
      <c r="C58" s="35" t="s">
        <v>234</v>
      </c>
      <c r="D58" s="35"/>
      <c r="E58" s="35"/>
      <c r="F58" s="36">
        <f>F54+F55-F56-F57</f>
        <v>19.3</v>
      </c>
      <c r="G58" s="36">
        <f t="shared" ref="G58:O58" si="30">G54+G55-G56-G57</f>
        <v>23.2</v>
      </c>
      <c r="H58" s="36">
        <f t="shared" si="30"/>
        <v>24.6</v>
      </c>
      <c r="I58" s="36">
        <f t="shared" si="30"/>
        <v>26.6</v>
      </c>
      <c r="J58" s="36">
        <f t="shared" si="30"/>
        <v>28.3</v>
      </c>
      <c r="K58" s="36">
        <f t="shared" si="30"/>
        <v>29.8</v>
      </c>
      <c r="L58" s="36">
        <f t="shared" si="30"/>
        <v>32.68499999999996</v>
      </c>
      <c r="M58" s="36">
        <f t="shared" si="30"/>
        <v>40.363149999999926</v>
      </c>
      <c r="N58" s="36">
        <f t="shared" si="30"/>
        <v>47.564518499999949</v>
      </c>
      <c r="O58" s="36">
        <f t="shared" si="30"/>
        <v>54.693873315000033</v>
      </c>
    </row>
    <row r="60" spans="1:15">
      <c r="B60" s="18" t="s">
        <v>242</v>
      </c>
    </row>
    <row r="61" spans="1:15">
      <c r="C61" s="18" t="s">
        <v>234</v>
      </c>
      <c r="F61" s="34">
        <f>F58</f>
        <v>19.3</v>
      </c>
      <c r="G61" s="34">
        <f t="shared" ref="G61:O61" si="31">G58</f>
        <v>23.2</v>
      </c>
      <c r="H61" s="34">
        <f t="shared" si="31"/>
        <v>24.6</v>
      </c>
      <c r="I61" s="34">
        <f t="shared" si="31"/>
        <v>26.6</v>
      </c>
      <c r="J61" s="34">
        <f t="shared" si="31"/>
        <v>28.3</v>
      </c>
      <c r="K61" s="34">
        <f t="shared" si="31"/>
        <v>29.8</v>
      </c>
      <c r="L61" s="34">
        <f t="shared" si="31"/>
        <v>32.68499999999996</v>
      </c>
      <c r="M61" s="34">
        <f t="shared" si="31"/>
        <v>40.363149999999926</v>
      </c>
      <c r="N61" s="34">
        <f t="shared" si="31"/>
        <v>47.564518499999949</v>
      </c>
      <c r="O61" s="34">
        <f t="shared" si="31"/>
        <v>54.693873315000033</v>
      </c>
    </row>
    <row r="62" spans="1:15">
      <c r="C62" s="18" t="s">
        <v>618</v>
      </c>
      <c r="F62" s="34">
        <f>F41-E41</f>
        <v>900</v>
      </c>
      <c r="G62" s="34">
        <f t="shared" ref="G62:O62" si="32">G41-F41</f>
        <v>100</v>
      </c>
      <c r="H62" s="34">
        <f t="shared" si="32"/>
        <v>50</v>
      </c>
      <c r="I62" s="34">
        <f t="shared" si="32"/>
        <v>50</v>
      </c>
      <c r="J62" s="34">
        <f t="shared" si="32"/>
        <v>50</v>
      </c>
      <c r="K62" s="34">
        <f t="shared" si="32"/>
        <v>50</v>
      </c>
      <c r="L62" s="34">
        <f t="shared" si="32"/>
        <v>333</v>
      </c>
      <c r="M62" s="34">
        <f t="shared" si="32"/>
        <v>273</v>
      </c>
      <c r="N62" s="34">
        <f t="shared" si="32"/>
        <v>273</v>
      </c>
      <c r="O62" s="34">
        <f t="shared" si="32"/>
        <v>273</v>
      </c>
    </row>
    <row r="63" spans="1:15">
      <c r="C63" s="18" t="s">
        <v>619</v>
      </c>
      <c r="F63" s="34">
        <f>F40-E40</f>
        <v>750</v>
      </c>
      <c r="G63" s="34">
        <f t="shared" ref="G63:O63" si="33">G40-F40</f>
        <v>83.333333333333371</v>
      </c>
      <c r="H63" s="34">
        <f t="shared" si="33"/>
        <v>41.666666666666629</v>
      </c>
      <c r="I63" s="34">
        <f t="shared" si="33"/>
        <v>41.666666666666742</v>
      </c>
      <c r="J63" s="34">
        <f t="shared" si="33"/>
        <v>41.666666666666629</v>
      </c>
      <c r="K63" s="34">
        <f t="shared" si="33"/>
        <v>41.666666666666629</v>
      </c>
      <c r="L63" s="34">
        <f t="shared" si="33"/>
        <v>277.5</v>
      </c>
      <c r="M63" s="34">
        <f t="shared" si="33"/>
        <v>227.5</v>
      </c>
      <c r="N63" s="34">
        <f t="shared" si="33"/>
        <v>227.5</v>
      </c>
      <c r="O63" s="34">
        <f t="shared" si="33"/>
        <v>227.5</v>
      </c>
    </row>
    <row r="64" spans="1:15">
      <c r="C64" s="18" t="s">
        <v>620</v>
      </c>
      <c r="F64" s="34">
        <f>F58*F35</f>
        <v>19</v>
      </c>
      <c r="G64" s="34">
        <f t="shared" ref="G64:O64" si="34">G58*G35</f>
        <v>20</v>
      </c>
      <c r="H64" s="34">
        <f t="shared" si="34"/>
        <v>23</v>
      </c>
      <c r="I64" s="34">
        <f t="shared" si="34"/>
        <v>23</v>
      </c>
      <c r="J64" s="34">
        <f t="shared" si="34"/>
        <v>25</v>
      </c>
      <c r="K64" s="34">
        <f t="shared" si="34"/>
        <v>27</v>
      </c>
      <c r="L64" s="34">
        <f t="shared" si="34"/>
        <v>24.51374999999997</v>
      </c>
      <c r="M64" s="34">
        <f t="shared" si="34"/>
        <v>30.272362499999943</v>
      </c>
      <c r="N64" s="34">
        <f t="shared" si="34"/>
        <v>35.673388874999958</v>
      </c>
      <c r="O64" s="34">
        <f t="shared" si="34"/>
        <v>41.020404986250028</v>
      </c>
    </row>
    <row r="65" spans="2:15">
      <c r="C65" s="18" t="s">
        <v>494</v>
      </c>
      <c r="F65" s="34"/>
      <c r="G65" s="34"/>
      <c r="H65" s="34"/>
      <c r="I65" s="34"/>
      <c r="J65" s="34"/>
      <c r="K65" s="34"/>
      <c r="L65" s="111"/>
      <c r="M65" s="112"/>
      <c r="N65" s="112"/>
      <c r="O65" s="113"/>
    </row>
    <row r="66" spans="2:15" ht="15" thickBot="1">
      <c r="C66" s="35" t="s">
        <v>360</v>
      </c>
      <c r="D66" s="35"/>
      <c r="E66" s="35"/>
      <c r="F66" s="36">
        <f>F61-F62+F63-F64+F65</f>
        <v>-149.70000000000005</v>
      </c>
      <c r="G66" s="36">
        <f t="shared" ref="G66:L66" si="35">G61-G62+G63-G64+G65</f>
        <v>-13.466666666666626</v>
      </c>
      <c r="H66" s="36">
        <f t="shared" si="35"/>
        <v>-6.7333333333333698</v>
      </c>
      <c r="I66" s="36">
        <f t="shared" si="35"/>
        <v>-4.7333333333332561</v>
      </c>
      <c r="J66" s="36">
        <f t="shared" si="35"/>
        <v>-5.0333333333333705</v>
      </c>
      <c r="K66" s="36">
        <f t="shared" si="35"/>
        <v>-5.5333333333333705</v>
      </c>
      <c r="L66" s="36">
        <f t="shared" si="35"/>
        <v>-47.328750000000028</v>
      </c>
      <c r="M66" s="36">
        <f t="shared" ref="M66" si="36">M61-M62+M63-M64+M65</f>
        <v>-35.40921250000001</v>
      </c>
      <c r="N66" s="36">
        <f t="shared" ref="N66" si="37">N61-N62+N63-N64+N65</f>
        <v>-33.608870374999995</v>
      </c>
      <c r="O66" s="36">
        <f t="shared" ref="O66" si="38">O61-O62+O63-O64+O65</f>
        <v>-31.826531671250009</v>
      </c>
    </row>
    <row r="67" spans="2:15">
      <c r="F67" s="34"/>
      <c r="G67" s="34"/>
      <c r="H67" s="34"/>
      <c r="I67" s="34"/>
      <c r="J67" s="34"/>
      <c r="K67" s="34"/>
      <c r="L67" s="34"/>
      <c r="M67" s="34"/>
      <c r="N67" s="34"/>
      <c r="O67" s="34"/>
    </row>
    <row r="68" spans="2:15">
      <c r="B68" s="18" t="s">
        <v>270</v>
      </c>
    </row>
    <row r="69" spans="2:15">
      <c r="C69" s="18" t="s">
        <v>466</v>
      </c>
    </row>
    <row r="70" spans="2:15">
      <c r="D70" s="18" t="s">
        <v>51</v>
      </c>
      <c r="F70" s="34">
        <f>E74</f>
        <v>0</v>
      </c>
      <c r="G70" s="34">
        <f t="shared" ref="G70:O70" si="39">F74</f>
        <v>130</v>
      </c>
      <c r="H70" s="34">
        <f t="shared" si="39"/>
        <v>156.66666666666663</v>
      </c>
      <c r="I70" s="34">
        <f t="shared" si="39"/>
        <v>165</v>
      </c>
      <c r="J70" s="34">
        <f t="shared" si="39"/>
        <v>178.33333333333326</v>
      </c>
      <c r="K70" s="34">
        <f t="shared" si="39"/>
        <v>186.66666666666663</v>
      </c>
      <c r="L70" s="34">
        <f t="shared" si="39"/>
        <v>195</v>
      </c>
      <c r="M70" s="34">
        <f t="shared" si="39"/>
        <v>203.17124999999999</v>
      </c>
      <c r="N70" s="34">
        <f t="shared" si="39"/>
        <v>213.26203749999996</v>
      </c>
      <c r="O70" s="34">
        <f t="shared" si="39"/>
        <v>225.15316712499998</v>
      </c>
    </row>
    <row r="71" spans="2:15">
      <c r="D71" s="18" t="s">
        <v>467</v>
      </c>
      <c r="F71" s="34">
        <f t="shared" ref="F71:O71" si="40">F58</f>
        <v>19.3</v>
      </c>
      <c r="G71" s="34">
        <f t="shared" si="40"/>
        <v>23.2</v>
      </c>
      <c r="H71" s="34">
        <f t="shared" si="40"/>
        <v>24.6</v>
      </c>
      <c r="I71" s="34">
        <f t="shared" si="40"/>
        <v>26.6</v>
      </c>
      <c r="J71" s="34">
        <f t="shared" si="40"/>
        <v>28.3</v>
      </c>
      <c r="K71" s="34">
        <f t="shared" si="40"/>
        <v>29.8</v>
      </c>
      <c r="L71" s="34">
        <f t="shared" si="40"/>
        <v>32.68499999999996</v>
      </c>
      <c r="M71" s="34">
        <f t="shared" si="40"/>
        <v>40.363149999999926</v>
      </c>
      <c r="N71" s="34">
        <f t="shared" si="40"/>
        <v>47.564518499999949</v>
      </c>
      <c r="O71" s="34">
        <f t="shared" si="40"/>
        <v>54.693873315000033</v>
      </c>
    </row>
    <row r="72" spans="2:15">
      <c r="D72" s="18" t="s">
        <v>468</v>
      </c>
      <c r="F72" s="34">
        <f>F64</f>
        <v>19</v>
      </c>
      <c r="G72" s="34">
        <f t="shared" ref="G72:O72" si="41">G64</f>
        <v>20</v>
      </c>
      <c r="H72" s="34">
        <f t="shared" si="41"/>
        <v>23</v>
      </c>
      <c r="I72" s="34">
        <f t="shared" si="41"/>
        <v>23</v>
      </c>
      <c r="J72" s="34">
        <f t="shared" si="41"/>
        <v>25</v>
      </c>
      <c r="K72" s="34">
        <f t="shared" si="41"/>
        <v>27</v>
      </c>
      <c r="L72" s="34">
        <f t="shared" si="41"/>
        <v>24.51374999999997</v>
      </c>
      <c r="M72" s="34">
        <f t="shared" si="41"/>
        <v>30.272362499999943</v>
      </c>
      <c r="N72" s="34">
        <f t="shared" si="41"/>
        <v>35.673388874999958</v>
      </c>
      <c r="O72" s="34">
        <f t="shared" si="41"/>
        <v>41.020404986250028</v>
      </c>
    </row>
    <row r="73" spans="2:15">
      <c r="D73" s="18" t="s">
        <v>495</v>
      </c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2:15">
      <c r="D74" s="18" t="s">
        <v>54</v>
      </c>
      <c r="F74" s="34">
        <f t="shared" ref="F74:O74" si="42">IF(F3,F13,F70+F71-F72+F73)</f>
        <v>130</v>
      </c>
      <c r="G74" s="34">
        <f t="shared" si="42"/>
        <v>156.66666666666663</v>
      </c>
      <c r="H74" s="34">
        <f t="shared" si="42"/>
        <v>165</v>
      </c>
      <c r="I74" s="34">
        <f t="shared" si="42"/>
        <v>178.33333333333326</v>
      </c>
      <c r="J74" s="34">
        <f t="shared" si="42"/>
        <v>186.66666666666663</v>
      </c>
      <c r="K74" s="34">
        <f t="shared" si="42"/>
        <v>195</v>
      </c>
      <c r="L74" s="34">
        <f t="shared" si="42"/>
        <v>203.17124999999999</v>
      </c>
      <c r="M74" s="34">
        <f t="shared" si="42"/>
        <v>213.26203749999996</v>
      </c>
      <c r="N74" s="34">
        <f t="shared" si="42"/>
        <v>225.15316712499998</v>
      </c>
      <c r="O74" s="34">
        <f t="shared" si="42"/>
        <v>238.82663545374999</v>
      </c>
    </row>
    <row r="76" spans="2:15">
      <c r="C76" s="18" t="s">
        <v>271</v>
      </c>
    </row>
    <row r="77" spans="2:15">
      <c r="C77" s="18" t="s">
        <v>533</v>
      </c>
      <c r="F77" s="34">
        <f>F41</f>
        <v>900</v>
      </c>
      <c r="G77" s="34">
        <f t="shared" ref="G77:O77" si="43">G41</f>
        <v>1000</v>
      </c>
      <c r="H77" s="34">
        <f t="shared" si="43"/>
        <v>1050</v>
      </c>
      <c r="I77" s="34">
        <f t="shared" si="43"/>
        <v>1100</v>
      </c>
      <c r="J77" s="34">
        <f t="shared" si="43"/>
        <v>1150</v>
      </c>
      <c r="K77" s="34">
        <f t="shared" si="43"/>
        <v>1200</v>
      </c>
      <c r="L77" s="34">
        <f t="shared" si="43"/>
        <v>1533</v>
      </c>
      <c r="M77" s="34">
        <f t="shared" si="43"/>
        <v>1806</v>
      </c>
      <c r="N77" s="34">
        <f t="shared" si="43"/>
        <v>2079</v>
      </c>
      <c r="O77" s="34">
        <f t="shared" si="43"/>
        <v>2352</v>
      </c>
    </row>
    <row r="78" spans="2:15">
      <c r="F78" s="34"/>
      <c r="G78" s="34"/>
      <c r="H78" s="34"/>
      <c r="I78" s="34"/>
      <c r="J78" s="34"/>
      <c r="K78" s="34"/>
      <c r="L78" s="34"/>
      <c r="M78" s="34"/>
      <c r="N78" s="34"/>
      <c r="O78" s="34"/>
    </row>
    <row r="79" spans="2:15">
      <c r="C79" s="18" t="s">
        <v>9</v>
      </c>
      <c r="F79" s="34">
        <f t="shared" ref="F79:O79" si="44">-F47</f>
        <v>20</v>
      </c>
      <c r="G79" s="34">
        <f t="shared" si="44"/>
        <v>10</v>
      </c>
      <c r="H79" s="34">
        <f t="shared" si="44"/>
        <v>10</v>
      </c>
      <c r="I79" s="34">
        <f t="shared" si="44"/>
        <v>5</v>
      </c>
      <c r="J79" s="34">
        <f t="shared" si="44"/>
        <v>5</v>
      </c>
      <c r="K79" s="34">
        <f t="shared" si="44"/>
        <v>5</v>
      </c>
      <c r="L79" s="34">
        <f t="shared" si="44"/>
        <v>52.328750000000028</v>
      </c>
      <c r="M79" s="34">
        <f t="shared" si="44"/>
        <v>87.737962500000037</v>
      </c>
      <c r="N79" s="34">
        <f t="shared" si="44"/>
        <v>121.34683287500003</v>
      </c>
      <c r="O79" s="34">
        <f t="shared" si="44"/>
        <v>153.17336454625004</v>
      </c>
    </row>
    <row r="80" spans="2:15">
      <c r="C80" s="18" t="s">
        <v>532</v>
      </c>
      <c r="F80" s="34">
        <f>F40</f>
        <v>750</v>
      </c>
      <c r="G80" s="34">
        <f t="shared" ref="G80:O80" si="45">G40</f>
        <v>833.33333333333337</v>
      </c>
      <c r="H80" s="34">
        <f t="shared" si="45"/>
        <v>875</v>
      </c>
      <c r="I80" s="34">
        <f t="shared" si="45"/>
        <v>916.66666666666674</v>
      </c>
      <c r="J80" s="34">
        <f t="shared" si="45"/>
        <v>958.33333333333337</v>
      </c>
      <c r="K80" s="34">
        <f t="shared" si="45"/>
        <v>1000</v>
      </c>
      <c r="L80" s="34">
        <f t="shared" si="45"/>
        <v>1277.5</v>
      </c>
      <c r="M80" s="34">
        <f t="shared" si="45"/>
        <v>1505</v>
      </c>
      <c r="N80" s="34">
        <f t="shared" si="45"/>
        <v>1732.5</v>
      </c>
      <c r="O80" s="34">
        <f t="shared" si="45"/>
        <v>1960</v>
      </c>
    </row>
    <row r="81" spans="3:18">
      <c r="C81" s="18" t="s">
        <v>469</v>
      </c>
      <c r="F81" s="34">
        <f>F74</f>
        <v>130</v>
      </c>
      <c r="G81" s="34">
        <f t="shared" ref="G81:O81" si="46">G74</f>
        <v>156.66666666666663</v>
      </c>
      <c r="H81" s="34">
        <f t="shared" si="46"/>
        <v>165</v>
      </c>
      <c r="I81" s="34">
        <f t="shared" si="46"/>
        <v>178.33333333333326</v>
      </c>
      <c r="J81" s="34">
        <f t="shared" si="46"/>
        <v>186.66666666666663</v>
      </c>
      <c r="K81" s="34">
        <f t="shared" si="46"/>
        <v>195</v>
      </c>
      <c r="L81" s="34">
        <f t="shared" si="46"/>
        <v>203.17124999999999</v>
      </c>
      <c r="M81" s="34">
        <f t="shared" si="46"/>
        <v>213.26203749999996</v>
      </c>
      <c r="N81" s="34">
        <f t="shared" si="46"/>
        <v>225.15316712499998</v>
      </c>
      <c r="O81" s="34">
        <f t="shared" si="46"/>
        <v>238.82663545374999</v>
      </c>
    </row>
    <row r="82" spans="3:18" ht="15" thickBot="1">
      <c r="C82" s="35" t="s">
        <v>446</v>
      </c>
      <c r="D82" s="35"/>
      <c r="E82" s="35"/>
      <c r="F82" s="36">
        <f>F80+F81+F79</f>
        <v>900</v>
      </c>
      <c r="G82" s="36">
        <f t="shared" ref="G82:O82" si="47">G80+G81+G79</f>
        <v>1000</v>
      </c>
      <c r="H82" s="36">
        <f t="shared" si="47"/>
        <v>1050</v>
      </c>
      <c r="I82" s="36">
        <f t="shared" si="47"/>
        <v>1100</v>
      </c>
      <c r="J82" s="36">
        <f t="shared" si="47"/>
        <v>1150</v>
      </c>
      <c r="K82" s="36">
        <f t="shared" si="47"/>
        <v>1200</v>
      </c>
      <c r="L82" s="36">
        <f t="shared" si="47"/>
        <v>1533</v>
      </c>
      <c r="M82" s="36">
        <f t="shared" si="47"/>
        <v>1806</v>
      </c>
      <c r="N82" s="36">
        <f t="shared" si="47"/>
        <v>2079</v>
      </c>
      <c r="O82" s="36">
        <f t="shared" si="47"/>
        <v>2352</v>
      </c>
    </row>
    <row r="83" spans="3:18">
      <c r="F83" s="34"/>
      <c r="G83" s="34"/>
      <c r="H83" s="34"/>
      <c r="I83" s="34"/>
      <c r="J83" s="34"/>
      <c r="K83" s="34"/>
      <c r="L83" s="34"/>
      <c r="M83" s="34"/>
      <c r="N83" s="34"/>
      <c r="O83" s="34"/>
      <c r="R83" s="18" t="s">
        <v>735</v>
      </c>
    </row>
    <row r="84" spans="3:18">
      <c r="C84" s="18" t="s">
        <v>62</v>
      </c>
      <c r="F84" s="34">
        <f t="shared" ref="F84:O84" si="48">F77-F82</f>
        <v>0</v>
      </c>
      <c r="G84" s="34">
        <f t="shared" si="48"/>
        <v>0</v>
      </c>
      <c r="H84" s="34">
        <f t="shared" si="48"/>
        <v>0</v>
      </c>
      <c r="I84" s="34">
        <f t="shared" si="48"/>
        <v>0</v>
      </c>
      <c r="J84" s="34">
        <f t="shared" si="48"/>
        <v>0</v>
      </c>
      <c r="K84" s="34">
        <f t="shared" si="48"/>
        <v>0</v>
      </c>
      <c r="L84" s="34">
        <f t="shared" si="48"/>
        <v>0</v>
      </c>
      <c r="M84" s="34">
        <f t="shared" si="48"/>
        <v>0</v>
      </c>
      <c r="N84" s="34">
        <f t="shared" si="48"/>
        <v>0</v>
      </c>
      <c r="O84" s="34">
        <f t="shared" si="48"/>
        <v>0</v>
      </c>
      <c r="R84" s="18" t="s">
        <v>736</v>
      </c>
    </row>
    <row r="85" spans="3:18">
      <c r="C85" s="18" t="s">
        <v>529</v>
      </c>
      <c r="E85" s="18" t="b">
        <f>AND(F85:O85)</f>
        <v>1</v>
      </c>
      <c r="F85" s="18" t="b">
        <f>F84=0</f>
        <v>1</v>
      </c>
      <c r="G85" s="18" t="b">
        <f t="shared" ref="G85:O85" si="49">G84=0</f>
        <v>1</v>
      </c>
      <c r="H85" s="18" t="b">
        <f t="shared" si="49"/>
        <v>1</v>
      </c>
      <c r="I85" s="18" t="b">
        <f t="shared" si="49"/>
        <v>1</v>
      </c>
      <c r="J85" s="18" t="b">
        <f t="shared" si="49"/>
        <v>1</v>
      </c>
      <c r="K85" s="18" t="b">
        <f t="shared" si="49"/>
        <v>1</v>
      </c>
      <c r="L85" s="18" t="b">
        <f t="shared" si="49"/>
        <v>1</v>
      </c>
      <c r="M85" s="18" t="b">
        <f t="shared" si="49"/>
        <v>1</v>
      </c>
      <c r="N85" s="18" t="b">
        <f t="shared" si="49"/>
        <v>1</v>
      </c>
      <c r="O85" s="18" t="b">
        <f t="shared" si="49"/>
        <v>1</v>
      </c>
      <c r="R85" s="18" t="s">
        <v>737</v>
      </c>
    </row>
    <row r="86" spans="3:18">
      <c r="R86" s="18" t="s">
        <v>740</v>
      </c>
    </row>
    <row r="87" spans="3:18">
      <c r="C87" s="18" t="s">
        <v>492</v>
      </c>
      <c r="F87" s="20">
        <f>F81/F77</f>
        <v>0.14444444444444443</v>
      </c>
      <c r="G87" s="20">
        <f t="shared" ref="G87:O87" si="50">G81/G77</f>
        <v>0.15666666666666662</v>
      </c>
      <c r="H87" s="20">
        <f t="shared" si="50"/>
        <v>0.15714285714285714</v>
      </c>
      <c r="I87" s="20">
        <f t="shared" si="50"/>
        <v>0.16212121212121205</v>
      </c>
      <c r="J87" s="20">
        <f t="shared" si="50"/>
        <v>0.16231884057971011</v>
      </c>
      <c r="K87" s="20">
        <f>K81/K77</f>
        <v>0.16250000000000001</v>
      </c>
      <c r="L87" s="20">
        <f t="shared" si="50"/>
        <v>0.13253180039138943</v>
      </c>
      <c r="M87" s="20">
        <f t="shared" si="50"/>
        <v>0.11808529208194904</v>
      </c>
      <c r="N87" s="20">
        <f t="shared" si="50"/>
        <v>0.10829878168590668</v>
      </c>
      <c r="O87" s="20">
        <f t="shared" si="50"/>
        <v>0.10154193684258078</v>
      </c>
    </row>
    <row r="88" spans="3:18">
      <c r="C88" s="18" t="s">
        <v>493</v>
      </c>
      <c r="F88" s="20">
        <f t="shared" ref="F88:O88" si="51">F34</f>
        <v>0.14130434782608695</v>
      </c>
      <c r="G88" s="20">
        <f t="shared" si="51"/>
        <v>0.15064102564102561</v>
      </c>
      <c r="H88" s="20">
        <f t="shared" si="51"/>
        <v>0.15277777777777779</v>
      </c>
      <c r="I88" s="20">
        <f t="shared" si="51"/>
        <v>0.15643274853801162</v>
      </c>
      <c r="J88" s="20">
        <f t="shared" si="51"/>
        <v>0.15686274509803919</v>
      </c>
      <c r="K88" s="20">
        <f t="shared" si="51"/>
        <v>0.15725806451612903</v>
      </c>
      <c r="L88" s="20">
        <f t="shared" si="51"/>
        <v>0.155</v>
      </c>
      <c r="M88" s="20">
        <f t="shared" si="51"/>
        <v>0.155</v>
      </c>
      <c r="N88" s="20">
        <f t="shared" si="51"/>
        <v>0.155</v>
      </c>
      <c r="O88" s="20">
        <f t="shared" si="51"/>
        <v>0.155</v>
      </c>
    </row>
    <row r="89" spans="3:18">
      <c r="C89" s="18" t="s">
        <v>62</v>
      </c>
      <c r="L89" s="20">
        <f>L87-L88</f>
        <v>-2.2468199608610573E-2</v>
      </c>
      <c r="M89" s="20">
        <f t="shared" ref="M89:O89" si="52">M87-M88</f>
        <v>-3.691470791805096E-2</v>
      </c>
      <c r="N89" s="20">
        <f t="shared" si="52"/>
        <v>-4.6701218314093323E-2</v>
      </c>
      <c r="O89" s="20">
        <f t="shared" si="52"/>
        <v>-5.3458063157419217E-2</v>
      </c>
    </row>
    <row r="91" spans="3:18">
      <c r="C91" s="18" t="s">
        <v>458</v>
      </c>
      <c r="F91" s="34">
        <f>F72-F73</f>
        <v>19</v>
      </c>
      <c r="G91" s="34">
        <f t="shared" ref="G91:O91" si="53">G72-G73</f>
        <v>20</v>
      </c>
      <c r="H91" s="34">
        <f t="shared" si="53"/>
        <v>23</v>
      </c>
      <c r="I91" s="34">
        <f t="shared" si="53"/>
        <v>23</v>
      </c>
      <c r="J91" s="34">
        <f t="shared" si="53"/>
        <v>25</v>
      </c>
      <c r="K91" s="34">
        <f t="shared" si="53"/>
        <v>27</v>
      </c>
      <c r="L91" s="34">
        <f t="shared" si="53"/>
        <v>24.51374999999997</v>
      </c>
      <c r="M91" s="34">
        <f t="shared" si="53"/>
        <v>30.272362499999943</v>
      </c>
      <c r="N91" s="34">
        <f t="shared" si="53"/>
        <v>35.673388874999958</v>
      </c>
      <c r="O91" s="34">
        <f t="shared" si="53"/>
        <v>41.020404986250028</v>
      </c>
    </row>
    <row r="93" spans="3:18">
      <c r="C93" s="18" t="s">
        <v>365</v>
      </c>
      <c r="F93" s="20">
        <f>F58/F74</f>
        <v>0.14846153846153848</v>
      </c>
      <c r="G93" s="20">
        <f t="shared" ref="G93:O93" si="54">G58/G74</f>
        <v>0.14808510638297875</v>
      </c>
      <c r="H93" s="20">
        <f t="shared" si="54"/>
        <v>0.14909090909090911</v>
      </c>
      <c r="I93" s="20">
        <f t="shared" si="54"/>
        <v>0.14915887850467296</v>
      </c>
      <c r="J93" s="20">
        <f t="shared" si="54"/>
        <v>0.15160714285714288</v>
      </c>
      <c r="K93" s="20">
        <f t="shared" si="54"/>
        <v>0.15282051282051282</v>
      </c>
      <c r="L93" s="20">
        <f t="shared" si="54"/>
        <v>0.16087413942671497</v>
      </c>
      <c r="M93" s="20">
        <f t="shared" si="54"/>
        <v>0.18926551801325603</v>
      </c>
      <c r="N93" s="20">
        <f t="shared" si="54"/>
        <v>0.21125405033096067</v>
      </c>
      <c r="O93" s="20">
        <f t="shared" si="54"/>
        <v>0.22901077683854817</v>
      </c>
    </row>
    <row r="95" spans="3:18">
      <c r="C95" s="18" t="s">
        <v>739</v>
      </c>
      <c r="L95" s="18">
        <f>L88*L77-L70-L71+L72</f>
        <v>34.443750000000023</v>
      </c>
      <c r="M95" s="18">
        <f t="shared" ref="M95:O95" si="55">M88*M77-M70-M71+M72</f>
        <v>66.667962500000044</v>
      </c>
      <c r="N95" s="18">
        <f t="shared" si="55"/>
        <v>97.091832875000051</v>
      </c>
      <c r="O95" s="18">
        <f t="shared" si="55"/>
        <v>125.73336454625002</v>
      </c>
    </row>
    <row r="97" spans="3:15">
      <c r="C97" s="18" t="s">
        <v>708</v>
      </c>
      <c r="O97" s="62"/>
    </row>
    <row r="98" spans="3:15">
      <c r="C98" s="18" t="s">
        <v>773</v>
      </c>
      <c r="O98" s="62"/>
    </row>
    <row r="100" spans="3:15">
      <c r="C100" s="18" t="s">
        <v>372</v>
      </c>
      <c r="O100" s="62"/>
    </row>
    <row r="101" spans="3:15">
      <c r="C101" s="18" t="s">
        <v>782</v>
      </c>
      <c r="O101" s="62"/>
    </row>
  </sheetData>
  <conditionalFormatting sqref="F1:O6 L7:O7 F32:O43 F8:O29 F94:O1048576 F51:O91">
    <cfRule type="expression" dxfId="47" priority="49">
      <formula>F$3=TRUE</formula>
    </cfRule>
  </conditionalFormatting>
  <conditionalFormatting sqref="A1:A2 A4:A5 B1:XFD6 A8:A15 B15:XFD17 B7:E7 L7:XFD7 A70:B74 C8:XFD14 A17:A29 B24:XFD29 A32:XFD43 A75:XFD82 C18:XFD23 A51:XFD69 A87:XFD91 A83:Q86 S83:XFD86 A94:XFD1048576 D70:XFD74">
    <cfRule type="cellIs" priority="47" stopIfTrue="1" operator="equal">
      <formula>TRUE</formula>
    </cfRule>
    <cfRule type="cellIs" priority="48" stopIfTrue="1" operator="equal">
      <formula>TRUE</formula>
    </cfRule>
  </conditionalFormatting>
  <conditionalFormatting sqref="A1:XFD5 B6:XFD6 A8:A14 A15:XFD15 B16:XFD16 A17:XFD17 B7:E7 L7:XFD7 A70:B74 A18:A23 C8:XFD14 A24:XFD29 A32:XFD43 A75:XFD82 C18:XFD23 A51:XFD69 A87:XFD91 A83:Q86 S83:XFD86 A94:XFD1048576 D70:XFD74">
    <cfRule type="containsText" dxfId="46" priority="41" operator="containsText" text="FALSE">
      <formula>NOT(ISERROR(SEARCH("FALSE",A1)))</formula>
    </cfRule>
    <cfRule type="cellIs" dxfId="45" priority="42" operator="equal">
      <formula>TRUE</formula>
    </cfRule>
    <cfRule type="containsText" dxfId="44" priority="43" operator="containsText" text="FALSE">
      <formula>NOT(ISERROR(SEARCH("FALSE",A1)))</formula>
    </cfRule>
    <cfRule type="cellIs" dxfId="43" priority="44" operator="equal">
      <formula>TRUE</formula>
    </cfRule>
    <cfRule type="cellIs" priority="45" stopIfTrue="1" operator="equal">
      <formula>TRUE</formula>
    </cfRule>
    <cfRule type="cellIs" priority="46" stopIfTrue="1" operator="equal">
      <formula>TRUE</formula>
    </cfRule>
  </conditionalFormatting>
  <conditionalFormatting sqref="F7:K7">
    <cfRule type="expression" dxfId="42" priority="40">
      <formula>F$3=TRUE</formula>
    </cfRule>
  </conditionalFormatting>
  <conditionalFormatting sqref="F7:K7">
    <cfRule type="cellIs" priority="38" stopIfTrue="1" operator="equal">
      <formula>TRUE</formula>
    </cfRule>
    <cfRule type="cellIs" priority="39" stopIfTrue="1" operator="equal">
      <formula>TRUE</formula>
    </cfRule>
  </conditionalFormatting>
  <conditionalFormatting sqref="F7:K7">
    <cfRule type="containsText" dxfId="41" priority="32" operator="containsText" text="FALSE">
      <formula>NOT(ISERROR(SEARCH("FALSE",F7)))</formula>
    </cfRule>
    <cfRule type="cellIs" dxfId="40" priority="33" operator="equal">
      <formula>TRUE</formula>
    </cfRule>
    <cfRule type="containsText" dxfId="39" priority="34" operator="containsText" text="FALSE">
      <formula>NOT(ISERROR(SEARCH("FALSE",F7)))</formula>
    </cfRule>
    <cfRule type="cellIs" dxfId="38" priority="35" operator="equal">
      <formula>TRUE</formula>
    </cfRule>
    <cfRule type="cellIs" priority="36" stopIfTrue="1" operator="equal">
      <formula>TRUE</formula>
    </cfRule>
    <cfRule type="cellIs" priority="37" stopIfTrue="1" operator="equal">
      <formula>TRUE</formula>
    </cfRule>
  </conditionalFormatting>
  <conditionalFormatting sqref="F44:O50">
    <cfRule type="expression" dxfId="37" priority="31">
      <formula>F$3=TRUE</formula>
    </cfRule>
  </conditionalFormatting>
  <conditionalFormatting sqref="A44:XFD50">
    <cfRule type="cellIs" priority="29" stopIfTrue="1" operator="equal">
      <formula>TRUE</formula>
    </cfRule>
    <cfRule type="cellIs" priority="30" stopIfTrue="1" operator="equal">
      <formula>TRUE</formula>
    </cfRule>
  </conditionalFormatting>
  <conditionalFormatting sqref="A44:XFD50">
    <cfRule type="cellIs" dxfId="36" priority="27" stopIfTrue="1" operator="equal">
      <formula>TRUE</formula>
    </cfRule>
    <cfRule type="cellIs" priority="28" stopIfTrue="1" operator="equal">
      <formula>TRUE</formula>
    </cfRule>
  </conditionalFormatting>
  <conditionalFormatting sqref="F31:O31">
    <cfRule type="expression" dxfId="35" priority="26">
      <formula>F$3=TRUE</formula>
    </cfRule>
  </conditionalFormatting>
  <conditionalFormatting sqref="F31:O31">
    <cfRule type="cellIs" priority="24" stopIfTrue="1" operator="equal">
      <formula>TRUE</formula>
    </cfRule>
    <cfRule type="cellIs" priority="25" stopIfTrue="1" operator="equal">
      <formula>TRUE</formula>
    </cfRule>
  </conditionalFormatting>
  <conditionalFormatting sqref="F31:O31">
    <cfRule type="containsText" dxfId="34" priority="18" operator="containsText" text="FALSE">
      <formula>NOT(ISERROR(SEARCH("FALSE",F31)))</formula>
    </cfRule>
    <cfRule type="cellIs" dxfId="33" priority="19" operator="equal">
      <formula>TRUE</formula>
    </cfRule>
    <cfRule type="containsText" dxfId="32" priority="20" operator="containsText" text="FALSE">
      <formula>NOT(ISERROR(SEARCH("FALSE",F31)))</formula>
    </cfRule>
    <cfRule type="cellIs" dxfId="31" priority="21" operator="equal">
      <formula>TRUE</formula>
    </cfRule>
    <cfRule type="cellIs" priority="22" stopIfTrue="1" operator="equal">
      <formula>TRUE</formula>
    </cfRule>
    <cfRule type="cellIs" priority="23" stopIfTrue="1" operator="equal">
      <formula>TRUE</formula>
    </cfRule>
  </conditionalFormatting>
  <conditionalFormatting sqref="F30:O30">
    <cfRule type="expression" dxfId="30" priority="17">
      <formula>F$3=TRUE</formula>
    </cfRule>
  </conditionalFormatting>
  <conditionalFormatting sqref="F30:O30">
    <cfRule type="cellIs" priority="15" stopIfTrue="1" operator="equal">
      <formula>TRUE</formula>
    </cfRule>
    <cfRule type="cellIs" priority="16" stopIfTrue="1" operator="equal">
      <formula>TRUE</formula>
    </cfRule>
  </conditionalFormatting>
  <conditionalFormatting sqref="F30:O30">
    <cfRule type="containsText" dxfId="29" priority="9" operator="containsText" text="FALSE">
      <formula>NOT(ISERROR(SEARCH("FALSE",F30)))</formula>
    </cfRule>
    <cfRule type="cellIs" dxfId="28" priority="10" operator="equal">
      <formula>TRUE</formula>
    </cfRule>
    <cfRule type="containsText" dxfId="27" priority="11" operator="containsText" text="FALSE">
      <formula>NOT(ISERROR(SEARCH("FALSE",F30)))</formula>
    </cfRule>
    <cfRule type="cellIs" dxfId="26" priority="12" operator="equal">
      <formula>TRUE</formula>
    </cfRule>
    <cfRule type="cellIs" priority="13" stopIfTrue="1" operator="equal">
      <formula>TRUE</formula>
    </cfRule>
    <cfRule type="cellIs" priority="14" stopIfTrue="1" operator="equal">
      <formula>TRUE</formula>
    </cfRule>
  </conditionalFormatting>
  <conditionalFormatting sqref="R83:R86">
    <cfRule type="cellIs" priority="7" stopIfTrue="1" operator="equal">
      <formula>TRUE</formula>
    </cfRule>
    <cfRule type="cellIs" priority="8" stopIfTrue="1" operator="equal">
      <formula>TRUE</formula>
    </cfRule>
  </conditionalFormatting>
  <conditionalFormatting sqref="R83:R86">
    <cfRule type="containsText" dxfId="25" priority="1" operator="containsText" text="FALSE">
      <formula>NOT(ISERROR(SEARCH("FALSE",R83)))</formula>
    </cfRule>
    <cfRule type="cellIs" dxfId="24" priority="2" operator="equal">
      <formula>TRUE</formula>
    </cfRule>
    <cfRule type="containsText" dxfId="23" priority="3" operator="containsText" text="FALSE">
      <formula>NOT(ISERROR(SEARCH("FALSE",R83)))</formula>
    </cfRule>
    <cfRule type="cellIs" dxfId="22" priority="4" operator="equal">
      <formula>TRUE</formula>
    </cfRule>
    <cfRule type="cellIs" priority="5" stopIfTrue="1" operator="equal">
      <formula>TRUE</formula>
    </cfRule>
    <cfRule type="cellIs" priority="6" stopIfTrue="1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Spinner 1">
              <controlPr defaultSize="0" autoPict="0">
                <anchor moveWithCells="1" sizeWithCells="1">
                  <from>
                    <xdr:col>4</xdr:col>
                    <xdr:colOff>82550</xdr:colOff>
                    <xdr:row>26</xdr:row>
                    <xdr:rowOff>12700</xdr:rowOff>
                  </from>
                  <to>
                    <xdr:col>4</xdr:col>
                    <xdr:colOff>292100</xdr:colOff>
                    <xdr:row>26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Spinner 2">
              <controlPr defaultSize="0" autoPict="0">
                <anchor moveWithCells="1" sizeWithCells="1">
                  <from>
                    <xdr:col>4</xdr:col>
                    <xdr:colOff>76200</xdr:colOff>
                    <xdr:row>0</xdr:row>
                    <xdr:rowOff>25400</xdr:rowOff>
                  </from>
                  <to>
                    <xdr:col>4</xdr:col>
                    <xdr:colOff>285750</xdr:colOff>
                    <xdr:row>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 macro="[0]!CheckBox2_Click">
                <anchor moveWithCells="1">
                  <from>
                    <xdr:col>11</xdr:col>
                    <xdr:colOff>444500</xdr:colOff>
                    <xdr:row>4</xdr:row>
                    <xdr:rowOff>88900</xdr:rowOff>
                  </from>
                  <to>
                    <xdr:col>13</xdr:col>
                    <xdr:colOff>63500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EE39-E4F4-4040-85C7-02336AE1773E}">
  <sheetPr codeName="Sheet17"/>
  <dimension ref="A1:W279"/>
  <sheetViews>
    <sheetView zoomScale="80" zoomScaleNormal="80" workbookViewId="0">
      <pane xSplit="7" ySplit="7" topLeftCell="H97" activePane="bottomRight" state="frozen"/>
      <selection pane="topRight" activeCell="H1" sqref="H1"/>
      <selection pane="bottomLeft" activeCell="A8" sqref="A8"/>
      <selection pane="bottomRight" activeCell="E111" sqref="E111"/>
    </sheetView>
  </sheetViews>
  <sheetFormatPr defaultRowHeight="14.5" outlineLevelRow="1" outlineLevelCol="1"/>
  <cols>
    <col min="1" max="3" width="1.26953125" style="18" customWidth="1"/>
    <col min="4" max="4" width="50.08984375" style="18" customWidth="1"/>
    <col min="5" max="7" width="13.54296875" style="18" customWidth="1" outlineLevel="1"/>
    <col min="8" max="11" width="14.54296875" style="18" customWidth="1"/>
    <col min="12" max="13" width="15" style="18" customWidth="1"/>
    <col min="14" max="23" width="15.90625" style="18" customWidth="1"/>
    <col min="24" max="16384" width="8.7265625" style="18"/>
  </cols>
  <sheetData>
    <row r="1" spans="1:23">
      <c r="E1" s="18" t="s">
        <v>199</v>
      </c>
      <c r="F1" s="28" t="b">
        <v>1</v>
      </c>
    </row>
    <row r="2" spans="1:23">
      <c r="B2" s="28" t="e">
        <v>#REF!</v>
      </c>
      <c r="E2" s="18" t="s">
        <v>200</v>
      </c>
      <c r="F2" s="53">
        <v>1</v>
      </c>
      <c r="H2" s="82">
        <v>40909</v>
      </c>
      <c r="I2" s="82">
        <v>41275</v>
      </c>
      <c r="J2" s="82">
        <v>41640</v>
      </c>
      <c r="K2" s="82">
        <v>42005</v>
      </c>
      <c r="L2" s="82">
        <v>42370</v>
      </c>
      <c r="M2" s="82">
        <v>42736</v>
      </c>
      <c r="N2" s="42">
        <f>M3+1</f>
        <v>43101</v>
      </c>
      <c r="O2" s="42">
        <f t="shared" ref="O2:W2" si="0">N3+1</f>
        <v>43466</v>
      </c>
      <c r="P2" s="42">
        <f t="shared" si="0"/>
        <v>43831</v>
      </c>
      <c r="Q2" s="42">
        <f t="shared" si="0"/>
        <v>44197</v>
      </c>
      <c r="R2" s="42">
        <f t="shared" si="0"/>
        <v>44562</v>
      </c>
      <c r="S2" s="42">
        <f t="shared" si="0"/>
        <v>44927</v>
      </c>
      <c r="T2" s="42">
        <f t="shared" si="0"/>
        <v>45292</v>
      </c>
      <c r="U2" s="42">
        <f t="shared" si="0"/>
        <v>45658</v>
      </c>
      <c r="V2" s="42">
        <f t="shared" si="0"/>
        <v>46023</v>
      </c>
      <c r="W2" s="42">
        <f t="shared" si="0"/>
        <v>46388</v>
      </c>
    </row>
    <row r="3" spans="1:23">
      <c r="B3" s="18" t="s">
        <v>201</v>
      </c>
      <c r="E3" s="18" t="s">
        <v>202</v>
      </c>
      <c r="F3" s="83">
        <v>2012</v>
      </c>
      <c r="H3" s="82">
        <v>41274</v>
      </c>
      <c r="I3" s="82">
        <v>41639</v>
      </c>
      <c r="J3" s="82">
        <v>42004</v>
      </c>
      <c r="K3" s="82">
        <v>42369</v>
      </c>
      <c r="L3" s="82">
        <v>42735</v>
      </c>
      <c r="M3" s="82">
        <v>43100</v>
      </c>
      <c r="N3" s="42">
        <f>EDATE(N2,12)-1</f>
        <v>43465</v>
      </c>
      <c r="O3" s="42">
        <f t="shared" ref="O3:W3" si="1">EDATE(O2,12)-1</f>
        <v>43830</v>
      </c>
      <c r="P3" s="42">
        <f t="shared" si="1"/>
        <v>44196</v>
      </c>
      <c r="Q3" s="42">
        <f t="shared" si="1"/>
        <v>44561</v>
      </c>
      <c r="R3" s="42">
        <f t="shared" si="1"/>
        <v>44926</v>
      </c>
      <c r="S3" s="42">
        <f t="shared" si="1"/>
        <v>45291</v>
      </c>
      <c r="T3" s="42">
        <f t="shared" si="1"/>
        <v>45657</v>
      </c>
      <c r="U3" s="42">
        <f t="shared" si="1"/>
        <v>46022</v>
      </c>
      <c r="V3" s="42">
        <f t="shared" si="1"/>
        <v>46387</v>
      </c>
      <c r="W3" s="42">
        <f t="shared" si="1"/>
        <v>46752</v>
      </c>
    </row>
    <row r="4" spans="1:23">
      <c r="C4" s="18" t="s">
        <v>203</v>
      </c>
      <c r="E4" s="18" t="s">
        <v>204</v>
      </c>
      <c r="F4" s="84">
        <v>2016</v>
      </c>
      <c r="H4" s="28" t="b">
        <v>1</v>
      </c>
      <c r="I4" s="28" t="b">
        <v>1</v>
      </c>
      <c r="J4" s="28" t="b">
        <v>1</v>
      </c>
      <c r="K4" s="28" t="b">
        <v>1</v>
      </c>
      <c r="L4" s="28" t="b">
        <v>1</v>
      </c>
      <c r="M4" s="28" t="b">
        <v>0</v>
      </c>
    </row>
    <row r="5" spans="1:23">
      <c r="C5" s="18" t="s">
        <v>205</v>
      </c>
      <c r="F5" s="82">
        <v>42735</v>
      </c>
      <c r="H5" s="28" t="b">
        <v>0</v>
      </c>
      <c r="I5" s="28" t="b">
        <v>0</v>
      </c>
      <c r="J5" s="28" t="b">
        <v>0</v>
      </c>
      <c r="K5" s="28" t="b">
        <v>0</v>
      </c>
      <c r="L5" s="28" t="b">
        <v>0</v>
      </c>
      <c r="M5" s="28" t="b">
        <v>1</v>
      </c>
    </row>
    <row r="6" spans="1:23">
      <c r="C6" s="18" t="s">
        <v>206</v>
      </c>
      <c r="E6" s="18" t="s">
        <v>207</v>
      </c>
      <c r="F6" s="28">
        <v>2017</v>
      </c>
      <c r="H6" s="28" t="b">
        <v>1</v>
      </c>
      <c r="I6" s="28" t="b">
        <v>1</v>
      </c>
      <c r="J6" s="28" t="b">
        <v>1</v>
      </c>
      <c r="K6" s="28" t="b">
        <v>1</v>
      </c>
      <c r="L6" s="28" t="b">
        <v>1</v>
      </c>
      <c r="M6" s="28" t="b">
        <v>1</v>
      </c>
    </row>
    <row r="7" spans="1:23" s="31" customFormat="1">
      <c r="A7" s="31" t="s">
        <v>208</v>
      </c>
      <c r="H7" s="31">
        <f>YEAR(H3)</f>
        <v>2012</v>
      </c>
      <c r="I7" s="31">
        <f t="shared" ref="I7:W7" si="2">YEAR(I3)</f>
        <v>2013</v>
      </c>
      <c r="J7" s="31">
        <f t="shared" si="2"/>
        <v>2014</v>
      </c>
      <c r="K7" s="31">
        <f t="shared" si="2"/>
        <v>2015</v>
      </c>
      <c r="L7" s="31">
        <f t="shared" si="2"/>
        <v>2016</v>
      </c>
      <c r="M7" s="31">
        <f t="shared" si="2"/>
        <v>2017</v>
      </c>
      <c r="N7" s="31">
        <f t="shared" si="2"/>
        <v>2018</v>
      </c>
      <c r="O7" s="31">
        <f t="shared" si="2"/>
        <v>2019</v>
      </c>
      <c r="P7" s="31">
        <f t="shared" si="2"/>
        <v>2020</v>
      </c>
      <c r="Q7" s="31">
        <f t="shared" si="2"/>
        <v>2021</v>
      </c>
      <c r="R7" s="31">
        <f t="shared" si="2"/>
        <v>2022</v>
      </c>
      <c r="S7" s="31">
        <f t="shared" si="2"/>
        <v>2023</v>
      </c>
      <c r="T7" s="31">
        <f t="shared" si="2"/>
        <v>2024</v>
      </c>
      <c r="U7" s="31">
        <f t="shared" si="2"/>
        <v>2025</v>
      </c>
      <c r="V7" s="31">
        <f t="shared" si="2"/>
        <v>2026</v>
      </c>
      <c r="W7" s="31">
        <f t="shared" si="2"/>
        <v>2027</v>
      </c>
    </row>
    <row r="8" spans="1:23">
      <c r="C8" s="18" t="s">
        <v>209</v>
      </c>
    </row>
    <row r="9" spans="1:23">
      <c r="C9" s="42" t="s">
        <v>210</v>
      </c>
    </row>
    <row r="10" spans="1:23">
      <c r="C10" s="18" t="s">
        <v>211</v>
      </c>
      <c r="E10" s="45"/>
      <c r="F10" s="45"/>
      <c r="H10" s="54">
        <v>2012</v>
      </c>
      <c r="I10" s="54">
        <v>2013</v>
      </c>
      <c r="J10" s="54">
        <v>2014</v>
      </c>
      <c r="K10" s="54">
        <v>2015</v>
      </c>
      <c r="L10" s="54">
        <v>2016</v>
      </c>
      <c r="M10" s="54">
        <v>2017</v>
      </c>
    </row>
    <row r="11" spans="1:23">
      <c r="C11" s="18" t="s">
        <v>212</v>
      </c>
      <c r="E11" s="47"/>
      <c r="F11" s="47"/>
      <c r="G11" s="47"/>
      <c r="H11" s="46"/>
      <c r="I11" s="46"/>
      <c r="J11" s="46"/>
      <c r="K11" s="46"/>
      <c r="L11" s="46"/>
    </row>
    <row r="12" spans="1:23" s="50" customFormat="1">
      <c r="D12" s="50" t="s">
        <v>535</v>
      </c>
      <c r="H12" s="85">
        <v>22150000</v>
      </c>
      <c r="I12" s="85">
        <v>20140000</v>
      </c>
      <c r="J12" s="85">
        <v>19070000</v>
      </c>
      <c r="K12" s="85">
        <v>17570000</v>
      </c>
      <c r="L12" s="85">
        <v>19230000</v>
      </c>
      <c r="M12" s="86">
        <v>18740000</v>
      </c>
    </row>
    <row r="13" spans="1:23" s="50" customFormat="1">
      <c r="D13" s="50" t="s">
        <v>536</v>
      </c>
      <c r="H13" s="85">
        <v>3470000</v>
      </c>
      <c r="I13" s="85">
        <v>3300000</v>
      </c>
      <c r="J13" s="85">
        <v>3320000</v>
      </c>
      <c r="K13" s="85">
        <v>3140000</v>
      </c>
      <c r="L13" s="85">
        <v>3280000</v>
      </c>
      <c r="M13" s="86">
        <v>3165000</v>
      </c>
    </row>
    <row r="14" spans="1:23" s="50" customFormat="1">
      <c r="D14" s="50" t="s">
        <v>537</v>
      </c>
      <c r="H14" s="85">
        <v>474000</v>
      </c>
      <c r="I14" s="85">
        <v>255000</v>
      </c>
      <c r="J14" s="85">
        <v>215000</v>
      </c>
      <c r="K14" s="85">
        <v>303000</v>
      </c>
      <c r="L14" s="85">
        <v>215000</v>
      </c>
      <c r="M14" s="86">
        <v>187000</v>
      </c>
    </row>
    <row r="15" spans="1:23" s="50" customFormat="1">
      <c r="D15" s="50" t="s">
        <v>538</v>
      </c>
      <c r="H15" s="85">
        <v>92000</v>
      </c>
      <c r="I15" s="85">
        <v>112000</v>
      </c>
      <c r="J15" s="85">
        <v>122000</v>
      </c>
      <c r="K15" s="85">
        <v>27000</v>
      </c>
      <c r="L15" s="85">
        <v>179000</v>
      </c>
      <c r="M15" s="86">
        <v>278000</v>
      </c>
    </row>
    <row r="16" spans="1:23" s="50" customFormat="1" ht="15" thickBot="1">
      <c r="D16" s="35" t="s">
        <v>539</v>
      </c>
      <c r="E16" s="35"/>
      <c r="F16" s="35"/>
      <c r="G16" s="35"/>
      <c r="H16" s="58">
        <v>26186000</v>
      </c>
      <c r="I16" s="58">
        <v>23807000</v>
      </c>
      <c r="J16" s="58">
        <v>22727000</v>
      </c>
      <c r="K16" s="58">
        <v>21040000</v>
      </c>
      <c r="L16" s="58">
        <v>22904000</v>
      </c>
      <c r="M16" s="58">
        <v>22370000</v>
      </c>
    </row>
    <row r="17" spans="2:13" s="50" customFormat="1">
      <c r="D17" s="50" t="s">
        <v>540</v>
      </c>
      <c r="H17" s="85">
        <v>17340000</v>
      </c>
      <c r="I17" s="85">
        <v>15660000</v>
      </c>
      <c r="J17" s="85">
        <v>14850000</v>
      </c>
      <c r="K17" s="85">
        <v>13630000</v>
      </c>
      <c r="L17" s="85">
        <v>15020000</v>
      </c>
      <c r="M17" s="86">
        <v>15050000</v>
      </c>
    </row>
    <row r="18" spans="2:13" s="50" customFormat="1">
      <c r="D18" s="50" t="s">
        <v>541</v>
      </c>
      <c r="H18" s="85">
        <v>15330000</v>
      </c>
      <c r="I18" s="85">
        <v>13810000</v>
      </c>
      <c r="J18" s="85">
        <v>12940000</v>
      </c>
      <c r="K18" s="85">
        <v>11750000</v>
      </c>
      <c r="L18" s="85">
        <v>12920000</v>
      </c>
      <c r="M18" s="86">
        <v>12430000</v>
      </c>
    </row>
    <row r="19" spans="2:13" s="50" customFormat="1">
      <c r="D19" s="50" t="s">
        <v>542</v>
      </c>
      <c r="H19" s="85">
        <v>2010000</v>
      </c>
      <c r="I19" s="85">
        <v>1850000</v>
      </c>
      <c r="J19" s="85">
        <v>1910000</v>
      </c>
      <c r="K19" s="85">
        <v>1880000</v>
      </c>
      <c r="L19" s="85">
        <v>2100000</v>
      </c>
      <c r="M19" s="51"/>
    </row>
    <row r="20" spans="2:13" s="50" customFormat="1">
      <c r="D20" s="50" t="s">
        <v>543</v>
      </c>
      <c r="H20" s="85">
        <v>3460000</v>
      </c>
      <c r="I20" s="85">
        <v>3170000</v>
      </c>
      <c r="J20" s="85">
        <v>3070000</v>
      </c>
      <c r="K20" s="85">
        <v>2860000</v>
      </c>
      <c r="L20" s="85">
        <v>3070000</v>
      </c>
      <c r="M20" s="86">
        <v>2584000</v>
      </c>
    </row>
    <row r="21" spans="2:13" s="50" customFormat="1">
      <c r="D21" s="50" t="s">
        <v>149</v>
      </c>
      <c r="H21" s="85">
        <v>-154000</v>
      </c>
      <c r="I21" s="85">
        <v>-326000</v>
      </c>
      <c r="J21" s="85">
        <v>-31000</v>
      </c>
      <c r="K21" s="85">
        <v>10000</v>
      </c>
      <c r="L21" s="85">
        <v>255000</v>
      </c>
      <c r="M21" s="86">
        <v>120000</v>
      </c>
    </row>
    <row r="22" spans="2:13" s="50" customFormat="1" ht="15" thickBot="1">
      <c r="D22" s="35" t="s">
        <v>544</v>
      </c>
      <c r="E22" s="35"/>
      <c r="F22" s="35"/>
      <c r="G22" s="35"/>
      <c r="H22" s="58">
        <v>5540000</v>
      </c>
      <c r="I22" s="58">
        <v>5303000</v>
      </c>
      <c r="J22" s="58">
        <v>4838000</v>
      </c>
      <c r="K22" s="58">
        <v>4540000</v>
      </c>
      <c r="L22" s="58">
        <v>4559000</v>
      </c>
      <c r="M22" s="58">
        <v>4616000</v>
      </c>
    </row>
    <row r="23" spans="2:13" s="50" customFormat="1">
      <c r="D23" s="50" t="s">
        <v>545</v>
      </c>
      <c r="H23" s="85">
        <v>261000</v>
      </c>
      <c r="I23" s="85">
        <v>293000</v>
      </c>
      <c r="J23" s="85">
        <v>317000</v>
      </c>
      <c r="K23" s="85">
        <v>289000</v>
      </c>
      <c r="L23" s="85">
        <v>268000</v>
      </c>
      <c r="M23" s="86">
        <v>254000</v>
      </c>
    </row>
    <row r="24" spans="2:13" s="50" customFormat="1" ht="15" thickBot="1">
      <c r="D24" s="35" t="s">
        <v>546</v>
      </c>
      <c r="E24" s="35"/>
      <c r="F24" s="35"/>
      <c r="G24" s="35"/>
      <c r="H24" s="58">
        <v>5279000</v>
      </c>
      <c r="I24" s="58">
        <v>5010000</v>
      </c>
      <c r="J24" s="58">
        <v>4521000</v>
      </c>
      <c r="K24" s="58">
        <v>4251000</v>
      </c>
      <c r="L24" s="58">
        <v>4291000</v>
      </c>
      <c r="M24" s="58">
        <v>4362000</v>
      </c>
    </row>
    <row r="25" spans="2:13" s="50" customFormat="1">
      <c r="D25" s="50" t="s">
        <v>547</v>
      </c>
      <c r="H25" s="85">
        <v>0</v>
      </c>
      <c r="I25" s="85">
        <v>7000</v>
      </c>
      <c r="J25" s="85">
        <v>0</v>
      </c>
      <c r="K25" s="85">
        <v>0</v>
      </c>
      <c r="L25" s="85">
        <v>0</v>
      </c>
      <c r="M25" s="86">
        <v>0</v>
      </c>
    </row>
    <row r="26" spans="2:13" s="50" customFormat="1">
      <c r="D26" s="50" t="s">
        <v>219</v>
      </c>
      <c r="H26" s="85">
        <v>977000</v>
      </c>
      <c r="I26" s="85">
        <v>199000</v>
      </c>
      <c r="J26" s="85">
        <v>31000</v>
      </c>
      <c r="K26" s="85">
        <v>383000</v>
      </c>
      <c r="L26" s="85">
        <v>220000</v>
      </c>
      <c r="M26" s="86">
        <v>178000</v>
      </c>
    </row>
    <row r="27" spans="2:13" s="50" customFormat="1">
      <c r="D27" s="50" t="s">
        <v>548</v>
      </c>
      <c r="H27" s="85">
        <v>-2000</v>
      </c>
      <c r="I27" s="85">
        <v>2000</v>
      </c>
      <c r="J27" s="85">
        <v>0</v>
      </c>
      <c r="K27" s="85">
        <v>-8000</v>
      </c>
      <c r="L27" s="85">
        <v>-999.75</v>
      </c>
      <c r="M27" s="87"/>
    </row>
    <row r="28" spans="2:13" s="50" customFormat="1" ht="15" thickBot="1">
      <c r="D28" s="35" t="s">
        <v>549</v>
      </c>
      <c r="E28" s="35"/>
      <c r="F28" s="35"/>
      <c r="G28" s="35"/>
      <c r="H28" s="58">
        <v>4300000</v>
      </c>
      <c r="I28" s="58">
        <v>4820000</v>
      </c>
      <c r="J28" s="58">
        <v>4490000</v>
      </c>
      <c r="K28" s="58">
        <v>3860000</v>
      </c>
      <c r="L28" s="58">
        <v>4070000.25</v>
      </c>
      <c r="M28" s="57">
        <v>4178000</v>
      </c>
    </row>
    <row r="29" spans="2:13" s="50" customFormat="1">
      <c r="D29" s="50" t="s">
        <v>550</v>
      </c>
      <c r="H29" s="85">
        <v>1440000</v>
      </c>
      <c r="I29" s="85">
        <v>1660000</v>
      </c>
      <c r="J29" s="85">
        <v>1540000</v>
      </c>
      <c r="K29" s="85">
        <v>1330000</v>
      </c>
      <c r="L29" s="85">
        <v>1410000</v>
      </c>
      <c r="M29" s="86">
        <v>1399000</v>
      </c>
    </row>
    <row r="30" spans="2:13" s="50" customFormat="1">
      <c r="D30" s="50" t="s">
        <v>228</v>
      </c>
      <c r="H30" s="85">
        <v>0</v>
      </c>
      <c r="I30" s="85">
        <v>0</v>
      </c>
      <c r="J30" s="85">
        <v>0</v>
      </c>
      <c r="K30" s="85">
        <v>0</v>
      </c>
      <c r="L30" s="85">
        <v>0</v>
      </c>
      <c r="M30" s="86">
        <v>0</v>
      </c>
    </row>
    <row r="31" spans="2:13" s="50" customFormat="1">
      <c r="B31" s="88"/>
      <c r="D31" s="50" t="s">
        <v>229</v>
      </c>
      <c r="H31" s="85">
        <v>0</v>
      </c>
      <c r="I31" s="85">
        <v>0</v>
      </c>
      <c r="J31" s="85">
        <v>0</v>
      </c>
      <c r="K31" s="85">
        <v>0</v>
      </c>
      <c r="L31" s="85">
        <v>0</v>
      </c>
      <c r="M31" s="86">
        <v>0</v>
      </c>
    </row>
    <row r="32" spans="2:13" s="50" customFormat="1">
      <c r="B32" s="88"/>
      <c r="D32" s="50" t="s">
        <v>430</v>
      </c>
      <c r="H32" s="85">
        <v>-10000</v>
      </c>
      <c r="I32" s="85">
        <v>0</v>
      </c>
      <c r="J32" s="85">
        <v>0</v>
      </c>
      <c r="K32" s="85">
        <v>0</v>
      </c>
      <c r="L32" s="85">
        <v>0.25</v>
      </c>
      <c r="M32" s="51"/>
    </row>
    <row r="33" spans="1:13" s="50" customFormat="1" ht="15" thickBot="1">
      <c r="B33" s="88"/>
      <c r="D33" s="35" t="s">
        <v>230</v>
      </c>
      <c r="E33" s="35"/>
      <c r="F33" s="35"/>
      <c r="G33" s="35"/>
      <c r="H33" s="58">
        <v>2870000</v>
      </c>
      <c r="I33" s="58">
        <v>3160000</v>
      </c>
      <c r="J33" s="58">
        <v>2950000</v>
      </c>
      <c r="K33" s="58">
        <v>2530000</v>
      </c>
      <c r="L33" s="58">
        <v>2660000</v>
      </c>
      <c r="M33" s="58">
        <v>2779000</v>
      </c>
    </row>
    <row r="34" spans="1:13" s="50" customFormat="1">
      <c r="D34" s="50" t="s">
        <v>233</v>
      </c>
      <c r="H34" s="85">
        <v>0</v>
      </c>
      <c r="I34" s="85">
        <v>0</v>
      </c>
      <c r="J34" s="85">
        <v>0</v>
      </c>
      <c r="K34" s="85">
        <v>0</v>
      </c>
      <c r="L34" s="85">
        <v>0</v>
      </c>
      <c r="M34" s="86">
        <v>0</v>
      </c>
    </row>
    <row r="35" spans="1:13" s="50" customFormat="1">
      <c r="D35" s="50" t="s">
        <v>234</v>
      </c>
      <c r="H35" s="85">
        <v>2870000</v>
      </c>
      <c r="I35" s="85">
        <v>3160000</v>
      </c>
      <c r="J35" s="85">
        <v>2950000</v>
      </c>
      <c r="K35" s="85">
        <v>2530000</v>
      </c>
      <c r="L35" s="85">
        <v>2660000</v>
      </c>
      <c r="M35" s="85">
        <v>2779000</v>
      </c>
    </row>
    <row r="36" spans="1:13" s="50" customFormat="1">
      <c r="D36" s="50" t="s">
        <v>551</v>
      </c>
      <c r="H36" s="85">
        <v>0</v>
      </c>
      <c r="I36" s="85">
        <v>0</v>
      </c>
      <c r="J36" s="85">
        <v>0</v>
      </c>
      <c r="K36" s="85">
        <v>0</v>
      </c>
      <c r="L36" s="85">
        <v>0</v>
      </c>
      <c r="M36" s="86">
        <v>0</v>
      </c>
    </row>
    <row r="37" spans="1:13" s="50" customFormat="1">
      <c r="D37" s="50" t="s">
        <v>552</v>
      </c>
      <c r="H37" s="85">
        <v>0</v>
      </c>
      <c r="I37" s="85">
        <v>0</v>
      </c>
      <c r="J37" s="85">
        <v>0</v>
      </c>
      <c r="K37" s="85">
        <v>0</v>
      </c>
      <c r="L37" s="85">
        <v>0</v>
      </c>
      <c r="M37" s="86">
        <v>0</v>
      </c>
    </row>
    <row r="38" spans="1:13" s="50" customFormat="1">
      <c r="D38" s="50" t="s">
        <v>553</v>
      </c>
      <c r="H38" s="85">
        <v>0</v>
      </c>
      <c r="I38" s="85">
        <v>0</v>
      </c>
      <c r="J38" s="85">
        <v>0</v>
      </c>
      <c r="K38" s="85">
        <v>0</v>
      </c>
      <c r="L38" s="85">
        <v>0</v>
      </c>
      <c r="M38" s="86">
        <v>0</v>
      </c>
    </row>
    <row r="39" spans="1:13" s="50" customFormat="1">
      <c r="D39" s="50" t="s">
        <v>235</v>
      </c>
      <c r="H39" s="85">
        <v>2870000</v>
      </c>
      <c r="I39" s="85">
        <v>3160000</v>
      </c>
      <c r="J39" s="85">
        <v>2950000</v>
      </c>
      <c r="K39" s="85">
        <v>2530000</v>
      </c>
      <c r="L39" s="85">
        <v>2660000</v>
      </c>
      <c r="M39" s="86">
        <v>2772000</v>
      </c>
    </row>
    <row r="40" spans="1:13" s="50" customFormat="1">
      <c r="D40" s="50" t="s">
        <v>236</v>
      </c>
      <c r="H40" s="85">
        <v>0</v>
      </c>
      <c r="I40" s="85">
        <v>0</v>
      </c>
      <c r="J40" s="85">
        <v>0</v>
      </c>
      <c r="K40" s="85">
        <v>0</v>
      </c>
      <c r="L40" s="85">
        <v>0</v>
      </c>
      <c r="M40" s="86">
        <v>0</v>
      </c>
    </row>
    <row r="41" spans="1:13" s="50" customFormat="1">
      <c r="D41" s="50" t="s">
        <v>237</v>
      </c>
      <c r="H41" s="85">
        <v>2870000</v>
      </c>
      <c r="I41" s="85">
        <v>3160000</v>
      </c>
      <c r="J41" s="85">
        <v>2950000</v>
      </c>
      <c r="K41" s="85">
        <v>2530000</v>
      </c>
      <c r="L41" s="85">
        <v>2660000</v>
      </c>
      <c r="M41" s="86">
        <v>2772000</v>
      </c>
    </row>
    <row r="42" spans="1:13" s="50" customFormat="1">
      <c r="H42" s="87"/>
      <c r="I42" s="87"/>
      <c r="J42" s="87"/>
      <c r="K42" s="87"/>
      <c r="L42" s="87"/>
      <c r="M42" s="51"/>
    </row>
    <row r="43" spans="1:13" s="50" customFormat="1">
      <c r="D43" s="50" t="s">
        <v>238</v>
      </c>
      <c r="H43" s="89">
        <v>6.1400001868605614</v>
      </c>
      <c r="I43" s="89">
        <v>6.8000000901520252</v>
      </c>
      <c r="J43" s="89">
        <v>6.5399999730288982</v>
      </c>
      <c r="K43" s="89">
        <v>5.8800000697374344</v>
      </c>
      <c r="L43" s="89">
        <v>6.4599998295307159</v>
      </c>
      <c r="M43" s="89">
        <v>6.7368216394876903</v>
      </c>
    </row>
    <row r="44" spans="1:13" s="50" customFormat="1">
      <c r="D44" s="50" t="s">
        <v>239</v>
      </c>
      <c r="H44" s="85">
        <v>466870</v>
      </c>
      <c r="I44" s="85">
        <v>464500</v>
      </c>
      <c r="J44" s="85">
        <v>451200</v>
      </c>
      <c r="K44" s="85">
        <v>430650</v>
      </c>
      <c r="L44" s="85">
        <v>411470</v>
      </c>
      <c r="M44" s="86">
        <v>411470</v>
      </c>
    </row>
    <row r="45" spans="1:13" s="50" customFormat="1">
      <c r="D45" s="50" t="s">
        <v>240</v>
      </c>
      <c r="H45" s="89">
        <v>6.1099999584257603</v>
      </c>
      <c r="I45" s="89">
        <v>6.7599997855722904</v>
      </c>
      <c r="J45" s="89">
        <v>6.5000001341104507</v>
      </c>
      <c r="K45" s="89">
        <v>5.8499998413026333</v>
      </c>
      <c r="L45" s="89">
        <v>6.4199999906122684</v>
      </c>
      <c r="M45" s="86">
        <v>6.8899999605491757</v>
      </c>
    </row>
    <row r="46" spans="1:13" s="50" customFormat="1">
      <c r="D46" s="50" t="s">
        <v>241</v>
      </c>
      <c r="H46" s="85">
        <v>469290</v>
      </c>
      <c r="I46" s="85">
        <v>467410</v>
      </c>
      <c r="J46" s="85">
        <v>454000</v>
      </c>
      <c r="K46" s="85">
        <v>433170</v>
      </c>
      <c r="L46" s="85">
        <v>413920</v>
      </c>
      <c r="M46" s="86">
        <v>1610180</v>
      </c>
    </row>
    <row r="47" spans="1:13">
      <c r="H47" s="19"/>
      <c r="I47" s="19"/>
      <c r="J47" s="19"/>
      <c r="K47" s="19"/>
      <c r="L47" s="19"/>
    </row>
    <row r="48" spans="1:13" s="31" customFormat="1">
      <c r="A48" s="31" t="s">
        <v>270</v>
      </c>
    </row>
    <row r="49" spans="2:13">
      <c r="B49" s="18" t="s">
        <v>209</v>
      </c>
    </row>
    <row r="50" spans="2:13">
      <c r="B50" s="42" t="s">
        <v>210</v>
      </c>
      <c r="H50" s="18" t="s">
        <v>554</v>
      </c>
      <c r="I50" s="18" t="s">
        <v>555</v>
      </c>
      <c r="J50" s="18" t="s">
        <v>556</v>
      </c>
      <c r="K50" s="18" t="s">
        <v>557</v>
      </c>
      <c r="L50" s="18" t="s">
        <v>558</v>
      </c>
    </row>
    <row r="51" spans="2:13">
      <c r="B51" s="18" t="s">
        <v>211</v>
      </c>
      <c r="H51" s="54">
        <v>2012</v>
      </c>
      <c r="I51" s="54">
        <v>2013</v>
      </c>
      <c r="J51" s="54">
        <v>2014</v>
      </c>
      <c r="K51" s="54">
        <v>2015</v>
      </c>
      <c r="L51" s="54">
        <v>2016</v>
      </c>
      <c r="M51" s="54">
        <v>2017</v>
      </c>
    </row>
    <row r="52" spans="2:13">
      <c r="C52" s="18" t="s">
        <v>271</v>
      </c>
      <c r="H52" s="46"/>
      <c r="I52" s="46"/>
      <c r="J52" s="46"/>
      <c r="K52" s="46"/>
      <c r="L52" s="46"/>
    </row>
    <row r="53" spans="2:13">
      <c r="D53" s="18" t="s">
        <v>559</v>
      </c>
      <c r="H53" s="55">
        <v>2040000</v>
      </c>
      <c r="I53" s="55">
        <v>2540000</v>
      </c>
      <c r="J53" s="55">
        <v>4660000</v>
      </c>
      <c r="K53" s="55">
        <v>4350000</v>
      </c>
      <c r="L53" s="55">
        <v>4860000</v>
      </c>
      <c r="M53" s="56">
        <v>4930000</v>
      </c>
    </row>
    <row r="54" spans="2:13" ht="15" thickBot="1">
      <c r="D54" s="35" t="s">
        <v>560</v>
      </c>
      <c r="E54" s="35"/>
      <c r="F54" s="35"/>
      <c r="G54" s="35"/>
      <c r="H54" s="58">
        <v>116180000</v>
      </c>
      <c r="I54" s="58">
        <v>105920000</v>
      </c>
      <c r="J54" s="58">
        <v>102680000</v>
      </c>
      <c r="K54" s="58">
        <v>101550000</v>
      </c>
      <c r="L54" s="58">
        <v>111500000</v>
      </c>
      <c r="M54" s="56">
        <v>117560000</v>
      </c>
    </row>
    <row r="55" spans="2:13">
      <c r="D55" s="18" t="s">
        <v>561</v>
      </c>
      <c r="H55" s="55">
        <v>976000</v>
      </c>
      <c r="I55" s="55">
        <v>1780000</v>
      </c>
      <c r="J55" s="55">
        <v>1680000</v>
      </c>
      <c r="K55" s="55">
        <v>1510000</v>
      </c>
      <c r="L55" s="55">
        <v>1530000</v>
      </c>
      <c r="M55" s="56">
        <v>0</v>
      </c>
    </row>
    <row r="56" spans="2:13">
      <c r="D56" s="18" t="s">
        <v>279</v>
      </c>
      <c r="H56" s="55">
        <v>564000</v>
      </c>
      <c r="I56" s="55">
        <v>481000</v>
      </c>
      <c r="J56" s="55">
        <v>429000</v>
      </c>
      <c r="K56" s="55">
        <v>427000</v>
      </c>
      <c r="L56" s="55">
        <v>433000</v>
      </c>
      <c r="M56" s="56">
        <v>439000</v>
      </c>
    </row>
    <row r="57" spans="2:13">
      <c r="D57" s="18" t="s">
        <v>562</v>
      </c>
      <c r="H57" s="55">
        <v>0</v>
      </c>
      <c r="I57" s="55">
        <v>0</v>
      </c>
      <c r="J57" s="55">
        <v>0</v>
      </c>
      <c r="K57" s="55">
        <v>0</v>
      </c>
      <c r="L57" s="55">
        <v>0</v>
      </c>
      <c r="M57" s="56">
        <v>0</v>
      </c>
    </row>
    <row r="58" spans="2:13">
      <c r="D58" s="18" t="s">
        <v>563</v>
      </c>
      <c r="H58" s="55">
        <v>0</v>
      </c>
      <c r="I58" s="55">
        <v>0</v>
      </c>
      <c r="J58" s="55">
        <v>0</v>
      </c>
      <c r="K58" s="55">
        <v>0</v>
      </c>
      <c r="L58" s="55">
        <v>0</v>
      </c>
      <c r="M58" s="56">
        <v>0</v>
      </c>
    </row>
    <row r="59" spans="2:13">
      <c r="D59" s="18" t="s">
        <v>564</v>
      </c>
      <c r="H59" s="55">
        <v>9660000</v>
      </c>
      <c r="I59" s="55">
        <v>8800000</v>
      </c>
      <c r="J59" s="55">
        <v>8270000.5</v>
      </c>
      <c r="K59" s="55">
        <v>8510000</v>
      </c>
      <c r="L59" s="55">
        <v>8990000</v>
      </c>
      <c r="M59" s="55">
        <v>8990000</v>
      </c>
    </row>
    <row r="60" spans="2:13">
      <c r="D60" s="18" t="s">
        <v>565</v>
      </c>
      <c r="H60" s="55">
        <v>1680000</v>
      </c>
      <c r="I60" s="55">
        <v>1790000</v>
      </c>
      <c r="J60" s="55">
        <v>2040000</v>
      </c>
      <c r="K60" s="55">
        <v>1910000</v>
      </c>
      <c r="L60" s="55">
        <v>2500000</v>
      </c>
      <c r="M60" s="55">
        <v>2500000</v>
      </c>
    </row>
    <row r="61" spans="2:13">
      <c r="D61" s="18" t="s">
        <v>281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6">
        <v>0</v>
      </c>
    </row>
    <row r="62" spans="2:13">
      <c r="D62" s="18" t="s">
        <v>566</v>
      </c>
      <c r="H62" s="55">
        <v>6190000.25</v>
      </c>
      <c r="I62" s="55">
        <v>14403000</v>
      </c>
      <c r="J62" s="55">
        <v>12280999.5</v>
      </c>
      <c r="K62" s="55">
        <v>11663000</v>
      </c>
      <c r="L62" s="55">
        <v>10992000.25</v>
      </c>
      <c r="M62" s="56">
        <v>23791000</v>
      </c>
    </row>
    <row r="63" spans="2:13" ht="15" thickBot="1">
      <c r="D63" s="35" t="s">
        <v>282</v>
      </c>
      <c r="E63" s="35"/>
      <c r="F63" s="35"/>
      <c r="G63" s="35"/>
      <c r="H63" s="58">
        <v>137290000.25</v>
      </c>
      <c r="I63" s="58">
        <v>135714000</v>
      </c>
      <c r="J63" s="58">
        <v>132040000</v>
      </c>
      <c r="K63" s="58">
        <v>129920000</v>
      </c>
      <c r="L63" s="58">
        <v>140805000.25</v>
      </c>
      <c r="M63" s="56">
        <v>146720000</v>
      </c>
    </row>
    <row r="64" spans="2:13">
      <c r="H64" s="56">
        <v>137290000.25</v>
      </c>
      <c r="I64" s="56">
        <v>135714000</v>
      </c>
      <c r="J64" s="56">
        <v>132040000</v>
      </c>
      <c r="K64" s="56">
        <v>129920000</v>
      </c>
      <c r="L64" s="56">
        <v>140805000.25</v>
      </c>
      <c r="M64" s="56">
        <v>146720000</v>
      </c>
    </row>
    <row r="65" spans="3:13">
      <c r="C65" s="18" t="s">
        <v>283</v>
      </c>
      <c r="H65" s="56">
        <v>0</v>
      </c>
      <c r="I65" s="56">
        <v>0</v>
      </c>
      <c r="J65" s="56">
        <v>0</v>
      </c>
      <c r="K65" s="56">
        <v>0</v>
      </c>
      <c r="L65" s="56">
        <v>0</v>
      </c>
    </row>
    <row r="66" spans="3:13">
      <c r="D66" s="18" t="s">
        <v>567</v>
      </c>
      <c r="H66" s="55">
        <v>82660000</v>
      </c>
      <c r="I66" s="55">
        <v>83540000</v>
      </c>
      <c r="J66" s="55">
        <v>77900000</v>
      </c>
      <c r="K66" s="55">
        <v>81350000</v>
      </c>
      <c r="L66" s="55">
        <v>87070000</v>
      </c>
      <c r="M66" s="56">
        <v>91750000</v>
      </c>
    </row>
    <row r="67" spans="3:13">
      <c r="D67" s="18" t="s">
        <v>568</v>
      </c>
      <c r="H67" s="55">
        <v>2160000</v>
      </c>
      <c r="I67" s="55">
        <v>10640000</v>
      </c>
      <c r="J67" s="55">
        <v>8630000</v>
      </c>
      <c r="K67" s="55">
        <v>7860000</v>
      </c>
      <c r="L67" s="55">
        <v>6920000</v>
      </c>
      <c r="M67" s="56">
        <v>6260000</v>
      </c>
    </row>
    <row r="68" spans="3:13">
      <c r="D68" s="18" t="s">
        <v>569</v>
      </c>
      <c r="H68" s="55">
        <v>4030000.25</v>
      </c>
      <c r="I68" s="55">
        <v>3760000</v>
      </c>
      <c r="J68" s="55">
        <v>3630000</v>
      </c>
      <c r="K68" s="55">
        <v>3800000</v>
      </c>
      <c r="L68" s="55">
        <v>4050000.25</v>
      </c>
      <c r="M68" s="56">
        <v>4370000</v>
      </c>
    </row>
    <row r="69" spans="3:13">
      <c r="D69" s="18" t="s">
        <v>570</v>
      </c>
      <c r="H69" s="55">
        <v>0</v>
      </c>
      <c r="I69" s="55">
        <v>0</v>
      </c>
      <c r="J69" s="55">
        <v>0</v>
      </c>
      <c r="K69" s="55">
        <v>0</v>
      </c>
      <c r="L69" s="55">
        <v>0</v>
      </c>
      <c r="M69" s="56">
        <v>0</v>
      </c>
    </row>
    <row r="70" spans="3:13">
      <c r="D70" s="18" t="s">
        <v>175</v>
      </c>
      <c r="H70" s="55">
        <v>4350000</v>
      </c>
      <c r="I70" s="55">
        <v>4900000</v>
      </c>
      <c r="J70" s="55">
        <v>5280000</v>
      </c>
      <c r="K70" s="55">
        <v>4970000</v>
      </c>
      <c r="L70" s="55">
        <v>5360000</v>
      </c>
      <c r="M70" s="56">
        <v>5250000</v>
      </c>
    </row>
    <row r="71" spans="3:13">
      <c r="D71" s="18" t="s">
        <v>571</v>
      </c>
      <c r="H71" s="55">
        <v>0</v>
      </c>
      <c r="I71" s="55">
        <v>4000</v>
      </c>
      <c r="J71" s="55">
        <v>10000</v>
      </c>
      <c r="K71" s="55">
        <v>0</v>
      </c>
      <c r="L71" s="55">
        <v>15000</v>
      </c>
      <c r="M71" s="56">
        <v>0</v>
      </c>
    </row>
    <row r="72" spans="3:13">
      <c r="D72" s="18" t="s">
        <v>290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6">
        <v>0</v>
      </c>
    </row>
    <row r="73" spans="3:13">
      <c r="D73" s="18" t="s">
        <v>291</v>
      </c>
      <c r="H73" s="55">
        <v>3550000</v>
      </c>
      <c r="I73" s="55">
        <v>2760000</v>
      </c>
      <c r="J73" s="55">
        <v>0</v>
      </c>
      <c r="K73" s="55">
        <v>0</v>
      </c>
      <c r="L73" s="55">
        <v>0</v>
      </c>
      <c r="M73" s="56">
        <v>0</v>
      </c>
    </row>
    <row r="74" spans="3:13">
      <c r="D74" s="18" t="s">
        <v>292</v>
      </c>
      <c r="H74" s="55">
        <v>24560000</v>
      </c>
      <c r="I74" s="55">
        <v>15490000</v>
      </c>
      <c r="J74" s="55">
        <v>18240000</v>
      </c>
      <c r="K74" s="55">
        <v>14230000</v>
      </c>
      <c r="L74" s="55">
        <v>16910000</v>
      </c>
      <c r="M74" s="56">
        <v>17110000</v>
      </c>
    </row>
    <row r="75" spans="3:13" ht="15" thickBot="1">
      <c r="D75" s="35" t="s">
        <v>294</v>
      </c>
      <c r="E75" s="35"/>
      <c r="F75" s="35"/>
      <c r="G75" s="35"/>
      <c r="H75" s="58">
        <v>121310000.25</v>
      </c>
      <c r="I75" s="58">
        <v>121094000</v>
      </c>
      <c r="J75" s="58">
        <v>113690000</v>
      </c>
      <c r="K75" s="58">
        <v>112210000</v>
      </c>
      <c r="L75" s="58">
        <v>120325000.25</v>
      </c>
      <c r="M75" s="56">
        <v>124740000</v>
      </c>
    </row>
    <row r="76" spans="3:13">
      <c r="M76" s="56">
        <v>0</v>
      </c>
    </row>
    <row r="77" spans="3:13">
      <c r="D77" s="18" t="s">
        <v>295</v>
      </c>
      <c r="H77" s="55">
        <v>15980000</v>
      </c>
      <c r="I77" s="55">
        <v>14620000</v>
      </c>
      <c r="J77" s="55">
        <v>18350000</v>
      </c>
      <c r="K77" s="55">
        <v>17710000</v>
      </c>
      <c r="L77" s="55">
        <v>20480000</v>
      </c>
      <c r="M77" s="56">
        <v>21980000</v>
      </c>
    </row>
    <row r="78" spans="3:13">
      <c r="D78" s="18" t="s">
        <v>296</v>
      </c>
      <c r="H78" s="55">
        <v>0</v>
      </c>
      <c r="I78" s="55">
        <v>0</v>
      </c>
      <c r="J78" s="55">
        <v>0</v>
      </c>
      <c r="K78" s="55">
        <v>0</v>
      </c>
      <c r="L78" s="55">
        <v>0</v>
      </c>
      <c r="M78" s="56">
        <v>0</v>
      </c>
    </row>
    <row r="79" spans="3:13">
      <c r="M79" s="56">
        <v>0</v>
      </c>
    </row>
    <row r="80" spans="3:13">
      <c r="D80" s="18" t="s">
        <v>283</v>
      </c>
      <c r="H80" s="55">
        <v>137290000.25</v>
      </c>
      <c r="I80" s="55">
        <v>135714000</v>
      </c>
      <c r="J80" s="55">
        <v>132040000</v>
      </c>
      <c r="K80" s="55">
        <v>129920000</v>
      </c>
      <c r="L80" s="55">
        <v>140805000.25</v>
      </c>
      <c r="M80" s="56">
        <v>146720000</v>
      </c>
    </row>
    <row r="81" spans="1:12">
      <c r="H81" s="19"/>
      <c r="I81" s="19"/>
      <c r="J81" s="19"/>
      <c r="K81" s="19"/>
      <c r="L81" s="19"/>
    </row>
    <row r="82" spans="1:12">
      <c r="H82" s="19"/>
      <c r="I82" s="19"/>
      <c r="J82" s="19"/>
      <c r="K82" s="19"/>
      <c r="L82" s="19"/>
    </row>
    <row r="83" spans="1:12" s="31" customFormat="1">
      <c r="A83" s="31" t="s">
        <v>242</v>
      </c>
    </row>
    <row r="84" spans="1:12">
      <c r="B84" s="18" t="s">
        <v>209</v>
      </c>
    </row>
    <row r="85" spans="1:12">
      <c r="B85" s="42" t="s">
        <v>210</v>
      </c>
      <c r="H85" s="18" t="s">
        <v>554</v>
      </c>
      <c r="I85" s="18" t="s">
        <v>555</v>
      </c>
      <c r="J85" s="18" t="s">
        <v>556</v>
      </c>
      <c r="K85" s="18" t="s">
        <v>557</v>
      </c>
      <c r="L85" s="18" t="s">
        <v>558</v>
      </c>
    </row>
    <row r="86" spans="1:12">
      <c r="B86" s="18" t="s">
        <v>211</v>
      </c>
      <c r="H86" s="54">
        <v>2012</v>
      </c>
      <c r="I86" s="54">
        <v>2013</v>
      </c>
      <c r="J86" s="54">
        <v>2014</v>
      </c>
      <c r="K86" s="54">
        <v>2015</v>
      </c>
      <c r="L86" s="54">
        <v>2016</v>
      </c>
    </row>
    <row r="87" spans="1:12">
      <c r="H87" s="19"/>
      <c r="I87" s="19"/>
      <c r="J87" s="19"/>
      <c r="K87" s="19"/>
      <c r="L87" s="19"/>
    </row>
    <row r="88" spans="1:12">
      <c r="D88" s="18" t="s">
        <v>150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</row>
    <row r="89" spans="1:12">
      <c r="D89" s="18" t="s">
        <v>155</v>
      </c>
      <c r="H89" s="55">
        <v>0</v>
      </c>
      <c r="I89" s="55">
        <v>0</v>
      </c>
      <c r="J89" s="55">
        <v>0</v>
      </c>
      <c r="K89" s="55">
        <v>-40000</v>
      </c>
      <c r="L89" s="55">
        <v>0</v>
      </c>
    </row>
    <row r="90" spans="1:12">
      <c r="D90" s="18" t="s">
        <v>251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</row>
    <row r="91" spans="1:12">
      <c r="D91" s="18" t="s">
        <v>252</v>
      </c>
      <c r="H91" s="55">
        <v>-22910000</v>
      </c>
      <c r="I91" s="55">
        <v>-11770000</v>
      </c>
      <c r="J91" s="55">
        <v>-1050000</v>
      </c>
      <c r="K91" s="55">
        <v>-3380000</v>
      </c>
      <c r="L91" s="55">
        <v>-4620000</v>
      </c>
    </row>
    <row r="92" spans="1:12">
      <c r="D92" s="18" t="s">
        <v>572</v>
      </c>
      <c r="H92" s="55">
        <v>-36080000</v>
      </c>
      <c r="I92" s="55">
        <v>-31350000</v>
      </c>
      <c r="J92" s="55">
        <v>-15180000</v>
      </c>
      <c r="K92" s="55">
        <v>-9150000</v>
      </c>
      <c r="L92" s="55">
        <v>-13090000</v>
      </c>
    </row>
    <row r="93" spans="1:12">
      <c r="D93" s="18" t="s">
        <v>573</v>
      </c>
      <c r="H93" s="55">
        <v>13180000</v>
      </c>
      <c r="I93" s="55">
        <v>19570000</v>
      </c>
      <c r="J93" s="55">
        <v>14130000</v>
      </c>
      <c r="K93" s="55">
        <v>5770000</v>
      </c>
      <c r="L93" s="55">
        <v>8470000</v>
      </c>
    </row>
    <row r="94" spans="1:12">
      <c r="H94" s="19"/>
      <c r="I94" s="19"/>
      <c r="J94" s="19"/>
      <c r="K94" s="19"/>
      <c r="L94" s="19"/>
    </row>
    <row r="95" spans="1:12">
      <c r="D95" s="18" t="s">
        <v>574</v>
      </c>
      <c r="H95" s="55">
        <v>-603000</v>
      </c>
      <c r="I95" s="55">
        <v>-635000</v>
      </c>
      <c r="J95" s="55">
        <v>-654000</v>
      </c>
      <c r="K95" s="55">
        <v>-656000</v>
      </c>
      <c r="L95" s="55">
        <v>-658000</v>
      </c>
    </row>
    <row r="96" spans="1:12">
      <c r="D96" s="18" t="s">
        <v>257</v>
      </c>
      <c r="H96" s="55">
        <v>-603000</v>
      </c>
      <c r="I96" s="55">
        <v>-635000</v>
      </c>
      <c r="J96" s="55">
        <v>-654000</v>
      </c>
      <c r="K96" s="55">
        <v>-656000</v>
      </c>
      <c r="L96" s="55">
        <v>-658000</v>
      </c>
    </row>
    <row r="97" spans="1:23">
      <c r="D97" s="18" t="s">
        <v>236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</row>
    <row r="98" spans="1:23">
      <c r="D98" s="18" t="s">
        <v>575</v>
      </c>
      <c r="H98" s="55">
        <v>0</v>
      </c>
      <c r="I98" s="55">
        <v>-5.3100000513950363E-5</v>
      </c>
      <c r="J98" s="55">
        <v>-2.9900000299676321E-5</v>
      </c>
      <c r="K98" s="55">
        <v>-3.0999999580672011E-6</v>
      </c>
      <c r="L98" s="55">
        <v>-3.0000001061125658E-6</v>
      </c>
    </row>
    <row r="99" spans="1:23">
      <c r="D99" s="18" t="s">
        <v>258</v>
      </c>
      <c r="H99" s="55">
        <v>-86000</v>
      </c>
      <c r="I99" s="55">
        <v>-725000</v>
      </c>
      <c r="J99" s="55">
        <v>-1180000</v>
      </c>
      <c r="K99" s="55">
        <v>-1280000</v>
      </c>
      <c r="L99" s="55">
        <v>-1380000</v>
      </c>
    </row>
    <row r="100" spans="1:23">
      <c r="D100" s="18" t="s">
        <v>259</v>
      </c>
      <c r="H100" s="55">
        <v>-118000</v>
      </c>
      <c r="I100" s="55">
        <v>-813000</v>
      </c>
      <c r="J100" s="55">
        <v>-1210000</v>
      </c>
      <c r="K100" s="55">
        <v>-1320000</v>
      </c>
      <c r="L100" s="55">
        <v>-1420000</v>
      </c>
    </row>
    <row r="101" spans="1:23">
      <c r="D101" s="18" t="s">
        <v>260</v>
      </c>
      <c r="H101" s="55">
        <v>32000</v>
      </c>
      <c r="I101" s="55">
        <v>88000</v>
      </c>
      <c r="J101" s="55">
        <v>33000</v>
      </c>
      <c r="K101" s="55">
        <v>36000</v>
      </c>
      <c r="L101" s="55">
        <v>46000</v>
      </c>
    </row>
    <row r="102" spans="1:23">
      <c r="D102" s="18" t="s">
        <v>576</v>
      </c>
      <c r="H102" s="55">
        <v>32000</v>
      </c>
      <c r="I102" s="55">
        <v>88000</v>
      </c>
      <c r="J102" s="55">
        <v>33000</v>
      </c>
      <c r="K102" s="55">
        <v>36000</v>
      </c>
      <c r="L102" s="55">
        <v>46000</v>
      </c>
    </row>
    <row r="103" spans="1:23">
      <c r="D103" s="18" t="s">
        <v>577</v>
      </c>
      <c r="H103" s="55">
        <v>0</v>
      </c>
      <c r="I103" s="55">
        <v>0</v>
      </c>
      <c r="J103" s="55">
        <v>0</v>
      </c>
      <c r="K103" s="55">
        <v>0</v>
      </c>
      <c r="L103" s="55">
        <v>0</v>
      </c>
    </row>
    <row r="104" spans="1:23">
      <c r="D104" s="18" t="s">
        <v>261</v>
      </c>
      <c r="H104" s="55">
        <v>1170000</v>
      </c>
      <c r="I104" s="55">
        <v>700000</v>
      </c>
      <c r="J104" s="55">
        <v>415000</v>
      </c>
      <c r="K104" s="55">
        <v>-274000</v>
      </c>
      <c r="L104" s="55">
        <v>376000</v>
      </c>
    </row>
    <row r="105" spans="1:23">
      <c r="D105" s="18" t="s">
        <v>262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</row>
    <row r="106" spans="1:23">
      <c r="D106" s="18" t="s">
        <v>263</v>
      </c>
      <c r="H106" s="55">
        <v>1170000</v>
      </c>
      <c r="I106" s="55">
        <v>700000</v>
      </c>
      <c r="J106" s="55">
        <v>415000</v>
      </c>
      <c r="K106" s="55">
        <v>-274000</v>
      </c>
      <c r="L106" s="55">
        <v>376000</v>
      </c>
    </row>
    <row r="107" spans="1:23">
      <c r="D107" s="18" t="s">
        <v>264</v>
      </c>
      <c r="H107" s="55">
        <v>1510000</v>
      </c>
      <c r="I107" s="55">
        <v>700000</v>
      </c>
      <c r="J107" s="55">
        <v>750000</v>
      </c>
      <c r="K107" s="55">
        <v>998000</v>
      </c>
      <c r="L107" s="55">
        <v>986000</v>
      </c>
    </row>
    <row r="108" spans="1:23">
      <c r="D108" s="18" t="s">
        <v>265</v>
      </c>
      <c r="H108" s="55">
        <v>-341000</v>
      </c>
      <c r="I108" s="55">
        <v>0</v>
      </c>
      <c r="J108" s="55">
        <v>-335000</v>
      </c>
      <c r="K108" s="55">
        <v>-1270000</v>
      </c>
      <c r="L108" s="55">
        <v>-610000</v>
      </c>
    </row>
    <row r="109" spans="1:23">
      <c r="H109" s="19"/>
      <c r="I109" s="19"/>
      <c r="J109" s="19"/>
      <c r="K109" s="19"/>
      <c r="L109" s="19"/>
    </row>
    <row r="110" spans="1:23" s="31" customFormat="1">
      <c r="A110" s="31" t="s">
        <v>433</v>
      </c>
      <c r="E110" s="91" t="s">
        <v>478</v>
      </c>
      <c r="F110" s="91" t="s">
        <v>67</v>
      </c>
      <c r="H110" s="92"/>
    </row>
    <row r="111" spans="1:23">
      <c r="C111" s="18" t="s">
        <v>578</v>
      </c>
      <c r="E111" s="38"/>
      <c r="F111" s="115"/>
      <c r="G111" s="62"/>
      <c r="H111" s="62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</row>
    <row r="112" spans="1:23">
      <c r="C112" s="18" t="s">
        <v>579</v>
      </c>
      <c r="E112" s="38"/>
      <c r="F112" s="115"/>
      <c r="G112" s="62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</row>
    <row r="113" spans="3:23">
      <c r="C113" s="18" t="s">
        <v>580</v>
      </c>
      <c r="E113" s="20">
        <f>AVERAGEIF($6:$6,TRUE,113:113)</f>
        <v>1.1421381498742662</v>
      </c>
      <c r="F113" s="29">
        <v>0</v>
      </c>
      <c r="H113" s="20"/>
      <c r="I113" s="20">
        <f>IF(I6,IFERROR(I15/H15-1,0),$F$113)</f>
        <v>0.21739130434782616</v>
      </c>
      <c r="J113" s="20">
        <f t="shared" ref="J113:W113" si="3">IF(J6,IFERROR(J15/I15-1,0),$F$113)</f>
        <v>8.9285714285714191E-2</v>
      </c>
      <c r="K113" s="20">
        <f t="shared" si="3"/>
        <v>-0.77868852459016391</v>
      </c>
      <c r="L113" s="20">
        <f t="shared" si="3"/>
        <v>5.6296296296296298</v>
      </c>
      <c r="M113" s="20">
        <f t="shared" si="3"/>
        <v>0.55307262569832405</v>
      </c>
      <c r="N113" s="20">
        <f t="shared" si="3"/>
        <v>0</v>
      </c>
      <c r="O113" s="20">
        <f t="shared" si="3"/>
        <v>0</v>
      </c>
      <c r="P113" s="20">
        <f t="shared" si="3"/>
        <v>0</v>
      </c>
      <c r="Q113" s="20">
        <f t="shared" si="3"/>
        <v>0</v>
      </c>
      <c r="R113" s="20">
        <f t="shared" si="3"/>
        <v>0</v>
      </c>
      <c r="S113" s="20">
        <f t="shared" si="3"/>
        <v>0</v>
      </c>
      <c r="T113" s="20">
        <f t="shared" si="3"/>
        <v>0</v>
      </c>
      <c r="U113" s="20">
        <f t="shared" si="3"/>
        <v>0</v>
      </c>
      <c r="V113" s="20">
        <f t="shared" si="3"/>
        <v>0</v>
      </c>
      <c r="W113" s="20">
        <f t="shared" si="3"/>
        <v>0</v>
      </c>
    </row>
    <row r="114" spans="3:23">
      <c r="C114" s="18" t="s">
        <v>581</v>
      </c>
      <c r="E114" s="20">
        <f>AVERAGEIF($6:$6,TRUE,114:114)</f>
        <v>0.67670994016694153</v>
      </c>
      <c r="F114" s="29">
        <v>0.67</v>
      </c>
      <c r="H114" s="20">
        <f>IF(H6,H18/H12,$F$114)</f>
        <v>0.69209932279909703</v>
      </c>
      <c r="I114" s="20">
        <f t="shared" ref="I114:W114" si="4">IF(I6,I18/I12,$F$114)</f>
        <v>0.68570009930486597</v>
      </c>
      <c r="J114" s="20">
        <f t="shared" si="4"/>
        <v>0.67855270057682227</v>
      </c>
      <c r="K114" s="20">
        <f t="shared" si="4"/>
        <v>0.66875355719977236</v>
      </c>
      <c r="L114" s="20">
        <f t="shared" si="4"/>
        <v>0.67186687467498696</v>
      </c>
      <c r="M114" s="20">
        <f t="shared" si="4"/>
        <v>0.66328708644610457</v>
      </c>
      <c r="N114" s="20">
        <f t="shared" si="4"/>
        <v>0.67</v>
      </c>
      <c r="O114" s="20">
        <f t="shared" si="4"/>
        <v>0.67</v>
      </c>
      <c r="P114" s="20">
        <f t="shared" si="4"/>
        <v>0.67</v>
      </c>
      <c r="Q114" s="20">
        <f t="shared" si="4"/>
        <v>0.67</v>
      </c>
      <c r="R114" s="20">
        <f t="shared" si="4"/>
        <v>0.67</v>
      </c>
      <c r="S114" s="20">
        <f t="shared" si="4"/>
        <v>0.67</v>
      </c>
      <c r="T114" s="20">
        <f t="shared" si="4"/>
        <v>0.67</v>
      </c>
      <c r="U114" s="20">
        <f t="shared" si="4"/>
        <v>0.67</v>
      </c>
      <c r="V114" s="20">
        <f t="shared" si="4"/>
        <v>0.67</v>
      </c>
      <c r="W114" s="20">
        <f t="shared" si="4"/>
        <v>0.67</v>
      </c>
    </row>
    <row r="115" spans="3:23">
      <c r="C115" s="18" t="s">
        <v>613</v>
      </c>
      <c r="E115" s="20">
        <f>AVERAGEIF($6:$6,TRUE,115:115)</f>
        <v>2.5139862292467585E-3</v>
      </c>
      <c r="F115" s="29">
        <v>2.5000000000000001E-3</v>
      </c>
      <c r="H115" s="20">
        <f>IF(H6,H14/H54,$F$115)</f>
        <v>4.0798760543983474E-3</v>
      </c>
      <c r="I115" s="20">
        <f t="shared" ref="I115:W115" si="5">IF(I6,I14/I54,$F$115)</f>
        <v>2.407477341389728E-3</v>
      </c>
      <c r="J115" s="20">
        <f t="shared" si="5"/>
        <v>2.0938839111803663E-3</v>
      </c>
      <c r="K115" s="20">
        <f t="shared" si="5"/>
        <v>2.983751846381093E-3</v>
      </c>
      <c r="L115" s="20">
        <f t="shared" si="5"/>
        <v>1.9282511210762332E-3</v>
      </c>
      <c r="M115" s="20">
        <f t="shared" si="5"/>
        <v>1.5906771010547806E-3</v>
      </c>
      <c r="N115" s="20">
        <f t="shared" si="5"/>
        <v>2.5000000000000001E-3</v>
      </c>
      <c r="O115" s="20">
        <f t="shared" si="5"/>
        <v>2.5000000000000001E-3</v>
      </c>
      <c r="P115" s="20">
        <f t="shared" si="5"/>
        <v>2.5000000000000001E-3</v>
      </c>
      <c r="Q115" s="20">
        <f t="shared" si="5"/>
        <v>2.5000000000000001E-3</v>
      </c>
      <c r="R115" s="20">
        <f t="shared" si="5"/>
        <v>2.5000000000000001E-3</v>
      </c>
      <c r="S115" s="20">
        <f t="shared" si="5"/>
        <v>2.5000000000000001E-3</v>
      </c>
      <c r="T115" s="20">
        <f t="shared" si="5"/>
        <v>2.5000000000000001E-3</v>
      </c>
      <c r="U115" s="20">
        <f t="shared" si="5"/>
        <v>2.5000000000000001E-3</v>
      </c>
      <c r="V115" s="20">
        <f t="shared" si="5"/>
        <v>2.5000000000000001E-3</v>
      </c>
      <c r="W115" s="20">
        <f t="shared" si="5"/>
        <v>2.5000000000000001E-3</v>
      </c>
    </row>
    <row r="116" spans="3:23">
      <c r="C116" s="18" t="s">
        <v>662</v>
      </c>
      <c r="E116" s="20">
        <f>AVERAGEIF($4:$4,TRUE,116:116)</f>
        <v>9.9792834893532106E-2</v>
      </c>
      <c r="F116" s="29">
        <v>0.1</v>
      </c>
      <c r="H116" s="20">
        <f>IF(H4,H19/H12,$F$116)</f>
        <v>9.0744920993227993E-2</v>
      </c>
      <c r="I116" s="20">
        <f t="shared" ref="I116:W116" si="6">IF(I4,I19/I12,$F$116)</f>
        <v>9.1857000993048665E-2</v>
      </c>
      <c r="J116" s="20">
        <f t="shared" si="6"/>
        <v>0.10015731515469324</v>
      </c>
      <c r="K116" s="20">
        <f t="shared" si="6"/>
        <v>0.10700056915196357</v>
      </c>
      <c r="L116" s="20">
        <f t="shared" si="6"/>
        <v>0.10920436817472699</v>
      </c>
      <c r="M116" s="20">
        <f t="shared" si="6"/>
        <v>0.1</v>
      </c>
      <c r="N116" s="20">
        <f t="shared" si="6"/>
        <v>0.1</v>
      </c>
      <c r="O116" s="20">
        <f t="shared" si="6"/>
        <v>0.1</v>
      </c>
      <c r="P116" s="20">
        <f t="shared" si="6"/>
        <v>0.1</v>
      </c>
      <c r="Q116" s="20">
        <f t="shared" si="6"/>
        <v>0.1</v>
      </c>
      <c r="R116" s="20">
        <f t="shared" si="6"/>
        <v>0.1</v>
      </c>
      <c r="S116" s="20">
        <f t="shared" si="6"/>
        <v>0.1</v>
      </c>
      <c r="T116" s="20">
        <f t="shared" si="6"/>
        <v>0.1</v>
      </c>
      <c r="U116" s="20">
        <f t="shared" si="6"/>
        <v>0.1</v>
      </c>
      <c r="V116" s="20">
        <f t="shared" si="6"/>
        <v>0.1</v>
      </c>
      <c r="W116" s="20">
        <f t="shared" si="6"/>
        <v>0.1</v>
      </c>
    </row>
    <row r="117" spans="3:23">
      <c r="C117" s="50" t="s">
        <v>582</v>
      </c>
      <c r="E117" s="38"/>
      <c r="F117" s="116"/>
      <c r="G117" s="62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</row>
    <row r="118" spans="3:23">
      <c r="C118" s="50" t="s">
        <v>583</v>
      </c>
      <c r="E118" s="19">
        <f>AVERAGEIF($6:$6,TRUE,118:118)</f>
        <v>-21000</v>
      </c>
      <c r="F118" s="90">
        <v>120000</v>
      </c>
      <c r="H118" s="19">
        <f>IF(H6,H21,$F$118)</f>
        <v>-154000</v>
      </c>
      <c r="I118" s="19">
        <f t="shared" ref="I118:W118" si="7">IF(I6,I21,$F$118)</f>
        <v>-326000</v>
      </c>
      <c r="J118" s="19">
        <f t="shared" si="7"/>
        <v>-31000</v>
      </c>
      <c r="K118" s="19">
        <f t="shared" si="7"/>
        <v>10000</v>
      </c>
      <c r="L118" s="19">
        <f t="shared" si="7"/>
        <v>255000</v>
      </c>
      <c r="M118" s="19">
        <f t="shared" si="7"/>
        <v>120000</v>
      </c>
      <c r="N118" s="19">
        <f t="shared" si="7"/>
        <v>120000</v>
      </c>
      <c r="O118" s="19">
        <f t="shared" si="7"/>
        <v>120000</v>
      </c>
      <c r="P118" s="19">
        <f t="shared" si="7"/>
        <v>120000</v>
      </c>
      <c r="Q118" s="19">
        <f t="shared" si="7"/>
        <v>120000</v>
      </c>
      <c r="R118" s="19">
        <f t="shared" si="7"/>
        <v>120000</v>
      </c>
      <c r="S118" s="19">
        <f t="shared" si="7"/>
        <v>120000</v>
      </c>
      <c r="T118" s="19">
        <f t="shared" si="7"/>
        <v>120000</v>
      </c>
      <c r="U118" s="19">
        <f t="shared" si="7"/>
        <v>120000</v>
      </c>
      <c r="V118" s="19">
        <f t="shared" si="7"/>
        <v>120000</v>
      </c>
      <c r="W118" s="19">
        <f t="shared" si="7"/>
        <v>120000</v>
      </c>
    </row>
    <row r="119" spans="3:23">
      <c r="C119" s="50" t="s">
        <v>584</v>
      </c>
      <c r="H119" s="34"/>
      <c r="I119" s="20">
        <f>IFERROR(I118/H118-1,0)</f>
        <v>1.116883116883117</v>
      </c>
      <c r="J119" s="20">
        <f t="shared" ref="J119:M119" si="8">IFERROR(J118/I118-1,0)</f>
        <v>-0.90490797546012269</v>
      </c>
      <c r="K119" s="20">
        <f t="shared" si="8"/>
        <v>-1.3225806451612903</v>
      </c>
      <c r="L119" s="20">
        <f t="shared" si="8"/>
        <v>24.5</v>
      </c>
      <c r="M119" s="20">
        <f t="shared" si="8"/>
        <v>-0.52941176470588236</v>
      </c>
    </row>
    <row r="120" spans="3:23">
      <c r="C120" s="50"/>
      <c r="H120" s="34"/>
      <c r="I120" s="20"/>
      <c r="J120" s="20"/>
      <c r="K120" s="20"/>
      <c r="L120" s="20"/>
      <c r="M120" s="20"/>
    </row>
    <row r="121" spans="3:23">
      <c r="C121" s="18" t="s">
        <v>585</v>
      </c>
      <c r="E121" s="20">
        <f>AVERAGEIF($6:$6,TRUE,121:121)</f>
        <v>5.6060607149389839E-2</v>
      </c>
      <c r="F121" s="29">
        <v>0.05</v>
      </c>
      <c r="H121" s="20">
        <f>IF(H6,H23/H70,$F$121)</f>
        <v>0.06</v>
      </c>
      <c r="I121" s="20">
        <f t="shared" ref="I121:W121" si="9">IF(I6,I23/I70,$F$121)</f>
        <v>5.9795918367346941E-2</v>
      </c>
      <c r="J121" s="20">
        <f t="shared" si="9"/>
        <v>6.0037878787878786E-2</v>
      </c>
      <c r="K121" s="20">
        <f t="shared" si="9"/>
        <v>5.8148893360160964E-2</v>
      </c>
      <c r="L121" s="20">
        <f t="shared" si="9"/>
        <v>0.05</v>
      </c>
      <c r="M121" s="20">
        <f t="shared" si="9"/>
        <v>4.8380952380952379E-2</v>
      </c>
      <c r="N121" s="20">
        <f t="shared" si="9"/>
        <v>0.05</v>
      </c>
      <c r="O121" s="20">
        <f t="shared" si="9"/>
        <v>0.05</v>
      </c>
      <c r="P121" s="20">
        <f t="shared" si="9"/>
        <v>0.05</v>
      </c>
      <c r="Q121" s="20">
        <f t="shared" si="9"/>
        <v>0.05</v>
      </c>
      <c r="R121" s="20">
        <f t="shared" si="9"/>
        <v>0.05</v>
      </c>
      <c r="S121" s="20">
        <f t="shared" si="9"/>
        <v>0.05</v>
      </c>
      <c r="T121" s="20">
        <f t="shared" si="9"/>
        <v>0.05</v>
      </c>
      <c r="U121" s="20">
        <f t="shared" si="9"/>
        <v>0.05</v>
      </c>
      <c r="V121" s="20">
        <f t="shared" si="9"/>
        <v>0.05</v>
      </c>
      <c r="W121" s="20">
        <f t="shared" si="9"/>
        <v>0.05</v>
      </c>
    </row>
    <row r="122" spans="3:23">
      <c r="C122" s="18" t="s">
        <v>586</v>
      </c>
      <c r="E122" s="19">
        <f>AVERAGEIF($6:$6,TRUE,122:122)</f>
        <v>331666.625</v>
      </c>
      <c r="F122" s="90">
        <v>300000</v>
      </c>
      <c r="H122" s="21">
        <f>IF(H6,H26-H25-H27,$F$122)</f>
        <v>979000</v>
      </c>
      <c r="I122" s="21">
        <f t="shared" ref="I122:W122" si="10">IF(I6,I26-I25-I27,$F$122)</f>
        <v>190000</v>
      </c>
      <c r="J122" s="21">
        <f t="shared" si="10"/>
        <v>31000</v>
      </c>
      <c r="K122" s="21">
        <f t="shared" si="10"/>
        <v>391000</v>
      </c>
      <c r="L122" s="21">
        <f t="shared" si="10"/>
        <v>220999.75</v>
      </c>
      <c r="M122" s="21">
        <f t="shared" si="10"/>
        <v>178000</v>
      </c>
      <c r="N122" s="21">
        <f t="shared" si="10"/>
        <v>300000</v>
      </c>
      <c r="O122" s="21">
        <f t="shared" si="10"/>
        <v>300000</v>
      </c>
      <c r="P122" s="21">
        <f t="shared" si="10"/>
        <v>300000</v>
      </c>
      <c r="Q122" s="21">
        <f t="shared" si="10"/>
        <v>300000</v>
      </c>
      <c r="R122" s="21">
        <f t="shared" si="10"/>
        <v>300000</v>
      </c>
      <c r="S122" s="21">
        <f t="shared" si="10"/>
        <v>300000</v>
      </c>
      <c r="T122" s="21">
        <f t="shared" si="10"/>
        <v>300000</v>
      </c>
      <c r="U122" s="21">
        <f t="shared" si="10"/>
        <v>300000</v>
      </c>
      <c r="V122" s="21">
        <f t="shared" si="10"/>
        <v>300000</v>
      </c>
      <c r="W122" s="21">
        <f t="shared" si="10"/>
        <v>300000</v>
      </c>
    </row>
    <row r="123" spans="3:23">
      <c r="C123" s="18" t="s">
        <v>181</v>
      </c>
      <c r="E123" s="20">
        <f>AVERAGEIF($6:$6,TRUE,123:123)</f>
        <v>0.34135209862946442</v>
      </c>
      <c r="F123" s="29">
        <v>0.3</v>
      </c>
      <c r="H123" s="20">
        <f>IF(H6,H29/H28,$F$123)</f>
        <v>0.33488372093023255</v>
      </c>
      <c r="I123" s="20">
        <f t="shared" ref="I123:W123" si="11">IF(I6,I29/I28,$F$123)</f>
        <v>0.34439834024896265</v>
      </c>
      <c r="J123" s="20">
        <f t="shared" si="11"/>
        <v>0.34298440979955458</v>
      </c>
      <c r="K123" s="20">
        <f t="shared" si="11"/>
        <v>0.34455958549222798</v>
      </c>
      <c r="L123" s="20">
        <f t="shared" si="11"/>
        <v>0.34643732515741243</v>
      </c>
      <c r="M123" s="20">
        <f t="shared" si="11"/>
        <v>0.33484921014839636</v>
      </c>
      <c r="N123" s="20">
        <f t="shared" si="11"/>
        <v>0.3</v>
      </c>
      <c r="O123" s="20">
        <f t="shared" si="11"/>
        <v>0.3</v>
      </c>
      <c r="P123" s="20">
        <f t="shared" si="11"/>
        <v>0.3</v>
      </c>
      <c r="Q123" s="20">
        <f t="shared" si="11"/>
        <v>0.3</v>
      </c>
      <c r="R123" s="20">
        <f t="shared" si="11"/>
        <v>0.3</v>
      </c>
      <c r="S123" s="20">
        <f t="shared" si="11"/>
        <v>0.3</v>
      </c>
      <c r="T123" s="20">
        <f t="shared" si="11"/>
        <v>0.3</v>
      </c>
      <c r="U123" s="20">
        <f t="shared" si="11"/>
        <v>0.3</v>
      </c>
      <c r="V123" s="20">
        <f t="shared" si="11"/>
        <v>0.3</v>
      </c>
      <c r="W123" s="20">
        <f t="shared" si="11"/>
        <v>0.3</v>
      </c>
    </row>
    <row r="124" spans="3:23">
      <c r="C124" s="18" t="s">
        <v>228</v>
      </c>
      <c r="E124" s="19">
        <f>AVERAGEIF($6:$6,TRUE,124:124)</f>
        <v>-1666.625</v>
      </c>
      <c r="F124" s="90">
        <v>0</v>
      </c>
      <c r="H124" s="34">
        <f>IF(H6,H30+H31+H32,$F$124)</f>
        <v>-10000</v>
      </c>
      <c r="I124" s="34">
        <f t="shared" ref="I124:W124" si="12">IF(I6,I30+I31+I32,$F$124)</f>
        <v>0</v>
      </c>
      <c r="J124" s="34">
        <f t="shared" si="12"/>
        <v>0</v>
      </c>
      <c r="K124" s="34">
        <f t="shared" si="12"/>
        <v>0</v>
      </c>
      <c r="L124" s="34">
        <f t="shared" si="12"/>
        <v>0.25</v>
      </c>
      <c r="M124" s="34">
        <f t="shared" si="12"/>
        <v>0</v>
      </c>
      <c r="N124" s="34">
        <f t="shared" si="12"/>
        <v>0</v>
      </c>
      <c r="O124" s="34">
        <f t="shared" si="12"/>
        <v>0</v>
      </c>
      <c r="P124" s="34">
        <f t="shared" si="12"/>
        <v>0</v>
      </c>
      <c r="Q124" s="34">
        <f t="shared" si="12"/>
        <v>0</v>
      </c>
      <c r="R124" s="34">
        <f t="shared" si="12"/>
        <v>0</v>
      </c>
      <c r="S124" s="34">
        <f t="shared" si="12"/>
        <v>0</v>
      </c>
      <c r="T124" s="34">
        <f t="shared" si="12"/>
        <v>0</v>
      </c>
      <c r="U124" s="34">
        <f t="shared" si="12"/>
        <v>0</v>
      </c>
      <c r="V124" s="34">
        <f t="shared" si="12"/>
        <v>0</v>
      </c>
      <c r="W124" s="34">
        <f t="shared" si="12"/>
        <v>0</v>
      </c>
    </row>
    <row r="125" spans="3:23" hidden="1" outlineLevel="1">
      <c r="C125" s="18" t="s">
        <v>587</v>
      </c>
      <c r="H125" s="20">
        <f>IFERROR(H124/H57,0)</f>
        <v>0</v>
      </c>
      <c r="I125" s="20">
        <f t="shared" ref="I125:M125" si="13">IFERROR(I124/I57,0)</f>
        <v>0</v>
      </c>
      <c r="J125" s="20">
        <f t="shared" si="13"/>
        <v>0</v>
      </c>
      <c r="K125" s="20">
        <f t="shared" si="13"/>
        <v>0</v>
      </c>
      <c r="L125" s="20">
        <f t="shared" si="13"/>
        <v>0</v>
      </c>
      <c r="M125" s="20">
        <f t="shared" si="13"/>
        <v>0</v>
      </c>
    </row>
    <row r="126" spans="3:23" hidden="1" outlineLevel="1">
      <c r="C126" s="18" t="s">
        <v>588</v>
      </c>
      <c r="H126" s="20">
        <f t="shared" ref="H126:M126" si="14">H34/H33</f>
        <v>0</v>
      </c>
      <c r="I126" s="20">
        <f t="shared" si="14"/>
        <v>0</v>
      </c>
      <c r="J126" s="20">
        <f t="shared" si="14"/>
        <v>0</v>
      </c>
      <c r="K126" s="20">
        <f t="shared" si="14"/>
        <v>0</v>
      </c>
      <c r="L126" s="20">
        <f t="shared" si="14"/>
        <v>0</v>
      </c>
      <c r="M126" s="20">
        <f t="shared" si="14"/>
        <v>0</v>
      </c>
    </row>
    <row r="127" spans="3:23" hidden="1" outlineLevel="1">
      <c r="H127" s="34"/>
      <c r="I127" s="34"/>
      <c r="J127" s="34"/>
      <c r="K127" s="34"/>
      <c r="L127" s="34"/>
      <c r="M127" s="34"/>
    </row>
    <row r="128" spans="3:23" hidden="1" outlineLevel="1">
      <c r="C128" s="18" t="s">
        <v>589</v>
      </c>
      <c r="H128" s="34"/>
      <c r="I128" s="19">
        <f>I66-H66</f>
        <v>880000</v>
      </c>
      <c r="J128" s="19">
        <f>J66-I66</f>
        <v>-5640000</v>
      </c>
      <c r="K128" s="19">
        <f>K66-J66</f>
        <v>3450000</v>
      </c>
      <c r="L128" s="19">
        <f>L66-K66</f>
        <v>5720000</v>
      </c>
      <c r="M128" s="19">
        <f>M66-L66</f>
        <v>4680000</v>
      </c>
      <c r="N128" s="21">
        <f>SUM(I128:M128)</f>
        <v>9090000</v>
      </c>
    </row>
    <row r="129" spans="1:23" hidden="1" outlineLevel="1">
      <c r="C129" s="18" t="s">
        <v>590</v>
      </c>
      <c r="H129" s="34"/>
      <c r="I129" s="19">
        <f>I12-H12</f>
        <v>-2010000</v>
      </c>
      <c r="J129" s="19">
        <f>J12-I12</f>
        <v>-1070000</v>
      </c>
      <c r="K129" s="19">
        <f>K12-J12</f>
        <v>-1500000</v>
      </c>
      <c r="L129" s="19">
        <f>L12-K12</f>
        <v>1660000</v>
      </c>
      <c r="M129" s="19">
        <f>M12-L12</f>
        <v>-490000</v>
      </c>
      <c r="N129" s="21">
        <f>SUM(I129:M129)</f>
        <v>-3410000</v>
      </c>
    </row>
    <row r="130" spans="1:23" hidden="1" outlineLevel="1">
      <c r="C130" s="18" t="s">
        <v>591</v>
      </c>
      <c r="I130" s="34">
        <f t="shared" ref="I130:N130" si="15">I128/I129</f>
        <v>-0.43781094527363185</v>
      </c>
      <c r="J130" s="34">
        <f t="shared" si="15"/>
        <v>5.2710280373831777</v>
      </c>
      <c r="K130" s="34">
        <f t="shared" si="15"/>
        <v>-2.2999999999999998</v>
      </c>
      <c r="L130" s="34">
        <f t="shared" si="15"/>
        <v>3.4457831325301207</v>
      </c>
      <c r="M130" s="34">
        <f t="shared" si="15"/>
        <v>-9.5510204081632661</v>
      </c>
      <c r="N130" s="34">
        <f t="shared" si="15"/>
        <v>-2.6656891495601172</v>
      </c>
    </row>
    <row r="131" spans="1:23" hidden="1" outlineLevel="1">
      <c r="C131" s="18" t="s">
        <v>592</v>
      </c>
      <c r="I131" s="34">
        <f>I128/I12</f>
        <v>4.3694141012909631E-2</v>
      </c>
      <c r="J131" s="34">
        <f>J128/J12</f>
        <v>-0.29575249082328264</v>
      </c>
      <c r="K131" s="34">
        <f>K128/K12</f>
        <v>0.19635742743312465</v>
      </c>
      <c r="L131" s="34">
        <f>L128/L12</f>
        <v>0.29745189807592304</v>
      </c>
      <c r="M131" s="34">
        <f>M128/M12</f>
        <v>0.24973319103521879</v>
      </c>
      <c r="N131" s="34"/>
    </row>
    <row r="132" spans="1:23" collapsed="1">
      <c r="C132" s="18" t="s">
        <v>599</v>
      </c>
      <c r="E132" s="34">
        <f>AVERAGEIF($6:$6,TRUE,132:132)</f>
        <v>4.3537692021236287</v>
      </c>
      <c r="F132" s="37">
        <v>5</v>
      </c>
      <c r="H132" s="34">
        <f>IF(H4,H66/H12,$F$132)</f>
        <v>3.7318284424379233</v>
      </c>
      <c r="I132" s="34">
        <f t="shared" ref="I132:W132" si="16">IF(I4,I66/I12,$F$132)</f>
        <v>4.1479642502482621</v>
      </c>
      <c r="J132" s="34">
        <f t="shared" si="16"/>
        <v>4.0849501835343469</v>
      </c>
      <c r="K132" s="34">
        <f t="shared" si="16"/>
        <v>4.6300512236767215</v>
      </c>
      <c r="L132" s="34">
        <f t="shared" si="16"/>
        <v>4.5278211128445136</v>
      </c>
      <c r="M132" s="34">
        <f t="shared" si="16"/>
        <v>5</v>
      </c>
      <c r="N132" s="34">
        <f t="shared" si="16"/>
        <v>5</v>
      </c>
      <c r="O132" s="34">
        <f t="shared" si="16"/>
        <v>5</v>
      </c>
      <c r="P132" s="34">
        <f t="shared" si="16"/>
        <v>5</v>
      </c>
      <c r="Q132" s="34">
        <f t="shared" si="16"/>
        <v>5</v>
      </c>
      <c r="R132" s="34">
        <f t="shared" si="16"/>
        <v>5</v>
      </c>
      <c r="S132" s="34">
        <f t="shared" si="16"/>
        <v>5</v>
      </c>
      <c r="T132" s="34">
        <f t="shared" si="16"/>
        <v>5</v>
      </c>
      <c r="U132" s="34">
        <f t="shared" si="16"/>
        <v>5</v>
      </c>
      <c r="V132" s="34">
        <f t="shared" si="16"/>
        <v>5</v>
      </c>
      <c r="W132" s="34">
        <f t="shared" si="16"/>
        <v>5</v>
      </c>
    </row>
    <row r="133" spans="1:23">
      <c r="C133" s="18" t="s">
        <v>593</v>
      </c>
      <c r="E133" s="34">
        <f>AVERAGEIF($6:$6,TRUE,133:133)</f>
        <v>1.3034001563912567</v>
      </c>
      <c r="F133" s="37">
        <v>1.3</v>
      </c>
      <c r="H133" s="34">
        <f>IF(H4,H54/H66,$F$133)</f>
        <v>1.4055165739172515</v>
      </c>
      <c r="I133" s="34">
        <f t="shared" ref="I133:W133" si="17">IF(I4,I54/I66,$F$133)</f>
        <v>1.2678956188652142</v>
      </c>
      <c r="J133" s="34">
        <f t="shared" si="17"/>
        <v>1.3181001283697047</v>
      </c>
      <c r="K133" s="34">
        <f t="shared" si="17"/>
        <v>1.2483097725875845</v>
      </c>
      <c r="L133" s="34">
        <f t="shared" si="17"/>
        <v>1.2805788446077868</v>
      </c>
      <c r="M133" s="34">
        <f t="shared" si="17"/>
        <v>1.3</v>
      </c>
      <c r="N133" s="34">
        <f t="shared" si="17"/>
        <v>1.3</v>
      </c>
      <c r="O133" s="34">
        <f t="shared" si="17"/>
        <v>1.3</v>
      </c>
      <c r="P133" s="34">
        <f t="shared" si="17"/>
        <v>1.3</v>
      </c>
      <c r="Q133" s="34">
        <f t="shared" si="17"/>
        <v>1.3</v>
      </c>
      <c r="R133" s="34">
        <f t="shared" si="17"/>
        <v>1.3</v>
      </c>
      <c r="S133" s="34">
        <f t="shared" si="17"/>
        <v>1.3</v>
      </c>
      <c r="T133" s="34">
        <f t="shared" si="17"/>
        <v>1.3</v>
      </c>
      <c r="U133" s="34">
        <f t="shared" si="17"/>
        <v>1.3</v>
      </c>
      <c r="V133" s="34">
        <f t="shared" si="17"/>
        <v>1.3</v>
      </c>
      <c r="W133" s="34">
        <f t="shared" si="17"/>
        <v>1.3</v>
      </c>
    </row>
    <row r="135" spans="1:23">
      <c r="C135" s="18" t="s">
        <v>594</v>
      </c>
      <c r="E135" s="20">
        <f>AVERAGEIF($6:$6,TRUE,135:135)</f>
        <v>0.78203215557737471</v>
      </c>
      <c r="F135" s="29">
        <v>0.8</v>
      </c>
      <c r="H135" s="20">
        <f>IF(H6,(H77+H78)/(H77+H78+H70),$F$135)</f>
        <v>0.7860304968027545</v>
      </c>
      <c r="I135" s="20">
        <f t="shared" ref="I135:W135" si="18">IF(I6,(I77+I78)/(I77+I78+I70),$F$135)</f>
        <v>0.74897540983606559</v>
      </c>
      <c r="J135" s="20">
        <f t="shared" si="18"/>
        <v>0.77655522640710961</v>
      </c>
      <c r="K135" s="20">
        <f t="shared" si="18"/>
        <v>0.78086419753086422</v>
      </c>
      <c r="L135" s="20">
        <f t="shared" si="18"/>
        <v>0.79256965944272451</v>
      </c>
      <c r="M135" s="20">
        <f t="shared" si="18"/>
        <v>0.80719794344473006</v>
      </c>
      <c r="N135" s="20">
        <f t="shared" si="18"/>
        <v>0.8</v>
      </c>
      <c r="O135" s="20">
        <f t="shared" si="18"/>
        <v>0.8</v>
      </c>
      <c r="P135" s="20">
        <f t="shared" si="18"/>
        <v>0.8</v>
      </c>
      <c r="Q135" s="20">
        <f t="shared" si="18"/>
        <v>0.8</v>
      </c>
      <c r="R135" s="20">
        <f t="shared" si="18"/>
        <v>0.8</v>
      </c>
      <c r="S135" s="20">
        <f t="shared" si="18"/>
        <v>0.8</v>
      </c>
      <c r="T135" s="20">
        <f t="shared" si="18"/>
        <v>0.8</v>
      </c>
      <c r="U135" s="20">
        <f t="shared" si="18"/>
        <v>0.8</v>
      </c>
      <c r="V135" s="20">
        <f t="shared" si="18"/>
        <v>0.8</v>
      </c>
      <c r="W135" s="20">
        <f t="shared" si="18"/>
        <v>0.8</v>
      </c>
    </row>
    <row r="136" spans="1:23">
      <c r="C136" s="18" t="s">
        <v>524</v>
      </c>
      <c r="E136" s="20">
        <f>AVERAGEIF($6:$6,TRUE,136:136)</f>
        <v>0.13244478776501781</v>
      </c>
      <c r="F136" s="29">
        <v>0.15</v>
      </c>
      <c r="H136" s="20">
        <f>IF(H6,(H77+H78)/H63,$F$136)</f>
        <v>0.11639594996650166</v>
      </c>
      <c r="I136" s="20">
        <f t="shared" ref="I136:W136" si="19">IF(I6,(I77+I78)/I63,$F$136)</f>
        <v>0.10772654258219491</v>
      </c>
      <c r="J136" s="20">
        <f t="shared" si="19"/>
        <v>0.13897303847318995</v>
      </c>
      <c r="K136" s="20">
        <f t="shared" si="19"/>
        <v>0.13631465517241378</v>
      </c>
      <c r="L136" s="20">
        <f t="shared" si="19"/>
        <v>0.1454493800904631</v>
      </c>
      <c r="M136" s="20">
        <f t="shared" si="19"/>
        <v>0.14980916030534353</v>
      </c>
      <c r="N136" s="20">
        <f t="shared" si="19"/>
        <v>0.15</v>
      </c>
      <c r="O136" s="20">
        <f t="shared" si="19"/>
        <v>0.15</v>
      </c>
      <c r="P136" s="20">
        <f t="shared" si="19"/>
        <v>0.15</v>
      </c>
      <c r="Q136" s="20">
        <f t="shared" si="19"/>
        <v>0.15</v>
      </c>
      <c r="R136" s="20">
        <f t="shared" si="19"/>
        <v>0.15</v>
      </c>
      <c r="S136" s="20">
        <f t="shared" si="19"/>
        <v>0.15</v>
      </c>
      <c r="T136" s="20">
        <f t="shared" si="19"/>
        <v>0.15</v>
      </c>
      <c r="U136" s="20">
        <f t="shared" si="19"/>
        <v>0.15</v>
      </c>
      <c r="V136" s="20">
        <f t="shared" si="19"/>
        <v>0.15</v>
      </c>
      <c r="W136" s="20">
        <f t="shared" si="19"/>
        <v>0.15</v>
      </c>
    </row>
    <row r="138" spans="1:23">
      <c r="C138" s="18" t="s">
        <v>595</v>
      </c>
      <c r="E138" s="20">
        <f>AVERAGEIF($6:$6,TRUE,138:138)</f>
        <v>0.13476284222123905</v>
      </c>
      <c r="F138" s="29">
        <v>0</v>
      </c>
      <c r="H138" s="20">
        <f>IF(H4,H53/H16,$F$138)</f>
        <v>7.790422363094783E-2</v>
      </c>
      <c r="I138" s="20">
        <f t="shared" ref="I138:W138" si="20">IF(I4,I53/I16,$F$138)</f>
        <v>0.10669130927878355</v>
      </c>
      <c r="J138" s="20">
        <f t="shared" si="20"/>
        <v>0.20504246050952613</v>
      </c>
      <c r="K138" s="20">
        <f t="shared" si="20"/>
        <v>0.2067490494296578</v>
      </c>
      <c r="L138" s="20">
        <f t="shared" si="20"/>
        <v>0.21219001047851904</v>
      </c>
      <c r="M138" s="20">
        <f t="shared" si="20"/>
        <v>0</v>
      </c>
      <c r="N138" s="20">
        <f t="shared" si="20"/>
        <v>0</v>
      </c>
      <c r="O138" s="20">
        <f t="shared" si="20"/>
        <v>0</v>
      </c>
      <c r="P138" s="20">
        <f t="shared" si="20"/>
        <v>0</v>
      </c>
      <c r="Q138" s="20">
        <f t="shared" si="20"/>
        <v>0</v>
      </c>
      <c r="R138" s="20">
        <f t="shared" si="20"/>
        <v>0</v>
      </c>
      <c r="S138" s="20">
        <f t="shared" si="20"/>
        <v>0</v>
      </c>
      <c r="T138" s="20">
        <f t="shared" si="20"/>
        <v>0</v>
      </c>
      <c r="U138" s="20">
        <f t="shared" si="20"/>
        <v>0</v>
      </c>
      <c r="V138" s="20">
        <f t="shared" si="20"/>
        <v>0</v>
      </c>
      <c r="W138" s="20">
        <f t="shared" si="20"/>
        <v>0</v>
      </c>
    </row>
    <row r="139" spans="1:23">
      <c r="C139" s="18" t="s">
        <v>596</v>
      </c>
      <c r="E139" s="20">
        <f>AVERAGEIF($4:$4,TRUE,139:139)</f>
        <v>7.720923035160783E-2</v>
      </c>
      <c r="F139" s="29">
        <v>0.08</v>
      </c>
      <c r="H139" s="20">
        <f>IF(H4,H55/H12,$F$139)</f>
        <v>4.4063205417607221E-2</v>
      </c>
      <c r="I139" s="20">
        <f t="shared" ref="I139:W139" si="21">IF(I4,I55/I12,$F$139)</f>
        <v>8.8381330685203568E-2</v>
      </c>
      <c r="J139" s="20">
        <f t="shared" si="21"/>
        <v>8.8096486628211845E-2</v>
      </c>
      <c r="K139" s="20">
        <f t="shared" si="21"/>
        <v>8.5941946499715427E-2</v>
      </c>
      <c r="L139" s="20">
        <f t="shared" si="21"/>
        <v>7.9563182527301088E-2</v>
      </c>
      <c r="M139" s="20">
        <f t="shared" si="21"/>
        <v>0.08</v>
      </c>
      <c r="N139" s="20">
        <f t="shared" si="21"/>
        <v>0.08</v>
      </c>
      <c r="O139" s="20">
        <f t="shared" si="21"/>
        <v>0.08</v>
      </c>
      <c r="P139" s="20">
        <f t="shared" si="21"/>
        <v>0.08</v>
      </c>
      <c r="Q139" s="20">
        <f t="shared" si="21"/>
        <v>0.08</v>
      </c>
      <c r="R139" s="20">
        <f t="shared" si="21"/>
        <v>0.08</v>
      </c>
      <c r="S139" s="20">
        <f t="shared" si="21"/>
        <v>0.08</v>
      </c>
      <c r="T139" s="20">
        <f t="shared" si="21"/>
        <v>0.08</v>
      </c>
      <c r="U139" s="20">
        <f t="shared" si="21"/>
        <v>0.08</v>
      </c>
      <c r="V139" s="20">
        <f t="shared" si="21"/>
        <v>0.08</v>
      </c>
      <c r="W139" s="20">
        <f t="shared" si="21"/>
        <v>0.08</v>
      </c>
    </row>
    <row r="141" spans="1:23">
      <c r="C141" s="18" t="s">
        <v>72</v>
      </c>
      <c r="E141" s="20">
        <f>AVERAGEIF($4:$4,TRUE,141:141)</f>
        <v>0.22788115411232165</v>
      </c>
      <c r="F141" s="30">
        <v>0.25</v>
      </c>
      <c r="H141" s="20">
        <f>IF(H4,-H96/H41,$F$141)</f>
        <v>0.21010452961672474</v>
      </c>
      <c r="I141" s="20">
        <f t="shared" ref="I141:W141" si="22">IF(I4,-I96/I41,$F$141)</f>
        <v>0.20094936708860758</v>
      </c>
      <c r="J141" s="20">
        <f t="shared" si="22"/>
        <v>0.22169491525423729</v>
      </c>
      <c r="K141" s="20">
        <f t="shared" si="22"/>
        <v>0.25928853754940712</v>
      </c>
      <c r="L141" s="20">
        <f t="shared" si="22"/>
        <v>0.24736842105263157</v>
      </c>
      <c r="M141" s="20">
        <f t="shared" si="22"/>
        <v>0.25</v>
      </c>
      <c r="N141" s="20">
        <f t="shared" si="22"/>
        <v>0.25</v>
      </c>
      <c r="O141" s="20">
        <f t="shared" si="22"/>
        <v>0.25</v>
      </c>
      <c r="P141" s="20">
        <f t="shared" si="22"/>
        <v>0.25</v>
      </c>
      <c r="Q141" s="20">
        <f t="shared" si="22"/>
        <v>0.25</v>
      </c>
      <c r="R141" s="20">
        <f t="shared" si="22"/>
        <v>0.25</v>
      </c>
      <c r="S141" s="20">
        <f t="shared" si="22"/>
        <v>0.25</v>
      </c>
      <c r="T141" s="20">
        <f t="shared" si="22"/>
        <v>0.25</v>
      </c>
      <c r="U141" s="20">
        <f t="shared" si="22"/>
        <v>0.25</v>
      </c>
      <c r="V141" s="20">
        <f t="shared" si="22"/>
        <v>0.25</v>
      </c>
      <c r="W141" s="20">
        <f t="shared" si="22"/>
        <v>0.25</v>
      </c>
    </row>
    <row r="143" spans="1:23" s="31" customFormat="1">
      <c r="A143" s="31" t="s">
        <v>455</v>
      </c>
    </row>
    <row r="144" spans="1:23">
      <c r="B144" s="18" t="s">
        <v>604</v>
      </c>
    </row>
    <row r="145" spans="2:23">
      <c r="C145" s="18" t="s">
        <v>578</v>
      </c>
      <c r="H145" s="20">
        <f>H111</f>
        <v>0</v>
      </c>
      <c r="I145" s="20">
        <f t="shared" ref="I145:W145" si="23">I111</f>
        <v>0</v>
      </c>
      <c r="J145" s="20">
        <f t="shared" si="23"/>
        <v>0</v>
      </c>
      <c r="K145" s="20">
        <f t="shared" si="23"/>
        <v>0</v>
      </c>
      <c r="L145" s="20">
        <f t="shared" si="23"/>
        <v>0</v>
      </c>
      <c r="M145" s="20">
        <f t="shared" si="23"/>
        <v>0</v>
      </c>
      <c r="N145" s="20">
        <f t="shared" si="23"/>
        <v>0</v>
      </c>
      <c r="O145" s="20">
        <f t="shared" si="23"/>
        <v>0</v>
      </c>
      <c r="P145" s="20">
        <f t="shared" si="23"/>
        <v>0</v>
      </c>
      <c r="Q145" s="20">
        <f t="shared" si="23"/>
        <v>0</v>
      </c>
      <c r="R145" s="20">
        <f t="shared" si="23"/>
        <v>0</v>
      </c>
      <c r="S145" s="20">
        <f t="shared" si="23"/>
        <v>0</v>
      </c>
      <c r="T145" s="20">
        <f t="shared" si="23"/>
        <v>0</v>
      </c>
      <c r="U145" s="20">
        <f t="shared" si="23"/>
        <v>0</v>
      </c>
      <c r="V145" s="20">
        <f t="shared" si="23"/>
        <v>0</v>
      </c>
      <c r="W145" s="20">
        <f t="shared" si="23"/>
        <v>0</v>
      </c>
    </row>
    <row r="146" spans="2:23">
      <c r="C146" s="18" t="s">
        <v>605</v>
      </c>
      <c r="H146" s="19">
        <f>IF(H4,H12,G146*(1+H145))</f>
        <v>22150000</v>
      </c>
      <c r="I146" s="19">
        <f t="shared" ref="I146:W146" si="24">IF(I4,I12,H146*(1+I145))</f>
        <v>20140000</v>
      </c>
      <c r="J146" s="19">
        <f t="shared" si="24"/>
        <v>19070000</v>
      </c>
      <c r="K146" s="19">
        <f t="shared" si="24"/>
        <v>17570000</v>
      </c>
      <c r="L146" s="19">
        <f t="shared" si="24"/>
        <v>19230000</v>
      </c>
      <c r="M146" s="19">
        <f t="shared" si="24"/>
        <v>19230000</v>
      </c>
      <c r="N146" s="19">
        <f t="shared" si="24"/>
        <v>19230000</v>
      </c>
      <c r="O146" s="19">
        <f t="shared" si="24"/>
        <v>19230000</v>
      </c>
      <c r="P146" s="19">
        <f t="shared" si="24"/>
        <v>19230000</v>
      </c>
      <c r="Q146" s="19">
        <f t="shared" si="24"/>
        <v>19230000</v>
      </c>
      <c r="R146" s="19">
        <f t="shared" si="24"/>
        <v>19230000</v>
      </c>
      <c r="S146" s="19">
        <f t="shared" si="24"/>
        <v>19230000</v>
      </c>
      <c r="T146" s="19">
        <f t="shared" si="24"/>
        <v>19230000</v>
      </c>
      <c r="U146" s="19">
        <f t="shared" si="24"/>
        <v>19230000</v>
      </c>
      <c r="V146" s="19">
        <f t="shared" si="24"/>
        <v>19230000</v>
      </c>
      <c r="W146" s="19">
        <f t="shared" si="24"/>
        <v>19230000</v>
      </c>
    </row>
    <row r="148" spans="2:23">
      <c r="B148" s="18" t="s">
        <v>606</v>
      </c>
    </row>
    <row r="149" spans="2:23">
      <c r="C149" s="18" t="s">
        <v>598</v>
      </c>
      <c r="H149" s="34">
        <f>H114</f>
        <v>0.69209932279909703</v>
      </c>
      <c r="I149" s="34">
        <f t="shared" ref="I149:W149" si="25">I114</f>
        <v>0.68570009930486597</v>
      </c>
      <c r="J149" s="34">
        <f t="shared" si="25"/>
        <v>0.67855270057682227</v>
      </c>
      <c r="K149" s="34">
        <f t="shared" si="25"/>
        <v>0.66875355719977236</v>
      </c>
      <c r="L149" s="34">
        <f t="shared" si="25"/>
        <v>0.67186687467498696</v>
      </c>
      <c r="M149" s="34">
        <f t="shared" si="25"/>
        <v>0.66328708644610457</v>
      </c>
      <c r="N149" s="34">
        <f t="shared" si="25"/>
        <v>0.67</v>
      </c>
      <c r="O149" s="34">
        <f t="shared" si="25"/>
        <v>0.67</v>
      </c>
      <c r="P149" s="34">
        <f t="shared" si="25"/>
        <v>0.67</v>
      </c>
      <c r="Q149" s="34">
        <f t="shared" si="25"/>
        <v>0.67</v>
      </c>
      <c r="R149" s="34">
        <f t="shared" si="25"/>
        <v>0.67</v>
      </c>
      <c r="S149" s="34">
        <f t="shared" si="25"/>
        <v>0.67</v>
      </c>
      <c r="T149" s="34">
        <f t="shared" si="25"/>
        <v>0.67</v>
      </c>
      <c r="U149" s="34">
        <f t="shared" si="25"/>
        <v>0.67</v>
      </c>
      <c r="V149" s="34">
        <f t="shared" si="25"/>
        <v>0.67</v>
      </c>
      <c r="W149" s="34">
        <f t="shared" si="25"/>
        <v>0.67</v>
      </c>
    </row>
    <row r="150" spans="2:23">
      <c r="C150" s="18" t="s">
        <v>607</v>
      </c>
      <c r="H150" s="19">
        <f>H149*H146</f>
        <v>15330000</v>
      </c>
      <c r="I150" s="19">
        <f t="shared" ref="I150:W150" si="26">I149*I146</f>
        <v>13810000</v>
      </c>
      <c r="J150" s="19">
        <f t="shared" si="26"/>
        <v>12940000</v>
      </c>
      <c r="K150" s="19">
        <f t="shared" si="26"/>
        <v>11750000</v>
      </c>
      <c r="L150" s="19">
        <f t="shared" si="26"/>
        <v>12920000</v>
      </c>
      <c r="M150" s="19">
        <f t="shared" si="26"/>
        <v>12755010.672358591</v>
      </c>
      <c r="N150" s="19">
        <f t="shared" si="26"/>
        <v>12884100</v>
      </c>
      <c r="O150" s="19">
        <f t="shared" si="26"/>
        <v>12884100</v>
      </c>
      <c r="P150" s="19">
        <f t="shared" si="26"/>
        <v>12884100</v>
      </c>
      <c r="Q150" s="19">
        <f t="shared" si="26"/>
        <v>12884100</v>
      </c>
      <c r="R150" s="19">
        <f t="shared" si="26"/>
        <v>12884100</v>
      </c>
      <c r="S150" s="19">
        <f t="shared" si="26"/>
        <v>12884100</v>
      </c>
      <c r="T150" s="19">
        <f t="shared" si="26"/>
        <v>12884100</v>
      </c>
      <c r="U150" s="19">
        <f t="shared" si="26"/>
        <v>12884100</v>
      </c>
      <c r="V150" s="19">
        <f t="shared" si="26"/>
        <v>12884100</v>
      </c>
      <c r="W150" s="19">
        <f t="shared" si="26"/>
        <v>12884100</v>
      </c>
    </row>
    <row r="152" spans="2:23">
      <c r="B152" s="18" t="s">
        <v>532</v>
      </c>
    </row>
    <row r="153" spans="2:23">
      <c r="C153" s="18" t="s">
        <v>599</v>
      </c>
      <c r="H153" s="47">
        <f>H132</f>
        <v>3.7318284424379233</v>
      </c>
      <c r="I153" s="47">
        <f t="shared" ref="I153:W153" si="27">I132</f>
        <v>4.1479642502482621</v>
      </c>
      <c r="J153" s="47">
        <f t="shared" si="27"/>
        <v>4.0849501835343469</v>
      </c>
      <c r="K153" s="47">
        <f t="shared" si="27"/>
        <v>4.6300512236767215</v>
      </c>
      <c r="L153" s="47">
        <f t="shared" si="27"/>
        <v>4.5278211128445136</v>
      </c>
      <c r="M153" s="47">
        <f t="shared" si="27"/>
        <v>5</v>
      </c>
      <c r="N153" s="47">
        <f t="shared" si="27"/>
        <v>5</v>
      </c>
      <c r="O153" s="47">
        <f t="shared" si="27"/>
        <v>5</v>
      </c>
      <c r="P153" s="47">
        <f t="shared" si="27"/>
        <v>5</v>
      </c>
      <c r="Q153" s="47">
        <f t="shared" si="27"/>
        <v>5</v>
      </c>
      <c r="R153" s="47">
        <f t="shared" si="27"/>
        <v>5</v>
      </c>
      <c r="S153" s="47">
        <f t="shared" si="27"/>
        <v>5</v>
      </c>
      <c r="T153" s="47">
        <f t="shared" si="27"/>
        <v>5</v>
      </c>
      <c r="U153" s="47">
        <f t="shared" si="27"/>
        <v>5</v>
      </c>
      <c r="V153" s="47">
        <f t="shared" si="27"/>
        <v>5</v>
      </c>
      <c r="W153" s="47">
        <f t="shared" si="27"/>
        <v>5</v>
      </c>
    </row>
    <row r="154" spans="2:23">
      <c r="C154" s="18" t="s">
        <v>532</v>
      </c>
      <c r="H154" s="19">
        <f>H153*H146</f>
        <v>82660000</v>
      </c>
      <c r="I154" s="19">
        <f t="shared" ref="I154:W154" si="28">I153*I146</f>
        <v>83540000</v>
      </c>
      <c r="J154" s="19">
        <f t="shared" si="28"/>
        <v>77900000</v>
      </c>
      <c r="K154" s="19">
        <f t="shared" si="28"/>
        <v>81350000</v>
      </c>
      <c r="L154" s="19">
        <f t="shared" si="28"/>
        <v>87070000</v>
      </c>
      <c r="M154" s="19">
        <f t="shared" si="28"/>
        <v>96150000</v>
      </c>
      <c r="N154" s="19">
        <f t="shared" si="28"/>
        <v>96150000</v>
      </c>
      <c r="O154" s="19">
        <f t="shared" si="28"/>
        <v>96150000</v>
      </c>
      <c r="P154" s="19">
        <f t="shared" si="28"/>
        <v>96150000</v>
      </c>
      <c r="Q154" s="19">
        <f t="shared" si="28"/>
        <v>96150000</v>
      </c>
      <c r="R154" s="19">
        <f t="shared" si="28"/>
        <v>96150000</v>
      </c>
      <c r="S154" s="19">
        <f t="shared" si="28"/>
        <v>96150000</v>
      </c>
      <c r="T154" s="19">
        <f t="shared" si="28"/>
        <v>96150000</v>
      </c>
      <c r="U154" s="19">
        <f t="shared" si="28"/>
        <v>96150000</v>
      </c>
      <c r="V154" s="19">
        <f t="shared" si="28"/>
        <v>96150000</v>
      </c>
      <c r="W154" s="19">
        <f t="shared" si="28"/>
        <v>96150000</v>
      </c>
    </row>
    <row r="156" spans="2:23">
      <c r="B156" s="18" t="s">
        <v>533</v>
      </c>
    </row>
    <row r="157" spans="2:23">
      <c r="C157" s="18" t="s">
        <v>608</v>
      </c>
      <c r="H157" s="34">
        <f>H133</f>
        <v>1.4055165739172515</v>
      </c>
      <c r="I157" s="34">
        <f t="shared" ref="I157:W157" si="29">I133</f>
        <v>1.2678956188652142</v>
      </c>
      <c r="J157" s="34">
        <f t="shared" si="29"/>
        <v>1.3181001283697047</v>
      </c>
      <c r="K157" s="34">
        <f t="shared" si="29"/>
        <v>1.2483097725875845</v>
      </c>
      <c r="L157" s="34">
        <f t="shared" si="29"/>
        <v>1.2805788446077868</v>
      </c>
      <c r="M157" s="34">
        <f t="shared" si="29"/>
        <v>1.3</v>
      </c>
      <c r="N157" s="34">
        <f t="shared" si="29"/>
        <v>1.3</v>
      </c>
      <c r="O157" s="34">
        <f t="shared" si="29"/>
        <v>1.3</v>
      </c>
      <c r="P157" s="34">
        <f t="shared" si="29"/>
        <v>1.3</v>
      </c>
      <c r="Q157" s="34">
        <f t="shared" si="29"/>
        <v>1.3</v>
      </c>
      <c r="R157" s="34">
        <f t="shared" si="29"/>
        <v>1.3</v>
      </c>
      <c r="S157" s="34">
        <f t="shared" si="29"/>
        <v>1.3</v>
      </c>
      <c r="T157" s="34">
        <f t="shared" si="29"/>
        <v>1.3</v>
      </c>
      <c r="U157" s="34">
        <f t="shared" si="29"/>
        <v>1.3</v>
      </c>
      <c r="V157" s="34">
        <f t="shared" si="29"/>
        <v>1.3</v>
      </c>
      <c r="W157" s="34">
        <f t="shared" si="29"/>
        <v>1.3</v>
      </c>
    </row>
    <row r="158" spans="2:23">
      <c r="C158" s="18" t="s">
        <v>609</v>
      </c>
      <c r="H158" s="19">
        <f>H157*H154</f>
        <v>116180000.00000001</v>
      </c>
      <c r="I158" s="19">
        <f t="shared" ref="I158:W158" si="30">I157*I154</f>
        <v>105920000</v>
      </c>
      <c r="J158" s="19">
        <f t="shared" si="30"/>
        <v>102680000</v>
      </c>
      <c r="K158" s="19">
        <f t="shared" si="30"/>
        <v>101550000</v>
      </c>
      <c r="L158" s="19">
        <f t="shared" si="30"/>
        <v>111500000</v>
      </c>
      <c r="M158" s="19">
        <f t="shared" si="30"/>
        <v>124995000</v>
      </c>
      <c r="N158" s="19">
        <f t="shared" si="30"/>
        <v>124995000</v>
      </c>
      <c r="O158" s="19">
        <f t="shared" si="30"/>
        <v>124995000</v>
      </c>
      <c r="P158" s="19">
        <f t="shared" si="30"/>
        <v>124995000</v>
      </c>
      <c r="Q158" s="19">
        <f t="shared" si="30"/>
        <v>124995000</v>
      </c>
      <c r="R158" s="19">
        <f t="shared" si="30"/>
        <v>124995000</v>
      </c>
      <c r="S158" s="19">
        <f t="shared" si="30"/>
        <v>124995000</v>
      </c>
      <c r="T158" s="19">
        <f t="shared" si="30"/>
        <v>124995000</v>
      </c>
      <c r="U158" s="19">
        <f t="shared" si="30"/>
        <v>124995000</v>
      </c>
      <c r="V158" s="19">
        <f t="shared" si="30"/>
        <v>124995000</v>
      </c>
      <c r="W158" s="19">
        <f t="shared" si="30"/>
        <v>124995000</v>
      </c>
    </row>
    <row r="160" spans="2:23">
      <c r="B160" s="18" t="s">
        <v>610</v>
      </c>
    </row>
    <row r="161" spans="2:23">
      <c r="C161" s="18" t="s">
        <v>611</v>
      </c>
      <c r="H161" s="20">
        <f>H112</f>
        <v>0</v>
      </c>
      <c r="I161" s="20">
        <f t="shared" ref="I161:W161" si="31">I112</f>
        <v>0</v>
      </c>
      <c r="J161" s="20">
        <f t="shared" si="31"/>
        <v>0</v>
      </c>
      <c r="K161" s="20">
        <f t="shared" si="31"/>
        <v>0</v>
      </c>
      <c r="L161" s="20">
        <f t="shared" si="31"/>
        <v>0</v>
      </c>
      <c r="M161" s="20">
        <f t="shared" si="31"/>
        <v>0</v>
      </c>
      <c r="N161" s="20">
        <f t="shared" si="31"/>
        <v>0</v>
      </c>
      <c r="O161" s="20">
        <f t="shared" si="31"/>
        <v>0</v>
      </c>
      <c r="P161" s="20">
        <f t="shared" si="31"/>
        <v>0</v>
      </c>
      <c r="Q161" s="20">
        <f t="shared" si="31"/>
        <v>0</v>
      </c>
      <c r="R161" s="20">
        <f t="shared" si="31"/>
        <v>0</v>
      </c>
      <c r="S161" s="20">
        <f t="shared" si="31"/>
        <v>0</v>
      </c>
      <c r="T161" s="20">
        <f t="shared" si="31"/>
        <v>0</v>
      </c>
      <c r="U161" s="20">
        <f t="shared" si="31"/>
        <v>0</v>
      </c>
      <c r="V161" s="20">
        <f t="shared" si="31"/>
        <v>0</v>
      </c>
      <c r="W161" s="20">
        <f t="shared" si="31"/>
        <v>0</v>
      </c>
    </row>
    <row r="162" spans="2:23">
      <c r="C162" s="18" t="s">
        <v>612</v>
      </c>
      <c r="H162" s="19">
        <f>IF(H6,H13,H161*H158)</f>
        <v>3470000</v>
      </c>
      <c r="I162" s="19">
        <f t="shared" ref="I162:W162" si="32">IF(I6,I13,I161*I158)</f>
        <v>3300000</v>
      </c>
      <c r="J162" s="19">
        <f t="shared" si="32"/>
        <v>3320000</v>
      </c>
      <c r="K162" s="19">
        <f t="shared" si="32"/>
        <v>3140000</v>
      </c>
      <c r="L162" s="19">
        <f t="shared" si="32"/>
        <v>3280000</v>
      </c>
      <c r="M162" s="19">
        <f t="shared" si="32"/>
        <v>3165000</v>
      </c>
      <c r="N162" s="19">
        <f t="shared" si="32"/>
        <v>0</v>
      </c>
      <c r="O162" s="19">
        <f t="shared" si="32"/>
        <v>0</v>
      </c>
      <c r="P162" s="19">
        <f t="shared" si="32"/>
        <v>0</v>
      </c>
      <c r="Q162" s="19">
        <f t="shared" si="32"/>
        <v>0</v>
      </c>
      <c r="R162" s="19">
        <f t="shared" si="32"/>
        <v>0</v>
      </c>
      <c r="S162" s="19">
        <f t="shared" si="32"/>
        <v>0</v>
      </c>
      <c r="T162" s="19">
        <f t="shared" si="32"/>
        <v>0</v>
      </c>
      <c r="U162" s="19">
        <f t="shared" si="32"/>
        <v>0</v>
      </c>
      <c r="V162" s="19">
        <f t="shared" si="32"/>
        <v>0</v>
      </c>
      <c r="W162" s="19">
        <f t="shared" si="32"/>
        <v>0</v>
      </c>
    </row>
    <row r="164" spans="2:23">
      <c r="B164" s="18" t="s">
        <v>613</v>
      </c>
    </row>
    <row r="165" spans="2:23">
      <c r="C165" s="18" t="s">
        <v>614</v>
      </c>
      <c r="H165" s="20">
        <f>H115</f>
        <v>4.0798760543983474E-3</v>
      </c>
      <c r="I165" s="20">
        <f t="shared" ref="I165:W165" si="33">I115</f>
        <v>2.407477341389728E-3</v>
      </c>
      <c r="J165" s="20">
        <f t="shared" si="33"/>
        <v>2.0938839111803663E-3</v>
      </c>
      <c r="K165" s="20">
        <f t="shared" si="33"/>
        <v>2.983751846381093E-3</v>
      </c>
      <c r="L165" s="20">
        <f t="shared" si="33"/>
        <v>1.9282511210762332E-3</v>
      </c>
      <c r="M165" s="20">
        <f t="shared" si="33"/>
        <v>1.5906771010547806E-3</v>
      </c>
      <c r="N165" s="20">
        <f t="shared" si="33"/>
        <v>2.5000000000000001E-3</v>
      </c>
      <c r="O165" s="20">
        <f t="shared" si="33"/>
        <v>2.5000000000000001E-3</v>
      </c>
      <c r="P165" s="20">
        <f t="shared" si="33"/>
        <v>2.5000000000000001E-3</v>
      </c>
      <c r="Q165" s="20">
        <f t="shared" si="33"/>
        <v>2.5000000000000001E-3</v>
      </c>
      <c r="R165" s="20">
        <f t="shared" si="33"/>
        <v>2.5000000000000001E-3</v>
      </c>
      <c r="S165" s="20">
        <f t="shared" si="33"/>
        <v>2.5000000000000001E-3</v>
      </c>
      <c r="T165" s="20">
        <f t="shared" si="33"/>
        <v>2.5000000000000001E-3</v>
      </c>
      <c r="U165" s="20">
        <f t="shared" si="33"/>
        <v>2.5000000000000001E-3</v>
      </c>
      <c r="V165" s="20">
        <f t="shared" si="33"/>
        <v>2.5000000000000001E-3</v>
      </c>
      <c r="W165" s="20">
        <f t="shared" si="33"/>
        <v>2.5000000000000001E-3</v>
      </c>
    </row>
    <row r="166" spans="2:23">
      <c r="C166" s="18" t="s">
        <v>615</v>
      </c>
      <c r="H166" s="19">
        <f>H165*H158</f>
        <v>474000.00000000006</v>
      </c>
      <c r="I166" s="19">
        <f t="shared" ref="I166:W166" si="34">I165*I158</f>
        <v>255000</v>
      </c>
      <c r="J166" s="19">
        <f t="shared" si="34"/>
        <v>215000.00000000003</v>
      </c>
      <c r="K166" s="19">
        <f t="shared" si="34"/>
        <v>303000</v>
      </c>
      <c r="L166" s="19">
        <f t="shared" si="34"/>
        <v>215000</v>
      </c>
      <c r="M166" s="19">
        <f t="shared" si="34"/>
        <v>198826.68424634231</v>
      </c>
      <c r="N166" s="19">
        <f t="shared" si="34"/>
        <v>312487.5</v>
      </c>
      <c r="O166" s="19">
        <f t="shared" si="34"/>
        <v>312487.5</v>
      </c>
      <c r="P166" s="19">
        <f t="shared" si="34"/>
        <v>312487.5</v>
      </c>
      <c r="Q166" s="19">
        <f t="shared" si="34"/>
        <v>312487.5</v>
      </c>
      <c r="R166" s="19">
        <f t="shared" si="34"/>
        <v>312487.5</v>
      </c>
      <c r="S166" s="19">
        <f t="shared" si="34"/>
        <v>312487.5</v>
      </c>
      <c r="T166" s="19">
        <f t="shared" si="34"/>
        <v>312487.5</v>
      </c>
      <c r="U166" s="19">
        <f t="shared" si="34"/>
        <v>312487.5</v>
      </c>
      <c r="V166" s="19">
        <f t="shared" si="34"/>
        <v>312487.5</v>
      </c>
      <c r="W166" s="19">
        <f t="shared" si="34"/>
        <v>312487.5</v>
      </c>
    </row>
    <row r="168" spans="2:23">
      <c r="B168" s="18" t="s">
        <v>538</v>
      </c>
    </row>
    <row r="169" spans="2:23">
      <c r="C169" s="18" t="s">
        <v>616</v>
      </c>
      <c r="H169" s="20">
        <f>H113</f>
        <v>0</v>
      </c>
      <c r="I169" s="20">
        <f t="shared" ref="I169:W169" si="35">I113</f>
        <v>0.21739130434782616</v>
      </c>
      <c r="J169" s="20">
        <f t="shared" si="35"/>
        <v>8.9285714285714191E-2</v>
      </c>
      <c r="K169" s="20">
        <f t="shared" si="35"/>
        <v>-0.77868852459016391</v>
      </c>
      <c r="L169" s="20">
        <f t="shared" si="35"/>
        <v>5.6296296296296298</v>
      </c>
      <c r="M169" s="20">
        <f t="shared" si="35"/>
        <v>0.55307262569832405</v>
      </c>
      <c r="N169" s="20">
        <f t="shared" si="35"/>
        <v>0</v>
      </c>
      <c r="O169" s="20">
        <f t="shared" si="35"/>
        <v>0</v>
      </c>
      <c r="P169" s="20">
        <f t="shared" si="35"/>
        <v>0</v>
      </c>
      <c r="Q169" s="20">
        <f t="shared" si="35"/>
        <v>0</v>
      </c>
      <c r="R169" s="20">
        <f t="shared" si="35"/>
        <v>0</v>
      </c>
      <c r="S169" s="20">
        <f t="shared" si="35"/>
        <v>0</v>
      </c>
      <c r="T169" s="20">
        <f t="shared" si="35"/>
        <v>0</v>
      </c>
      <c r="U169" s="20">
        <f t="shared" si="35"/>
        <v>0</v>
      </c>
      <c r="V169" s="20">
        <f t="shared" si="35"/>
        <v>0</v>
      </c>
      <c r="W169" s="20">
        <f t="shared" si="35"/>
        <v>0</v>
      </c>
    </row>
    <row r="170" spans="2:23">
      <c r="C170" s="18" t="s">
        <v>617</v>
      </c>
      <c r="H170" s="19">
        <f>IF(H6,H15,G170*(1+H169))</f>
        <v>92000</v>
      </c>
      <c r="I170" s="19">
        <f t="shared" ref="I170:W170" si="36">IF(I6,I15,H170*(1+I169))</f>
        <v>112000</v>
      </c>
      <c r="J170" s="19">
        <f t="shared" si="36"/>
        <v>122000</v>
      </c>
      <c r="K170" s="19">
        <f t="shared" si="36"/>
        <v>27000</v>
      </c>
      <c r="L170" s="19">
        <f t="shared" si="36"/>
        <v>179000</v>
      </c>
      <c r="M170" s="19">
        <f t="shared" si="36"/>
        <v>278000</v>
      </c>
      <c r="N170" s="19">
        <f t="shared" si="36"/>
        <v>278000</v>
      </c>
      <c r="O170" s="19">
        <f t="shared" si="36"/>
        <v>278000</v>
      </c>
      <c r="P170" s="19">
        <f t="shared" si="36"/>
        <v>278000</v>
      </c>
      <c r="Q170" s="19">
        <f t="shared" si="36"/>
        <v>278000</v>
      </c>
      <c r="R170" s="19">
        <f t="shared" si="36"/>
        <v>278000</v>
      </c>
      <c r="S170" s="19">
        <f t="shared" si="36"/>
        <v>278000</v>
      </c>
      <c r="T170" s="19">
        <f t="shared" si="36"/>
        <v>278000</v>
      </c>
      <c r="U170" s="19">
        <f t="shared" si="36"/>
        <v>278000</v>
      </c>
      <c r="V170" s="19">
        <f t="shared" si="36"/>
        <v>278000</v>
      </c>
      <c r="W170" s="19">
        <f t="shared" si="36"/>
        <v>278000</v>
      </c>
    </row>
    <row r="172" spans="2:23">
      <c r="B172" s="18" t="s">
        <v>542</v>
      </c>
    </row>
    <row r="173" spans="2:23">
      <c r="C173" s="18" t="s">
        <v>662</v>
      </c>
      <c r="H173" s="20">
        <f>H116</f>
        <v>9.0744920993227993E-2</v>
      </c>
      <c r="I173" s="20">
        <f t="shared" ref="I173:W173" si="37">I116</f>
        <v>9.1857000993048665E-2</v>
      </c>
      <c r="J173" s="20">
        <f t="shared" si="37"/>
        <v>0.10015731515469324</v>
      </c>
      <c r="K173" s="20">
        <f t="shared" si="37"/>
        <v>0.10700056915196357</v>
      </c>
      <c r="L173" s="20">
        <f t="shared" si="37"/>
        <v>0.10920436817472699</v>
      </c>
      <c r="M173" s="20">
        <f t="shared" si="37"/>
        <v>0.1</v>
      </c>
      <c r="N173" s="20">
        <f t="shared" si="37"/>
        <v>0.1</v>
      </c>
      <c r="O173" s="20">
        <f t="shared" si="37"/>
        <v>0.1</v>
      </c>
      <c r="P173" s="20">
        <f t="shared" si="37"/>
        <v>0.1</v>
      </c>
      <c r="Q173" s="20">
        <f t="shared" si="37"/>
        <v>0.1</v>
      </c>
      <c r="R173" s="20">
        <f t="shared" si="37"/>
        <v>0.1</v>
      </c>
      <c r="S173" s="20">
        <f t="shared" si="37"/>
        <v>0.1</v>
      </c>
      <c r="T173" s="20">
        <f t="shared" si="37"/>
        <v>0.1</v>
      </c>
      <c r="U173" s="20">
        <f t="shared" si="37"/>
        <v>0.1</v>
      </c>
      <c r="V173" s="20">
        <f t="shared" si="37"/>
        <v>0.1</v>
      </c>
      <c r="W173" s="20">
        <f t="shared" si="37"/>
        <v>0.1</v>
      </c>
    </row>
    <row r="174" spans="2:23">
      <c r="C174" s="18" t="s">
        <v>663</v>
      </c>
      <c r="H174" s="19">
        <f>H173*H146</f>
        <v>2010000</v>
      </c>
      <c r="I174" s="19">
        <f t="shared" ref="I174:W174" si="38">I173*I146</f>
        <v>1850000.0000000002</v>
      </c>
      <c r="J174" s="19">
        <f t="shared" si="38"/>
        <v>1910000</v>
      </c>
      <c r="K174" s="19">
        <f t="shared" si="38"/>
        <v>1880000</v>
      </c>
      <c r="L174" s="19">
        <f t="shared" si="38"/>
        <v>2100000</v>
      </c>
      <c r="M174" s="19">
        <f t="shared" si="38"/>
        <v>1923000</v>
      </c>
      <c r="N174" s="19">
        <f t="shared" si="38"/>
        <v>1923000</v>
      </c>
      <c r="O174" s="19">
        <f t="shared" si="38"/>
        <v>1923000</v>
      </c>
      <c r="P174" s="19">
        <f t="shared" si="38"/>
        <v>1923000</v>
      </c>
      <c r="Q174" s="19">
        <f t="shared" si="38"/>
        <v>1923000</v>
      </c>
      <c r="R174" s="19">
        <f t="shared" si="38"/>
        <v>1923000</v>
      </c>
      <c r="S174" s="19">
        <f t="shared" si="38"/>
        <v>1923000</v>
      </c>
      <c r="T174" s="19">
        <f t="shared" si="38"/>
        <v>1923000</v>
      </c>
      <c r="U174" s="19">
        <f t="shared" si="38"/>
        <v>1923000</v>
      </c>
      <c r="V174" s="19">
        <f t="shared" si="38"/>
        <v>1923000</v>
      </c>
      <c r="W174" s="19">
        <f t="shared" si="38"/>
        <v>1923000</v>
      </c>
    </row>
    <row r="176" spans="2:23">
      <c r="B176" s="50" t="s">
        <v>543</v>
      </c>
    </row>
    <row r="177" spans="2:23">
      <c r="C177" s="18" t="s">
        <v>664</v>
      </c>
      <c r="H177" s="20">
        <f>H117</f>
        <v>0</v>
      </c>
      <c r="I177" s="20">
        <f t="shared" ref="I177:W177" si="39">I117</f>
        <v>0</v>
      </c>
      <c r="J177" s="20">
        <f t="shared" si="39"/>
        <v>0</v>
      </c>
      <c r="K177" s="20">
        <f t="shared" si="39"/>
        <v>0</v>
      </c>
      <c r="L177" s="20">
        <f t="shared" si="39"/>
        <v>0</v>
      </c>
      <c r="M177" s="20">
        <f t="shared" si="39"/>
        <v>0</v>
      </c>
      <c r="N177" s="20">
        <f t="shared" si="39"/>
        <v>0</v>
      </c>
      <c r="O177" s="20">
        <f t="shared" si="39"/>
        <v>0</v>
      </c>
      <c r="P177" s="20">
        <f t="shared" si="39"/>
        <v>0</v>
      </c>
      <c r="Q177" s="20">
        <f t="shared" si="39"/>
        <v>0</v>
      </c>
      <c r="R177" s="20">
        <f t="shared" si="39"/>
        <v>0</v>
      </c>
      <c r="S177" s="20">
        <f t="shared" si="39"/>
        <v>0</v>
      </c>
      <c r="T177" s="20">
        <f t="shared" si="39"/>
        <v>0</v>
      </c>
      <c r="U177" s="20">
        <f t="shared" si="39"/>
        <v>0</v>
      </c>
      <c r="V177" s="20">
        <f t="shared" si="39"/>
        <v>0</v>
      </c>
      <c r="W177" s="20">
        <f t="shared" si="39"/>
        <v>0</v>
      </c>
    </row>
    <row r="178" spans="2:23">
      <c r="C178" s="18" t="s">
        <v>665</v>
      </c>
      <c r="H178" s="19">
        <f>H177*H146</f>
        <v>0</v>
      </c>
      <c r="I178" s="19">
        <f t="shared" ref="I178:W178" si="40">I177*I146</f>
        <v>0</v>
      </c>
      <c r="J178" s="19">
        <f t="shared" si="40"/>
        <v>0</v>
      </c>
      <c r="K178" s="19">
        <f t="shared" si="40"/>
        <v>0</v>
      </c>
      <c r="L178" s="19">
        <f t="shared" si="40"/>
        <v>0</v>
      </c>
      <c r="M178" s="19">
        <f t="shared" si="40"/>
        <v>0</v>
      </c>
      <c r="N178" s="19">
        <f t="shared" si="40"/>
        <v>0</v>
      </c>
      <c r="O178" s="19">
        <f t="shared" si="40"/>
        <v>0</v>
      </c>
      <c r="P178" s="19">
        <f t="shared" si="40"/>
        <v>0</v>
      </c>
      <c r="Q178" s="19">
        <f t="shared" si="40"/>
        <v>0</v>
      </c>
      <c r="R178" s="19">
        <f t="shared" si="40"/>
        <v>0</v>
      </c>
      <c r="S178" s="19">
        <f t="shared" si="40"/>
        <v>0</v>
      </c>
      <c r="T178" s="19">
        <f t="shared" si="40"/>
        <v>0</v>
      </c>
      <c r="U178" s="19">
        <f t="shared" si="40"/>
        <v>0</v>
      </c>
      <c r="V178" s="19">
        <f t="shared" si="40"/>
        <v>0</v>
      </c>
      <c r="W178" s="19">
        <f t="shared" si="40"/>
        <v>0</v>
      </c>
    </row>
    <row r="180" spans="2:23">
      <c r="B180" s="50" t="s">
        <v>149</v>
      </c>
      <c r="H180" s="21">
        <f>H118</f>
        <v>-154000</v>
      </c>
      <c r="I180" s="21">
        <f t="shared" ref="I180:W180" si="41">I118</f>
        <v>-326000</v>
      </c>
      <c r="J180" s="21">
        <f t="shared" si="41"/>
        <v>-31000</v>
      </c>
      <c r="K180" s="21">
        <f t="shared" si="41"/>
        <v>10000</v>
      </c>
      <c r="L180" s="21">
        <f t="shared" si="41"/>
        <v>255000</v>
      </c>
      <c r="M180" s="21">
        <f t="shared" si="41"/>
        <v>120000</v>
      </c>
      <c r="N180" s="21">
        <f t="shared" si="41"/>
        <v>120000</v>
      </c>
      <c r="O180" s="21">
        <f t="shared" si="41"/>
        <v>120000</v>
      </c>
      <c r="P180" s="21">
        <f t="shared" si="41"/>
        <v>120000</v>
      </c>
      <c r="Q180" s="21">
        <f t="shared" si="41"/>
        <v>120000</v>
      </c>
      <c r="R180" s="21">
        <f t="shared" si="41"/>
        <v>120000</v>
      </c>
      <c r="S180" s="21">
        <f t="shared" si="41"/>
        <v>120000</v>
      </c>
      <c r="T180" s="21">
        <f t="shared" si="41"/>
        <v>120000</v>
      </c>
      <c r="U180" s="21">
        <f t="shared" si="41"/>
        <v>120000</v>
      </c>
      <c r="V180" s="21">
        <f t="shared" si="41"/>
        <v>120000</v>
      </c>
      <c r="W180" s="21">
        <f t="shared" si="41"/>
        <v>120000</v>
      </c>
    </row>
    <row r="181" spans="2:23">
      <c r="B181" s="50" t="s">
        <v>547</v>
      </c>
      <c r="H181" s="21">
        <f>H122</f>
        <v>979000</v>
      </c>
      <c r="I181" s="21">
        <f t="shared" ref="I181:W181" si="42">I122</f>
        <v>190000</v>
      </c>
      <c r="J181" s="21">
        <f t="shared" si="42"/>
        <v>31000</v>
      </c>
      <c r="K181" s="21">
        <f t="shared" si="42"/>
        <v>391000</v>
      </c>
      <c r="L181" s="21">
        <f t="shared" si="42"/>
        <v>220999.75</v>
      </c>
      <c r="M181" s="21">
        <f t="shared" si="42"/>
        <v>178000</v>
      </c>
      <c r="N181" s="21">
        <f t="shared" si="42"/>
        <v>300000</v>
      </c>
      <c r="O181" s="21">
        <f t="shared" si="42"/>
        <v>300000</v>
      </c>
      <c r="P181" s="21">
        <f t="shared" si="42"/>
        <v>300000</v>
      </c>
      <c r="Q181" s="21">
        <f t="shared" si="42"/>
        <v>300000</v>
      </c>
      <c r="R181" s="21">
        <f t="shared" si="42"/>
        <v>300000</v>
      </c>
      <c r="S181" s="21">
        <f t="shared" si="42"/>
        <v>300000</v>
      </c>
      <c r="T181" s="21">
        <f t="shared" si="42"/>
        <v>300000</v>
      </c>
      <c r="U181" s="21">
        <f t="shared" si="42"/>
        <v>300000</v>
      </c>
      <c r="V181" s="21">
        <f t="shared" si="42"/>
        <v>300000</v>
      </c>
      <c r="W181" s="21">
        <f t="shared" si="42"/>
        <v>300000</v>
      </c>
    </row>
    <row r="183" spans="2:23">
      <c r="B183" s="18" t="s">
        <v>667</v>
      </c>
    </row>
    <row r="184" spans="2:23">
      <c r="C184" s="18" t="s">
        <v>51</v>
      </c>
      <c r="H184" s="19">
        <f>G186</f>
        <v>0</v>
      </c>
      <c r="I184" s="19">
        <f t="shared" ref="I184:W184" si="43">H186</f>
        <v>-2310000</v>
      </c>
      <c r="J184" s="19">
        <f t="shared" si="43"/>
        <v>-2360000</v>
      </c>
      <c r="K184" s="19">
        <f t="shared" si="43"/>
        <v>-620000</v>
      </c>
      <c r="L184" s="19">
        <f t="shared" si="43"/>
        <v>-620000</v>
      </c>
      <c r="M184" s="19">
        <f t="shared" si="43"/>
        <v>-500000</v>
      </c>
      <c r="N184" s="19">
        <f t="shared" si="43"/>
        <v>-500000</v>
      </c>
      <c r="O184" s="19">
        <f t="shared" si="43"/>
        <v>-500000</v>
      </c>
      <c r="P184" s="19">
        <f t="shared" si="43"/>
        <v>-500000</v>
      </c>
      <c r="Q184" s="19">
        <f t="shared" si="43"/>
        <v>-500000</v>
      </c>
      <c r="R184" s="19">
        <f t="shared" si="43"/>
        <v>-500000</v>
      </c>
      <c r="S184" s="19">
        <f t="shared" si="43"/>
        <v>-500000</v>
      </c>
      <c r="T184" s="19">
        <f t="shared" si="43"/>
        <v>-500000</v>
      </c>
      <c r="U184" s="19">
        <f t="shared" si="43"/>
        <v>-500000</v>
      </c>
      <c r="V184" s="19">
        <f t="shared" si="43"/>
        <v>-500000</v>
      </c>
      <c r="W184" s="19">
        <f t="shared" si="43"/>
        <v>-500000</v>
      </c>
    </row>
    <row r="185" spans="2:23">
      <c r="C185" s="18" t="s">
        <v>337</v>
      </c>
      <c r="H185" s="21">
        <f>H242</f>
        <v>0</v>
      </c>
      <c r="I185" s="21">
        <f t="shared" ref="I185:W185" si="44">I242</f>
        <v>0</v>
      </c>
      <c r="J185" s="21">
        <f t="shared" si="44"/>
        <v>0</v>
      </c>
      <c r="K185" s="21">
        <f t="shared" si="44"/>
        <v>0</v>
      </c>
      <c r="L185" s="21">
        <f t="shared" si="44"/>
        <v>0</v>
      </c>
      <c r="M185" s="21">
        <f t="shared" si="44"/>
        <v>0</v>
      </c>
      <c r="N185" s="21">
        <f t="shared" si="44"/>
        <v>0</v>
      </c>
      <c r="O185" s="21">
        <f t="shared" si="44"/>
        <v>0</v>
      </c>
      <c r="P185" s="21">
        <f t="shared" si="44"/>
        <v>0</v>
      </c>
      <c r="Q185" s="21">
        <f t="shared" si="44"/>
        <v>0</v>
      </c>
      <c r="R185" s="21">
        <f t="shared" si="44"/>
        <v>0</v>
      </c>
      <c r="S185" s="21">
        <f t="shared" si="44"/>
        <v>0</v>
      </c>
      <c r="T185" s="21">
        <f t="shared" si="44"/>
        <v>0</v>
      </c>
      <c r="U185" s="21">
        <f t="shared" si="44"/>
        <v>0</v>
      </c>
      <c r="V185" s="21">
        <f t="shared" si="44"/>
        <v>0</v>
      </c>
      <c r="W185" s="21">
        <f t="shared" si="44"/>
        <v>0</v>
      </c>
    </row>
    <row r="186" spans="2:23">
      <c r="C186" s="18" t="s">
        <v>54</v>
      </c>
      <c r="H186" s="19">
        <f>IF(H4,H53-H70,H184+H185)</f>
        <v>-2310000</v>
      </c>
      <c r="I186" s="19">
        <f t="shared" ref="I186:W186" si="45">IF(I4,I53-I70,I184+I185)</f>
        <v>-2360000</v>
      </c>
      <c r="J186" s="19">
        <f t="shared" si="45"/>
        <v>-620000</v>
      </c>
      <c r="K186" s="19">
        <f t="shared" si="45"/>
        <v>-620000</v>
      </c>
      <c r="L186" s="19">
        <f t="shared" si="45"/>
        <v>-500000</v>
      </c>
      <c r="M186" s="19">
        <f t="shared" si="45"/>
        <v>-500000</v>
      </c>
      <c r="N186" s="19">
        <f t="shared" si="45"/>
        <v>-500000</v>
      </c>
      <c r="O186" s="19">
        <f t="shared" si="45"/>
        <v>-500000</v>
      </c>
      <c r="P186" s="19">
        <f t="shared" si="45"/>
        <v>-500000</v>
      </c>
      <c r="Q186" s="19">
        <f t="shared" si="45"/>
        <v>-500000</v>
      </c>
      <c r="R186" s="19">
        <f t="shared" si="45"/>
        <v>-500000</v>
      </c>
      <c r="S186" s="19">
        <f t="shared" si="45"/>
        <v>-500000</v>
      </c>
      <c r="T186" s="19">
        <f t="shared" si="45"/>
        <v>-500000</v>
      </c>
      <c r="U186" s="19">
        <f t="shared" si="45"/>
        <v>-500000</v>
      </c>
      <c r="V186" s="19">
        <f t="shared" si="45"/>
        <v>-500000</v>
      </c>
      <c r="W186" s="19">
        <f t="shared" si="45"/>
        <v>-500000</v>
      </c>
    </row>
    <row r="188" spans="2:23">
      <c r="C188" s="18" t="s">
        <v>225</v>
      </c>
      <c r="H188" s="19">
        <f t="shared" ref="H188:W188" si="46">IF(H6,H23,H184)</f>
        <v>261000</v>
      </c>
      <c r="I188" s="19">
        <f t="shared" si="46"/>
        <v>293000</v>
      </c>
      <c r="J188" s="19">
        <f t="shared" si="46"/>
        <v>317000</v>
      </c>
      <c r="K188" s="19">
        <f t="shared" si="46"/>
        <v>289000</v>
      </c>
      <c r="L188" s="19">
        <f t="shared" si="46"/>
        <v>268000</v>
      </c>
      <c r="M188" s="19">
        <f t="shared" si="46"/>
        <v>254000</v>
      </c>
      <c r="N188" s="19">
        <f t="shared" si="46"/>
        <v>-500000</v>
      </c>
      <c r="O188" s="19">
        <f t="shared" si="46"/>
        <v>-500000</v>
      </c>
      <c r="P188" s="19">
        <f t="shared" si="46"/>
        <v>-500000</v>
      </c>
      <c r="Q188" s="19">
        <f t="shared" si="46"/>
        <v>-500000</v>
      </c>
      <c r="R188" s="19">
        <f t="shared" si="46"/>
        <v>-500000</v>
      </c>
      <c r="S188" s="19">
        <f t="shared" si="46"/>
        <v>-500000</v>
      </c>
      <c r="T188" s="19">
        <f t="shared" si="46"/>
        <v>-500000</v>
      </c>
      <c r="U188" s="19">
        <f t="shared" si="46"/>
        <v>-500000</v>
      </c>
      <c r="V188" s="19">
        <f t="shared" si="46"/>
        <v>-500000</v>
      </c>
      <c r="W188" s="19">
        <f t="shared" si="46"/>
        <v>-500000</v>
      </c>
    </row>
    <row r="189" spans="2:23">
      <c r="C189" s="18" t="s">
        <v>339</v>
      </c>
      <c r="H189" s="20">
        <f>-IF(H184,H188/H184)</f>
        <v>0</v>
      </c>
      <c r="I189" s="20">
        <f t="shared" ref="I189:W189" si="47">-IF(I184,I188/I184)</f>
        <v>0.12683982683982684</v>
      </c>
      <c r="J189" s="20">
        <f t="shared" si="47"/>
        <v>0.13432203389830508</v>
      </c>
      <c r="K189" s="20">
        <f t="shared" si="47"/>
        <v>0.46612903225806451</v>
      </c>
      <c r="L189" s="20">
        <f t="shared" si="47"/>
        <v>0.43225806451612903</v>
      </c>
      <c r="M189" s="20">
        <f t="shared" si="47"/>
        <v>0.50800000000000001</v>
      </c>
      <c r="N189" s="20">
        <f t="shared" si="47"/>
        <v>-1</v>
      </c>
      <c r="O189" s="20">
        <f t="shared" si="47"/>
        <v>-1</v>
      </c>
      <c r="P189" s="20">
        <f t="shared" si="47"/>
        <v>-1</v>
      </c>
      <c r="Q189" s="20">
        <f t="shared" si="47"/>
        <v>-1</v>
      </c>
      <c r="R189" s="20">
        <f t="shared" si="47"/>
        <v>-1</v>
      </c>
      <c r="S189" s="20">
        <f t="shared" si="47"/>
        <v>-1</v>
      </c>
      <c r="T189" s="20">
        <f t="shared" si="47"/>
        <v>-1</v>
      </c>
      <c r="U189" s="20">
        <f t="shared" si="47"/>
        <v>-1</v>
      </c>
      <c r="V189" s="20">
        <f t="shared" si="47"/>
        <v>-1</v>
      </c>
      <c r="W189" s="20">
        <f t="shared" si="47"/>
        <v>-1</v>
      </c>
    </row>
    <row r="191" spans="2:23">
      <c r="C191" s="18" t="s">
        <v>499</v>
      </c>
      <c r="H191" s="19">
        <f t="shared" ref="H191:W191" si="48">IF(H4,H53,MAX(H186,0))</f>
        <v>2040000</v>
      </c>
      <c r="I191" s="19">
        <f t="shared" si="48"/>
        <v>2540000</v>
      </c>
      <c r="J191" s="19">
        <f t="shared" si="48"/>
        <v>4660000</v>
      </c>
      <c r="K191" s="19">
        <f t="shared" si="48"/>
        <v>4350000</v>
      </c>
      <c r="L191" s="19">
        <f t="shared" si="48"/>
        <v>4860000</v>
      </c>
      <c r="M191" s="19">
        <f t="shared" si="48"/>
        <v>0</v>
      </c>
      <c r="N191" s="19">
        <f t="shared" si="48"/>
        <v>0</v>
      </c>
      <c r="O191" s="19">
        <f t="shared" si="48"/>
        <v>0</v>
      </c>
      <c r="P191" s="19">
        <f t="shared" si="48"/>
        <v>0</v>
      </c>
      <c r="Q191" s="19">
        <f t="shared" si="48"/>
        <v>0</v>
      </c>
      <c r="R191" s="19">
        <f t="shared" si="48"/>
        <v>0</v>
      </c>
      <c r="S191" s="19">
        <f t="shared" si="48"/>
        <v>0</v>
      </c>
      <c r="T191" s="19">
        <f t="shared" si="48"/>
        <v>0</v>
      </c>
      <c r="U191" s="19">
        <f t="shared" si="48"/>
        <v>0</v>
      </c>
      <c r="V191" s="19">
        <f t="shared" si="48"/>
        <v>0</v>
      </c>
      <c r="W191" s="19">
        <f t="shared" si="48"/>
        <v>0</v>
      </c>
    </row>
    <row r="192" spans="2:23">
      <c r="C192" s="18" t="s">
        <v>447</v>
      </c>
      <c r="H192" s="19">
        <f t="shared" ref="H192:W192" si="49">IF(H4,H70,MAX(-H186,0))</f>
        <v>4350000</v>
      </c>
      <c r="I192" s="19">
        <f t="shared" si="49"/>
        <v>4900000</v>
      </c>
      <c r="J192" s="19">
        <f t="shared" si="49"/>
        <v>5280000</v>
      </c>
      <c r="K192" s="19">
        <f t="shared" si="49"/>
        <v>4970000</v>
      </c>
      <c r="L192" s="19">
        <f t="shared" si="49"/>
        <v>5360000</v>
      </c>
      <c r="M192" s="19">
        <f t="shared" si="49"/>
        <v>500000</v>
      </c>
      <c r="N192" s="19">
        <f t="shared" si="49"/>
        <v>500000</v>
      </c>
      <c r="O192" s="19">
        <f t="shared" si="49"/>
        <v>500000</v>
      </c>
      <c r="P192" s="19">
        <f t="shared" si="49"/>
        <v>500000</v>
      </c>
      <c r="Q192" s="19">
        <f t="shared" si="49"/>
        <v>500000</v>
      </c>
      <c r="R192" s="19">
        <f t="shared" si="49"/>
        <v>500000</v>
      </c>
      <c r="S192" s="19">
        <f t="shared" si="49"/>
        <v>500000</v>
      </c>
      <c r="T192" s="19">
        <f t="shared" si="49"/>
        <v>500000</v>
      </c>
      <c r="U192" s="19">
        <f t="shared" si="49"/>
        <v>500000</v>
      </c>
      <c r="V192" s="19">
        <f t="shared" si="49"/>
        <v>500000</v>
      </c>
      <c r="W192" s="19">
        <f t="shared" si="49"/>
        <v>500000</v>
      </c>
    </row>
    <row r="194" spans="1:23">
      <c r="C194" s="18" t="s">
        <v>178</v>
      </c>
      <c r="H194" s="19">
        <f>IF(H4,H53,H138*H208)</f>
        <v>2040000</v>
      </c>
      <c r="I194" s="19">
        <f t="shared" ref="I194:W194" si="50">IF(I4,I53,I138*I208)</f>
        <v>2540000</v>
      </c>
      <c r="J194" s="19">
        <f t="shared" si="50"/>
        <v>4660000</v>
      </c>
      <c r="K194" s="19">
        <f t="shared" si="50"/>
        <v>4350000</v>
      </c>
      <c r="L194" s="19">
        <f t="shared" si="50"/>
        <v>4860000</v>
      </c>
      <c r="M194" s="19">
        <f t="shared" si="50"/>
        <v>0</v>
      </c>
      <c r="N194" s="19">
        <f t="shared" si="50"/>
        <v>0</v>
      </c>
      <c r="O194" s="19">
        <f t="shared" si="50"/>
        <v>0</v>
      </c>
      <c r="P194" s="19">
        <f t="shared" si="50"/>
        <v>0</v>
      </c>
      <c r="Q194" s="19">
        <f t="shared" si="50"/>
        <v>0</v>
      </c>
      <c r="R194" s="19">
        <f t="shared" si="50"/>
        <v>0</v>
      </c>
      <c r="S194" s="19">
        <f t="shared" si="50"/>
        <v>0</v>
      </c>
      <c r="T194" s="19">
        <f t="shared" si="50"/>
        <v>0</v>
      </c>
      <c r="U194" s="19">
        <f t="shared" si="50"/>
        <v>0</v>
      </c>
      <c r="V194" s="19">
        <f t="shared" si="50"/>
        <v>0</v>
      </c>
      <c r="W194" s="19">
        <f t="shared" si="50"/>
        <v>0</v>
      </c>
    </row>
    <row r="195" spans="1:23">
      <c r="C195" s="18" t="s">
        <v>447</v>
      </c>
      <c r="H195" s="19">
        <f>IF(H4,H192,H186+H194)</f>
        <v>4350000</v>
      </c>
      <c r="I195" s="19">
        <f t="shared" ref="I195:W195" si="51">IF(I4,I192,I186+I194)</f>
        <v>4900000</v>
      </c>
      <c r="J195" s="19">
        <f t="shared" si="51"/>
        <v>5280000</v>
      </c>
      <c r="K195" s="19">
        <f t="shared" si="51"/>
        <v>4970000</v>
      </c>
      <c r="L195" s="19">
        <f t="shared" si="51"/>
        <v>5360000</v>
      </c>
      <c r="M195" s="19">
        <f t="shared" si="51"/>
        <v>-500000</v>
      </c>
      <c r="N195" s="19">
        <f t="shared" si="51"/>
        <v>-500000</v>
      </c>
      <c r="O195" s="19">
        <f t="shared" si="51"/>
        <v>-500000</v>
      </c>
      <c r="P195" s="19">
        <f t="shared" si="51"/>
        <v>-500000</v>
      </c>
      <c r="Q195" s="19">
        <f t="shared" si="51"/>
        <v>-500000</v>
      </c>
      <c r="R195" s="19">
        <f t="shared" si="51"/>
        <v>-500000</v>
      </c>
      <c r="S195" s="19">
        <f t="shared" si="51"/>
        <v>-500000</v>
      </c>
      <c r="T195" s="19">
        <f t="shared" si="51"/>
        <v>-500000</v>
      </c>
      <c r="U195" s="19">
        <f t="shared" si="51"/>
        <v>-500000</v>
      </c>
      <c r="V195" s="19">
        <f t="shared" si="51"/>
        <v>-500000</v>
      </c>
      <c r="W195" s="19">
        <f t="shared" si="51"/>
        <v>-500000</v>
      </c>
    </row>
    <row r="196" spans="1:23">
      <c r="C196" s="18" t="s">
        <v>225</v>
      </c>
      <c r="H196" s="19">
        <f t="shared" ref="H196:W196" si="52">IF(H6,H188,G195*H121)</f>
        <v>261000</v>
      </c>
      <c r="I196" s="19">
        <f t="shared" si="52"/>
        <v>293000</v>
      </c>
      <c r="J196" s="19">
        <f t="shared" si="52"/>
        <v>317000</v>
      </c>
      <c r="K196" s="19">
        <f t="shared" si="52"/>
        <v>289000</v>
      </c>
      <c r="L196" s="19">
        <f t="shared" si="52"/>
        <v>268000</v>
      </c>
      <c r="M196" s="19">
        <f t="shared" si="52"/>
        <v>254000</v>
      </c>
      <c r="N196" s="19">
        <f t="shared" si="52"/>
        <v>-25000</v>
      </c>
      <c r="O196" s="19">
        <f t="shared" si="52"/>
        <v>-25000</v>
      </c>
      <c r="P196" s="19">
        <f t="shared" si="52"/>
        <v>-25000</v>
      </c>
      <c r="Q196" s="19">
        <f t="shared" si="52"/>
        <v>-25000</v>
      </c>
      <c r="R196" s="19">
        <f t="shared" si="52"/>
        <v>-25000</v>
      </c>
      <c r="S196" s="19">
        <f t="shared" si="52"/>
        <v>-25000</v>
      </c>
      <c r="T196" s="19">
        <f t="shared" si="52"/>
        <v>-25000</v>
      </c>
      <c r="U196" s="19">
        <f t="shared" si="52"/>
        <v>-25000</v>
      </c>
      <c r="V196" s="19">
        <f t="shared" si="52"/>
        <v>-25000</v>
      </c>
      <c r="W196" s="19">
        <f t="shared" si="52"/>
        <v>-25000</v>
      </c>
    </row>
    <row r="198" spans="1:23">
      <c r="C198" s="18" t="s">
        <v>561</v>
      </c>
      <c r="H198" s="19">
        <f>H139*H146</f>
        <v>975999.99999999988</v>
      </c>
      <c r="I198" s="19">
        <f t="shared" ref="I198:W198" si="53">I139*I146</f>
        <v>1779999.9999999998</v>
      </c>
      <c r="J198" s="19">
        <f t="shared" si="53"/>
        <v>1680000</v>
      </c>
      <c r="K198" s="19">
        <f t="shared" si="53"/>
        <v>1510000</v>
      </c>
      <c r="L198" s="19">
        <f t="shared" si="53"/>
        <v>1530000</v>
      </c>
      <c r="M198" s="19">
        <f t="shared" si="53"/>
        <v>1538400</v>
      </c>
      <c r="N198" s="19">
        <f t="shared" si="53"/>
        <v>1538400</v>
      </c>
      <c r="O198" s="19">
        <f t="shared" si="53"/>
        <v>1538400</v>
      </c>
      <c r="P198" s="19">
        <f t="shared" si="53"/>
        <v>1538400</v>
      </c>
      <c r="Q198" s="19">
        <f t="shared" si="53"/>
        <v>1538400</v>
      </c>
      <c r="R198" s="19">
        <f t="shared" si="53"/>
        <v>1538400</v>
      </c>
      <c r="S198" s="19">
        <f t="shared" si="53"/>
        <v>1538400</v>
      </c>
      <c r="T198" s="19">
        <f t="shared" si="53"/>
        <v>1538400</v>
      </c>
      <c r="U198" s="19">
        <f t="shared" si="53"/>
        <v>1538400</v>
      </c>
      <c r="V198" s="19">
        <f t="shared" si="53"/>
        <v>1538400</v>
      </c>
      <c r="W198" s="19">
        <f t="shared" si="53"/>
        <v>1538400</v>
      </c>
    </row>
    <row r="199" spans="1:23">
      <c r="C199" s="18" t="s">
        <v>172</v>
      </c>
      <c r="H199" s="19">
        <f>IF(H4,H56+H57+H58+H59+H60+H61+H62,G199)</f>
        <v>18094000.25</v>
      </c>
      <c r="I199" s="19">
        <f t="shared" ref="I199:W199" si="54">IF(I4,I56+I57+I58+I59+I60+I61+I62,H199)</f>
        <v>25474000</v>
      </c>
      <c r="J199" s="19">
        <f t="shared" si="54"/>
        <v>23020000</v>
      </c>
      <c r="K199" s="19">
        <f t="shared" si="54"/>
        <v>22510000</v>
      </c>
      <c r="L199" s="19">
        <f t="shared" si="54"/>
        <v>22915000.25</v>
      </c>
      <c r="M199" s="19">
        <f t="shared" si="54"/>
        <v>22915000.25</v>
      </c>
      <c r="N199" s="19">
        <f t="shared" si="54"/>
        <v>22915000.25</v>
      </c>
      <c r="O199" s="19">
        <f t="shared" si="54"/>
        <v>22915000.25</v>
      </c>
      <c r="P199" s="19">
        <f t="shared" si="54"/>
        <v>22915000.25</v>
      </c>
      <c r="Q199" s="19">
        <f t="shared" si="54"/>
        <v>22915000.25</v>
      </c>
      <c r="R199" s="19">
        <f t="shared" si="54"/>
        <v>22915000.25</v>
      </c>
      <c r="S199" s="19">
        <f t="shared" si="54"/>
        <v>22915000.25</v>
      </c>
      <c r="T199" s="19">
        <f t="shared" si="54"/>
        <v>22915000.25</v>
      </c>
      <c r="U199" s="19">
        <f t="shared" si="54"/>
        <v>22915000.25</v>
      </c>
      <c r="V199" s="19">
        <f t="shared" si="54"/>
        <v>22915000.25</v>
      </c>
      <c r="W199" s="19">
        <f t="shared" si="54"/>
        <v>22915000.25</v>
      </c>
    </row>
    <row r="200" spans="1:23">
      <c r="C200" s="18" t="s">
        <v>292</v>
      </c>
      <c r="H200" s="19">
        <f>IF(H4,H67+H68+H69+H71+H72+H73+H74,G200)</f>
        <v>34300000.25</v>
      </c>
      <c r="I200" s="19">
        <f t="shared" ref="I200:W200" si="55">IF(I4,I67+I68+I69+I71+I72+I73+I74,H200)</f>
        <v>32654000</v>
      </c>
      <c r="J200" s="19">
        <f t="shared" si="55"/>
        <v>30510000</v>
      </c>
      <c r="K200" s="19">
        <f t="shared" si="55"/>
        <v>25890000</v>
      </c>
      <c r="L200" s="19">
        <f t="shared" si="55"/>
        <v>27895000.25</v>
      </c>
      <c r="M200" s="19">
        <f t="shared" si="55"/>
        <v>27895000.25</v>
      </c>
      <c r="N200" s="19">
        <f t="shared" si="55"/>
        <v>27895000.25</v>
      </c>
      <c r="O200" s="19">
        <f t="shared" si="55"/>
        <v>27895000.25</v>
      </c>
      <c r="P200" s="19">
        <f t="shared" si="55"/>
        <v>27895000.25</v>
      </c>
      <c r="Q200" s="19">
        <f t="shared" si="55"/>
        <v>27895000.25</v>
      </c>
      <c r="R200" s="19">
        <f t="shared" si="55"/>
        <v>27895000.25</v>
      </c>
      <c r="S200" s="19">
        <f t="shared" si="55"/>
        <v>27895000.25</v>
      </c>
      <c r="T200" s="19">
        <f t="shared" si="55"/>
        <v>27895000.25</v>
      </c>
      <c r="U200" s="19">
        <f t="shared" si="55"/>
        <v>27895000.25</v>
      </c>
      <c r="V200" s="19">
        <f t="shared" si="55"/>
        <v>27895000.25</v>
      </c>
      <c r="W200" s="19">
        <f t="shared" si="55"/>
        <v>27895000.25</v>
      </c>
    </row>
    <row r="202" spans="1:23" s="31" customFormat="1">
      <c r="A202" s="31" t="s">
        <v>465</v>
      </c>
    </row>
    <row r="203" spans="1:23">
      <c r="C203" s="18" t="s">
        <v>212</v>
      </c>
    </row>
    <row r="204" spans="1:23">
      <c r="C204" s="50"/>
      <c r="D204" s="50" t="s">
        <v>535</v>
      </c>
      <c r="H204" s="21">
        <f t="shared" ref="H204:W204" si="56">H146</f>
        <v>22150000</v>
      </c>
      <c r="I204" s="21">
        <f t="shared" si="56"/>
        <v>20140000</v>
      </c>
      <c r="J204" s="21">
        <f t="shared" si="56"/>
        <v>19070000</v>
      </c>
      <c r="K204" s="21">
        <f t="shared" si="56"/>
        <v>17570000</v>
      </c>
      <c r="L204" s="21">
        <f t="shared" si="56"/>
        <v>19230000</v>
      </c>
      <c r="M204" s="21">
        <f t="shared" si="56"/>
        <v>19230000</v>
      </c>
      <c r="N204" s="21">
        <f t="shared" si="56"/>
        <v>19230000</v>
      </c>
      <c r="O204" s="21">
        <f t="shared" si="56"/>
        <v>19230000</v>
      </c>
      <c r="P204" s="21">
        <f t="shared" si="56"/>
        <v>19230000</v>
      </c>
      <c r="Q204" s="21">
        <f t="shared" si="56"/>
        <v>19230000</v>
      </c>
      <c r="R204" s="21">
        <f t="shared" si="56"/>
        <v>19230000</v>
      </c>
      <c r="S204" s="21">
        <f t="shared" si="56"/>
        <v>19230000</v>
      </c>
      <c r="T204" s="21">
        <f t="shared" si="56"/>
        <v>19230000</v>
      </c>
      <c r="U204" s="21">
        <f t="shared" si="56"/>
        <v>19230000</v>
      </c>
      <c r="V204" s="21">
        <f t="shared" si="56"/>
        <v>19230000</v>
      </c>
      <c r="W204" s="21">
        <f t="shared" si="56"/>
        <v>19230000</v>
      </c>
    </row>
    <row r="205" spans="1:23">
      <c r="C205" s="50"/>
      <c r="D205" s="50" t="s">
        <v>536</v>
      </c>
      <c r="H205" s="21">
        <f t="shared" ref="H205:W205" si="57">H162</f>
        <v>3470000</v>
      </c>
      <c r="I205" s="21">
        <f t="shared" si="57"/>
        <v>3300000</v>
      </c>
      <c r="J205" s="21">
        <f t="shared" si="57"/>
        <v>3320000</v>
      </c>
      <c r="K205" s="21">
        <f t="shared" si="57"/>
        <v>3140000</v>
      </c>
      <c r="L205" s="21">
        <f t="shared" si="57"/>
        <v>3280000</v>
      </c>
      <c r="M205" s="21">
        <f t="shared" si="57"/>
        <v>3165000</v>
      </c>
      <c r="N205" s="21">
        <f t="shared" si="57"/>
        <v>0</v>
      </c>
      <c r="O205" s="21">
        <f t="shared" si="57"/>
        <v>0</v>
      </c>
      <c r="P205" s="21">
        <f t="shared" si="57"/>
        <v>0</v>
      </c>
      <c r="Q205" s="21">
        <f t="shared" si="57"/>
        <v>0</v>
      </c>
      <c r="R205" s="21">
        <f t="shared" si="57"/>
        <v>0</v>
      </c>
      <c r="S205" s="21">
        <f t="shared" si="57"/>
        <v>0</v>
      </c>
      <c r="T205" s="21">
        <f t="shared" si="57"/>
        <v>0</v>
      </c>
      <c r="U205" s="21">
        <f t="shared" si="57"/>
        <v>0</v>
      </c>
      <c r="V205" s="21">
        <f t="shared" si="57"/>
        <v>0</v>
      </c>
      <c r="W205" s="21">
        <f t="shared" si="57"/>
        <v>0</v>
      </c>
    </row>
    <row r="206" spans="1:23">
      <c r="C206" s="50"/>
      <c r="D206" s="50" t="s">
        <v>537</v>
      </c>
      <c r="H206" s="21">
        <f t="shared" ref="H206:W206" si="58">H166</f>
        <v>474000.00000000006</v>
      </c>
      <c r="I206" s="21">
        <f t="shared" si="58"/>
        <v>255000</v>
      </c>
      <c r="J206" s="21">
        <f t="shared" si="58"/>
        <v>215000.00000000003</v>
      </c>
      <c r="K206" s="21">
        <f t="shared" si="58"/>
        <v>303000</v>
      </c>
      <c r="L206" s="21">
        <f t="shared" si="58"/>
        <v>215000</v>
      </c>
      <c r="M206" s="21">
        <f t="shared" si="58"/>
        <v>198826.68424634231</v>
      </c>
      <c r="N206" s="21">
        <f t="shared" si="58"/>
        <v>312487.5</v>
      </c>
      <c r="O206" s="21">
        <f t="shared" si="58"/>
        <v>312487.5</v>
      </c>
      <c r="P206" s="21">
        <f t="shared" si="58"/>
        <v>312487.5</v>
      </c>
      <c r="Q206" s="21">
        <f t="shared" si="58"/>
        <v>312487.5</v>
      </c>
      <c r="R206" s="21">
        <f t="shared" si="58"/>
        <v>312487.5</v>
      </c>
      <c r="S206" s="21">
        <f t="shared" si="58"/>
        <v>312487.5</v>
      </c>
      <c r="T206" s="21">
        <f t="shared" si="58"/>
        <v>312487.5</v>
      </c>
      <c r="U206" s="21">
        <f t="shared" si="58"/>
        <v>312487.5</v>
      </c>
      <c r="V206" s="21">
        <f t="shared" si="58"/>
        <v>312487.5</v>
      </c>
      <c r="W206" s="21">
        <f t="shared" si="58"/>
        <v>312487.5</v>
      </c>
    </row>
    <row r="207" spans="1:23">
      <c r="C207" s="50"/>
      <c r="D207" s="50" t="s">
        <v>538</v>
      </c>
      <c r="H207" s="21">
        <f t="shared" ref="H207:W207" si="59">H170</f>
        <v>92000</v>
      </c>
      <c r="I207" s="21">
        <f t="shared" si="59"/>
        <v>112000</v>
      </c>
      <c r="J207" s="21">
        <f t="shared" si="59"/>
        <v>122000</v>
      </c>
      <c r="K207" s="21">
        <f t="shared" si="59"/>
        <v>27000</v>
      </c>
      <c r="L207" s="21">
        <f t="shared" si="59"/>
        <v>179000</v>
      </c>
      <c r="M207" s="21">
        <f t="shared" si="59"/>
        <v>278000</v>
      </c>
      <c r="N207" s="21">
        <f t="shared" si="59"/>
        <v>278000</v>
      </c>
      <c r="O207" s="21">
        <f t="shared" si="59"/>
        <v>278000</v>
      </c>
      <c r="P207" s="21">
        <f t="shared" si="59"/>
        <v>278000</v>
      </c>
      <c r="Q207" s="21">
        <f t="shared" si="59"/>
        <v>278000</v>
      </c>
      <c r="R207" s="21">
        <f t="shared" si="59"/>
        <v>278000</v>
      </c>
      <c r="S207" s="21">
        <f t="shared" si="59"/>
        <v>278000</v>
      </c>
      <c r="T207" s="21">
        <f t="shared" si="59"/>
        <v>278000</v>
      </c>
      <c r="U207" s="21">
        <f t="shared" si="59"/>
        <v>278000</v>
      </c>
      <c r="V207" s="21">
        <f t="shared" si="59"/>
        <v>278000</v>
      </c>
      <c r="W207" s="21">
        <f t="shared" si="59"/>
        <v>278000</v>
      </c>
    </row>
    <row r="208" spans="1:23" ht="15" thickBot="1">
      <c r="C208" s="50"/>
      <c r="D208" s="35" t="s">
        <v>539</v>
      </c>
      <c r="E208" s="35"/>
      <c r="F208" s="35"/>
      <c r="G208" s="35"/>
      <c r="H208" s="48">
        <f>SUM(H204:H207)</f>
        <v>26186000</v>
      </c>
      <c r="I208" s="48">
        <f t="shared" ref="I208:W208" si="60">SUM(I204:I207)</f>
        <v>23807000</v>
      </c>
      <c r="J208" s="48">
        <f t="shared" si="60"/>
        <v>22727000</v>
      </c>
      <c r="K208" s="48">
        <f t="shared" si="60"/>
        <v>21040000</v>
      </c>
      <c r="L208" s="48">
        <f t="shared" si="60"/>
        <v>22904000</v>
      </c>
      <c r="M208" s="48">
        <f t="shared" si="60"/>
        <v>22871826.684246343</v>
      </c>
      <c r="N208" s="48">
        <f t="shared" si="60"/>
        <v>19820487.5</v>
      </c>
      <c r="O208" s="48">
        <f t="shared" si="60"/>
        <v>19820487.5</v>
      </c>
      <c r="P208" s="48">
        <f t="shared" si="60"/>
        <v>19820487.5</v>
      </c>
      <c r="Q208" s="48">
        <f t="shared" si="60"/>
        <v>19820487.5</v>
      </c>
      <c r="R208" s="48">
        <f t="shared" si="60"/>
        <v>19820487.5</v>
      </c>
      <c r="S208" s="48">
        <f t="shared" si="60"/>
        <v>19820487.5</v>
      </c>
      <c r="T208" s="48">
        <f t="shared" si="60"/>
        <v>19820487.5</v>
      </c>
      <c r="U208" s="48">
        <f t="shared" si="60"/>
        <v>19820487.5</v>
      </c>
      <c r="V208" s="48">
        <f t="shared" si="60"/>
        <v>19820487.5</v>
      </c>
      <c r="W208" s="48">
        <f t="shared" si="60"/>
        <v>19820487.5</v>
      </c>
    </row>
    <row r="209" spans="3:23">
      <c r="C209" s="50"/>
      <c r="D209" s="50" t="s">
        <v>540</v>
      </c>
    </row>
    <row r="210" spans="3:23">
      <c r="C210" s="50"/>
      <c r="D210" s="50" t="s">
        <v>541</v>
      </c>
      <c r="H210" s="21">
        <f t="shared" ref="H210:W210" si="61">H150</f>
        <v>15330000</v>
      </c>
      <c r="I210" s="21">
        <f t="shared" si="61"/>
        <v>13810000</v>
      </c>
      <c r="J210" s="21">
        <f t="shared" si="61"/>
        <v>12940000</v>
      </c>
      <c r="K210" s="21">
        <f t="shared" si="61"/>
        <v>11750000</v>
      </c>
      <c r="L210" s="21">
        <f t="shared" si="61"/>
        <v>12920000</v>
      </c>
      <c r="M210" s="21">
        <f t="shared" si="61"/>
        <v>12755010.672358591</v>
      </c>
      <c r="N210" s="21">
        <f t="shared" si="61"/>
        <v>12884100</v>
      </c>
      <c r="O210" s="21">
        <f t="shared" si="61"/>
        <v>12884100</v>
      </c>
      <c r="P210" s="21">
        <f t="shared" si="61"/>
        <v>12884100</v>
      </c>
      <c r="Q210" s="21">
        <f t="shared" si="61"/>
        <v>12884100</v>
      </c>
      <c r="R210" s="21">
        <f t="shared" si="61"/>
        <v>12884100</v>
      </c>
      <c r="S210" s="21">
        <f t="shared" si="61"/>
        <v>12884100</v>
      </c>
      <c r="T210" s="21">
        <f t="shared" si="61"/>
        <v>12884100</v>
      </c>
      <c r="U210" s="21">
        <f t="shared" si="61"/>
        <v>12884100</v>
      </c>
      <c r="V210" s="21">
        <f t="shared" si="61"/>
        <v>12884100</v>
      </c>
      <c r="W210" s="21">
        <f t="shared" si="61"/>
        <v>12884100</v>
      </c>
    </row>
    <row r="211" spans="3:23">
      <c r="C211" s="50"/>
      <c r="D211" s="50" t="s">
        <v>542</v>
      </c>
      <c r="H211" s="21">
        <f t="shared" ref="H211:W211" si="62">H174</f>
        <v>2010000</v>
      </c>
      <c r="I211" s="21">
        <f t="shared" si="62"/>
        <v>1850000.0000000002</v>
      </c>
      <c r="J211" s="21">
        <f t="shared" si="62"/>
        <v>1910000</v>
      </c>
      <c r="K211" s="21">
        <f t="shared" si="62"/>
        <v>1880000</v>
      </c>
      <c r="L211" s="21">
        <f t="shared" si="62"/>
        <v>2100000</v>
      </c>
      <c r="M211" s="21">
        <f t="shared" si="62"/>
        <v>1923000</v>
      </c>
      <c r="N211" s="21">
        <f t="shared" si="62"/>
        <v>1923000</v>
      </c>
      <c r="O211" s="21">
        <f t="shared" si="62"/>
        <v>1923000</v>
      </c>
      <c r="P211" s="21">
        <f t="shared" si="62"/>
        <v>1923000</v>
      </c>
      <c r="Q211" s="21">
        <f t="shared" si="62"/>
        <v>1923000</v>
      </c>
      <c r="R211" s="21">
        <f t="shared" si="62"/>
        <v>1923000</v>
      </c>
      <c r="S211" s="21">
        <f t="shared" si="62"/>
        <v>1923000</v>
      </c>
      <c r="T211" s="21">
        <f t="shared" si="62"/>
        <v>1923000</v>
      </c>
      <c r="U211" s="21">
        <f t="shared" si="62"/>
        <v>1923000</v>
      </c>
      <c r="V211" s="21">
        <f t="shared" si="62"/>
        <v>1923000</v>
      </c>
      <c r="W211" s="21">
        <f t="shared" si="62"/>
        <v>1923000</v>
      </c>
    </row>
    <row r="212" spans="3:23">
      <c r="C212" s="50"/>
      <c r="D212" s="50" t="s">
        <v>543</v>
      </c>
      <c r="H212" s="21">
        <f t="shared" ref="H212:W212" si="63">H178</f>
        <v>0</v>
      </c>
      <c r="I212" s="21">
        <f t="shared" si="63"/>
        <v>0</v>
      </c>
      <c r="J212" s="21">
        <f t="shared" si="63"/>
        <v>0</v>
      </c>
      <c r="K212" s="21">
        <f t="shared" si="63"/>
        <v>0</v>
      </c>
      <c r="L212" s="21">
        <f t="shared" si="63"/>
        <v>0</v>
      </c>
      <c r="M212" s="21">
        <f t="shared" si="63"/>
        <v>0</v>
      </c>
      <c r="N212" s="21">
        <f t="shared" si="63"/>
        <v>0</v>
      </c>
      <c r="O212" s="21">
        <f t="shared" si="63"/>
        <v>0</v>
      </c>
      <c r="P212" s="21">
        <f t="shared" si="63"/>
        <v>0</v>
      </c>
      <c r="Q212" s="21">
        <f t="shared" si="63"/>
        <v>0</v>
      </c>
      <c r="R212" s="21">
        <f t="shared" si="63"/>
        <v>0</v>
      </c>
      <c r="S212" s="21">
        <f t="shared" si="63"/>
        <v>0</v>
      </c>
      <c r="T212" s="21">
        <f t="shared" si="63"/>
        <v>0</v>
      </c>
      <c r="U212" s="21">
        <f t="shared" si="63"/>
        <v>0</v>
      </c>
      <c r="V212" s="21">
        <f t="shared" si="63"/>
        <v>0</v>
      </c>
      <c r="W212" s="21">
        <f t="shared" si="63"/>
        <v>0</v>
      </c>
    </row>
    <row r="213" spans="3:23">
      <c r="C213" s="50"/>
      <c r="D213" s="50" t="s">
        <v>149</v>
      </c>
      <c r="H213" s="21">
        <f t="shared" ref="H213:W213" si="64">H180</f>
        <v>-154000</v>
      </c>
      <c r="I213" s="21">
        <f t="shared" si="64"/>
        <v>-326000</v>
      </c>
      <c r="J213" s="21">
        <f t="shared" si="64"/>
        <v>-31000</v>
      </c>
      <c r="K213" s="21">
        <f t="shared" si="64"/>
        <v>10000</v>
      </c>
      <c r="L213" s="21">
        <f t="shared" si="64"/>
        <v>255000</v>
      </c>
      <c r="M213" s="21">
        <f t="shared" si="64"/>
        <v>120000</v>
      </c>
      <c r="N213" s="21">
        <f t="shared" si="64"/>
        <v>120000</v>
      </c>
      <c r="O213" s="21">
        <f t="shared" si="64"/>
        <v>120000</v>
      </c>
      <c r="P213" s="21">
        <f t="shared" si="64"/>
        <v>120000</v>
      </c>
      <c r="Q213" s="21">
        <f t="shared" si="64"/>
        <v>120000</v>
      </c>
      <c r="R213" s="21">
        <f t="shared" si="64"/>
        <v>120000</v>
      </c>
      <c r="S213" s="21">
        <f t="shared" si="64"/>
        <v>120000</v>
      </c>
      <c r="T213" s="21">
        <f t="shared" si="64"/>
        <v>120000</v>
      </c>
      <c r="U213" s="21">
        <f t="shared" si="64"/>
        <v>120000</v>
      </c>
      <c r="V213" s="21">
        <f t="shared" si="64"/>
        <v>120000</v>
      </c>
      <c r="W213" s="21">
        <f t="shared" si="64"/>
        <v>120000</v>
      </c>
    </row>
    <row r="214" spans="3:23" ht="15" thickBot="1">
      <c r="C214" s="50"/>
      <c r="D214" s="35" t="s">
        <v>544</v>
      </c>
      <c r="E214" s="35"/>
      <c r="F214" s="35"/>
      <c r="G214" s="35"/>
      <c r="H214" s="48">
        <f>H208-SUM(H210:H213)</f>
        <v>9000000</v>
      </c>
      <c r="I214" s="48">
        <f t="shared" ref="I214:W214" si="65">I208-SUM(I210:I213)</f>
        <v>8473000</v>
      </c>
      <c r="J214" s="48">
        <f t="shared" si="65"/>
        <v>7908000</v>
      </c>
      <c r="K214" s="48">
        <f t="shared" si="65"/>
        <v>7400000</v>
      </c>
      <c r="L214" s="48">
        <f t="shared" si="65"/>
        <v>7629000</v>
      </c>
      <c r="M214" s="48">
        <f t="shared" si="65"/>
        <v>8073816.0118877515</v>
      </c>
      <c r="N214" s="48">
        <f t="shared" si="65"/>
        <v>4893387.5</v>
      </c>
      <c r="O214" s="48">
        <f t="shared" si="65"/>
        <v>4893387.5</v>
      </c>
      <c r="P214" s="48">
        <f t="shared" si="65"/>
        <v>4893387.5</v>
      </c>
      <c r="Q214" s="48">
        <f t="shared" si="65"/>
        <v>4893387.5</v>
      </c>
      <c r="R214" s="48">
        <f t="shared" si="65"/>
        <v>4893387.5</v>
      </c>
      <c r="S214" s="48">
        <f t="shared" si="65"/>
        <v>4893387.5</v>
      </c>
      <c r="T214" s="48">
        <f t="shared" si="65"/>
        <v>4893387.5</v>
      </c>
      <c r="U214" s="48">
        <f t="shared" si="65"/>
        <v>4893387.5</v>
      </c>
      <c r="V214" s="48">
        <f t="shared" si="65"/>
        <v>4893387.5</v>
      </c>
      <c r="W214" s="48">
        <f t="shared" si="65"/>
        <v>4893387.5</v>
      </c>
    </row>
    <row r="215" spans="3:23">
      <c r="C215" s="50"/>
      <c r="D215" s="50" t="s">
        <v>545</v>
      </c>
      <c r="H215" s="21">
        <f>H196</f>
        <v>261000</v>
      </c>
      <c r="I215" s="21">
        <f t="shared" ref="I215:W215" si="66">I196</f>
        <v>293000</v>
      </c>
      <c r="J215" s="21">
        <f t="shared" si="66"/>
        <v>317000</v>
      </c>
      <c r="K215" s="21">
        <f t="shared" si="66"/>
        <v>289000</v>
      </c>
      <c r="L215" s="21">
        <f t="shared" si="66"/>
        <v>268000</v>
      </c>
      <c r="M215" s="21">
        <f t="shared" si="66"/>
        <v>254000</v>
      </c>
      <c r="N215" s="21">
        <f t="shared" si="66"/>
        <v>-25000</v>
      </c>
      <c r="O215" s="21">
        <f t="shared" si="66"/>
        <v>-25000</v>
      </c>
      <c r="P215" s="21">
        <f t="shared" si="66"/>
        <v>-25000</v>
      </c>
      <c r="Q215" s="21">
        <f t="shared" si="66"/>
        <v>-25000</v>
      </c>
      <c r="R215" s="21">
        <f t="shared" si="66"/>
        <v>-25000</v>
      </c>
      <c r="S215" s="21">
        <f t="shared" si="66"/>
        <v>-25000</v>
      </c>
      <c r="T215" s="21">
        <f t="shared" si="66"/>
        <v>-25000</v>
      </c>
      <c r="U215" s="21">
        <f t="shared" si="66"/>
        <v>-25000</v>
      </c>
      <c r="V215" s="21">
        <f t="shared" si="66"/>
        <v>-25000</v>
      </c>
      <c r="W215" s="21">
        <f t="shared" si="66"/>
        <v>-25000</v>
      </c>
    </row>
    <row r="216" spans="3:23" ht="15" thickBot="1">
      <c r="C216" s="50"/>
      <c r="D216" s="35" t="s">
        <v>546</v>
      </c>
      <c r="E216" s="35"/>
      <c r="F216" s="35"/>
      <c r="G216" s="35"/>
      <c r="H216" s="48">
        <f>H214-H215</f>
        <v>8739000</v>
      </c>
      <c r="I216" s="48">
        <f t="shared" ref="I216:W216" si="67">I214-I215</f>
        <v>8180000</v>
      </c>
      <c r="J216" s="48">
        <f t="shared" si="67"/>
        <v>7591000</v>
      </c>
      <c r="K216" s="48">
        <f t="shared" si="67"/>
        <v>7111000</v>
      </c>
      <c r="L216" s="48">
        <f t="shared" si="67"/>
        <v>7361000</v>
      </c>
      <c r="M216" s="48">
        <f t="shared" si="67"/>
        <v>7819816.0118877515</v>
      </c>
      <c r="N216" s="48">
        <f t="shared" si="67"/>
        <v>4918387.5</v>
      </c>
      <c r="O216" s="48">
        <f t="shared" si="67"/>
        <v>4918387.5</v>
      </c>
      <c r="P216" s="48">
        <f t="shared" si="67"/>
        <v>4918387.5</v>
      </c>
      <c r="Q216" s="48">
        <f t="shared" si="67"/>
        <v>4918387.5</v>
      </c>
      <c r="R216" s="48">
        <f t="shared" si="67"/>
        <v>4918387.5</v>
      </c>
      <c r="S216" s="48">
        <f t="shared" si="67"/>
        <v>4918387.5</v>
      </c>
      <c r="T216" s="48">
        <f t="shared" si="67"/>
        <v>4918387.5</v>
      </c>
      <c r="U216" s="48">
        <f t="shared" si="67"/>
        <v>4918387.5</v>
      </c>
      <c r="V216" s="48">
        <f t="shared" si="67"/>
        <v>4918387.5</v>
      </c>
      <c r="W216" s="48">
        <f t="shared" si="67"/>
        <v>4918387.5</v>
      </c>
    </row>
    <row r="217" spans="3:23">
      <c r="C217" s="50"/>
      <c r="D217" s="50" t="s">
        <v>547</v>
      </c>
      <c r="H217" s="21">
        <f t="shared" ref="H217:W217" si="68">H181</f>
        <v>979000</v>
      </c>
      <c r="I217" s="21">
        <f t="shared" si="68"/>
        <v>190000</v>
      </c>
      <c r="J217" s="21">
        <f t="shared" si="68"/>
        <v>31000</v>
      </c>
      <c r="K217" s="21">
        <f t="shared" si="68"/>
        <v>391000</v>
      </c>
      <c r="L217" s="21">
        <f t="shared" si="68"/>
        <v>220999.75</v>
      </c>
      <c r="M217" s="21">
        <f t="shared" si="68"/>
        <v>178000</v>
      </c>
      <c r="N217" s="21">
        <f t="shared" si="68"/>
        <v>300000</v>
      </c>
      <c r="O217" s="21">
        <f t="shared" si="68"/>
        <v>300000</v>
      </c>
      <c r="P217" s="21">
        <f t="shared" si="68"/>
        <v>300000</v>
      </c>
      <c r="Q217" s="21">
        <f t="shared" si="68"/>
        <v>300000</v>
      </c>
      <c r="R217" s="21">
        <f t="shared" si="68"/>
        <v>300000</v>
      </c>
      <c r="S217" s="21">
        <f t="shared" si="68"/>
        <v>300000</v>
      </c>
      <c r="T217" s="21">
        <f t="shared" si="68"/>
        <v>300000</v>
      </c>
      <c r="U217" s="21">
        <f t="shared" si="68"/>
        <v>300000</v>
      </c>
      <c r="V217" s="21">
        <f t="shared" si="68"/>
        <v>300000</v>
      </c>
      <c r="W217" s="21">
        <f t="shared" si="68"/>
        <v>300000</v>
      </c>
    </row>
    <row r="218" spans="3:23" ht="15" thickBot="1">
      <c r="C218" s="50"/>
      <c r="D218" s="35" t="s">
        <v>549</v>
      </c>
      <c r="E218" s="35"/>
      <c r="F218" s="35"/>
      <c r="G218" s="35"/>
      <c r="H218" s="48">
        <f>H216-H217</f>
        <v>7760000</v>
      </c>
      <c r="I218" s="48">
        <f t="shared" ref="I218:W218" si="69">I216-I217</f>
        <v>7990000</v>
      </c>
      <c r="J218" s="48">
        <f t="shared" si="69"/>
        <v>7560000</v>
      </c>
      <c r="K218" s="48">
        <f t="shared" si="69"/>
        <v>6720000</v>
      </c>
      <c r="L218" s="48">
        <f t="shared" si="69"/>
        <v>7140000.25</v>
      </c>
      <c r="M218" s="48">
        <f t="shared" si="69"/>
        <v>7641816.0118877515</v>
      </c>
      <c r="N218" s="48">
        <f t="shared" si="69"/>
        <v>4618387.5</v>
      </c>
      <c r="O218" s="48">
        <f t="shared" si="69"/>
        <v>4618387.5</v>
      </c>
      <c r="P218" s="48">
        <f t="shared" si="69"/>
        <v>4618387.5</v>
      </c>
      <c r="Q218" s="48">
        <f t="shared" si="69"/>
        <v>4618387.5</v>
      </c>
      <c r="R218" s="48">
        <f t="shared" si="69"/>
        <v>4618387.5</v>
      </c>
      <c r="S218" s="48">
        <f t="shared" si="69"/>
        <v>4618387.5</v>
      </c>
      <c r="T218" s="48">
        <f t="shared" si="69"/>
        <v>4618387.5</v>
      </c>
      <c r="U218" s="48">
        <f t="shared" si="69"/>
        <v>4618387.5</v>
      </c>
      <c r="V218" s="48">
        <f t="shared" si="69"/>
        <v>4618387.5</v>
      </c>
      <c r="W218" s="48">
        <f t="shared" si="69"/>
        <v>4618387.5</v>
      </c>
    </row>
    <row r="219" spans="3:23">
      <c r="C219" s="50"/>
      <c r="D219" s="50" t="s">
        <v>550</v>
      </c>
      <c r="H219" s="19">
        <f t="shared" ref="H219:W219" si="70">IF(H6,H29,H218*H123)</f>
        <v>1440000</v>
      </c>
      <c r="I219" s="19">
        <f t="shared" si="70"/>
        <v>1660000</v>
      </c>
      <c r="J219" s="19">
        <f t="shared" si="70"/>
        <v>1540000</v>
      </c>
      <c r="K219" s="19">
        <f t="shared" si="70"/>
        <v>1330000</v>
      </c>
      <c r="L219" s="19">
        <f t="shared" si="70"/>
        <v>1410000</v>
      </c>
      <c r="M219" s="19">
        <f t="shared" si="70"/>
        <v>1399000</v>
      </c>
      <c r="N219" s="19">
        <f t="shared" si="70"/>
        <v>1385516.25</v>
      </c>
      <c r="O219" s="19">
        <f t="shared" si="70"/>
        <v>1385516.25</v>
      </c>
      <c r="P219" s="19">
        <f t="shared" si="70"/>
        <v>1385516.25</v>
      </c>
      <c r="Q219" s="19">
        <f t="shared" si="70"/>
        <v>1385516.25</v>
      </c>
      <c r="R219" s="19">
        <f t="shared" si="70"/>
        <v>1385516.25</v>
      </c>
      <c r="S219" s="19">
        <f t="shared" si="70"/>
        <v>1385516.25</v>
      </c>
      <c r="T219" s="19">
        <f t="shared" si="70"/>
        <v>1385516.25</v>
      </c>
      <c r="U219" s="19">
        <f t="shared" si="70"/>
        <v>1385516.25</v>
      </c>
      <c r="V219" s="19">
        <f t="shared" si="70"/>
        <v>1385516.25</v>
      </c>
      <c r="W219" s="19">
        <f t="shared" si="70"/>
        <v>1385516.25</v>
      </c>
    </row>
    <row r="220" spans="3:23">
      <c r="C220" s="50"/>
      <c r="D220" s="50" t="s">
        <v>228</v>
      </c>
      <c r="H220" s="19">
        <f t="shared" ref="H220:W220" si="71">H124</f>
        <v>-10000</v>
      </c>
      <c r="I220" s="19">
        <f t="shared" si="71"/>
        <v>0</v>
      </c>
      <c r="J220" s="19">
        <f t="shared" si="71"/>
        <v>0</v>
      </c>
      <c r="K220" s="19">
        <f t="shared" si="71"/>
        <v>0</v>
      </c>
      <c r="L220" s="19">
        <f t="shared" si="71"/>
        <v>0.25</v>
      </c>
      <c r="M220" s="19">
        <f t="shared" si="71"/>
        <v>0</v>
      </c>
      <c r="N220" s="19">
        <f t="shared" si="71"/>
        <v>0</v>
      </c>
      <c r="O220" s="19">
        <f t="shared" si="71"/>
        <v>0</v>
      </c>
      <c r="P220" s="19">
        <f t="shared" si="71"/>
        <v>0</v>
      </c>
      <c r="Q220" s="19">
        <f t="shared" si="71"/>
        <v>0</v>
      </c>
      <c r="R220" s="19">
        <f t="shared" si="71"/>
        <v>0</v>
      </c>
      <c r="S220" s="19">
        <f t="shared" si="71"/>
        <v>0</v>
      </c>
      <c r="T220" s="19">
        <f t="shared" si="71"/>
        <v>0</v>
      </c>
      <c r="U220" s="19">
        <f t="shared" si="71"/>
        <v>0</v>
      </c>
      <c r="V220" s="19">
        <f t="shared" si="71"/>
        <v>0</v>
      </c>
      <c r="W220" s="19">
        <f t="shared" si="71"/>
        <v>0</v>
      </c>
    </row>
    <row r="221" spans="3:23" ht="15" thickBot="1">
      <c r="C221" s="50"/>
      <c r="D221" s="35" t="s">
        <v>230</v>
      </c>
      <c r="E221" s="35"/>
      <c r="F221" s="35"/>
      <c r="G221" s="35"/>
      <c r="H221" s="48">
        <f>H218-H219-H220</f>
        <v>6330000</v>
      </c>
      <c r="I221" s="48">
        <f t="shared" ref="I221:W221" si="72">I218-I219-I220</f>
        <v>6330000</v>
      </c>
      <c r="J221" s="48">
        <f t="shared" si="72"/>
        <v>6020000</v>
      </c>
      <c r="K221" s="48">
        <f t="shared" si="72"/>
        <v>5390000</v>
      </c>
      <c r="L221" s="48">
        <f t="shared" si="72"/>
        <v>5730000</v>
      </c>
      <c r="M221" s="48">
        <f t="shared" si="72"/>
        <v>6242816.0118877515</v>
      </c>
      <c r="N221" s="48">
        <f t="shared" si="72"/>
        <v>3232871.25</v>
      </c>
      <c r="O221" s="48">
        <f t="shared" si="72"/>
        <v>3232871.25</v>
      </c>
      <c r="P221" s="48">
        <f t="shared" si="72"/>
        <v>3232871.25</v>
      </c>
      <c r="Q221" s="48">
        <f t="shared" si="72"/>
        <v>3232871.25</v>
      </c>
      <c r="R221" s="48">
        <f t="shared" si="72"/>
        <v>3232871.25</v>
      </c>
      <c r="S221" s="48">
        <f t="shared" si="72"/>
        <v>3232871.25</v>
      </c>
      <c r="T221" s="48">
        <f t="shared" si="72"/>
        <v>3232871.25</v>
      </c>
      <c r="U221" s="48">
        <f t="shared" si="72"/>
        <v>3232871.25</v>
      </c>
      <c r="V221" s="48">
        <f t="shared" si="72"/>
        <v>3232871.25</v>
      </c>
      <c r="W221" s="48">
        <f t="shared" si="72"/>
        <v>3232871.25</v>
      </c>
    </row>
    <row r="223" spans="3:23">
      <c r="D223" s="18" t="s">
        <v>666</v>
      </c>
      <c r="H223" s="21">
        <f t="shared" ref="H223:W223" si="73">H214-H22</f>
        <v>3460000</v>
      </c>
      <c r="I223" s="21">
        <f t="shared" si="73"/>
        <v>3170000</v>
      </c>
      <c r="J223" s="21">
        <f t="shared" si="73"/>
        <v>3070000</v>
      </c>
      <c r="K223" s="21">
        <f t="shared" si="73"/>
        <v>2860000</v>
      </c>
      <c r="L223" s="21">
        <f t="shared" si="73"/>
        <v>3070000</v>
      </c>
      <c r="M223" s="21">
        <f t="shared" si="73"/>
        <v>3457816.0118877515</v>
      </c>
      <c r="N223" s="21">
        <f t="shared" si="73"/>
        <v>4893387.5</v>
      </c>
      <c r="O223" s="21">
        <f t="shared" si="73"/>
        <v>4893387.5</v>
      </c>
      <c r="P223" s="21">
        <f t="shared" si="73"/>
        <v>4893387.5</v>
      </c>
      <c r="Q223" s="21">
        <f t="shared" si="73"/>
        <v>4893387.5</v>
      </c>
      <c r="R223" s="21">
        <f t="shared" si="73"/>
        <v>4893387.5</v>
      </c>
      <c r="S223" s="21">
        <f t="shared" si="73"/>
        <v>4893387.5</v>
      </c>
      <c r="T223" s="21">
        <f t="shared" si="73"/>
        <v>4893387.5</v>
      </c>
      <c r="U223" s="21">
        <f t="shared" si="73"/>
        <v>4893387.5</v>
      </c>
      <c r="V223" s="21">
        <f t="shared" si="73"/>
        <v>4893387.5</v>
      </c>
      <c r="W223" s="21">
        <f t="shared" si="73"/>
        <v>4893387.5</v>
      </c>
    </row>
    <row r="224" spans="3:23">
      <c r="D224" s="18" t="s">
        <v>352</v>
      </c>
      <c r="H224" s="21">
        <f t="shared" ref="H224:W224" si="74">H221-H33</f>
        <v>3460000</v>
      </c>
      <c r="I224" s="21">
        <f t="shared" si="74"/>
        <v>3170000</v>
      </c>
      <c r="J224" s="21">
        <f t="shared" si="74"/>
        <v>3070000</v>
      </c>
      <c r="K224" s="21">
        <f t="shared" si="74"/>
        <v>2860000</v>
      </c>
      <c r="L224" s="21">
        <f t="shared" si="74"/>
        <v>3070000</v>
      </c>
      <c r="M224" s="21">
        <f t="shared" si="74"/>
        <v>3463816.0118877515</v>
      </c>
      <c r="N224" s="21">
        <f t="shared" si="74"/>
        <v>3232871.25</v>
      </c>
      <c r="O224" s="21">
        <f t="shared" si="74"/>
        <v>3232871.25</v>
      </c>
      <c r="P224" s="21">
        <f t="shared" si="74"/>
        <v>3232871.25</v>
      </c>
      <c r="Q224" s="21">
        <f t="shared" si="74"/>
        <v>3232871.25</v>
      </c>
      <c r="R224" s="21">
        <f t="shared" si="74"/>
        <v>3232871.25</v>
      </c>
      <c r="S224" s="21">
        <f t="shared" si="74"/>
        <v>3232871.25</v>
      </c>
      <c r="T224" s="21">
        <f t="shared" si="74"/>
        <v>3232871.25</v>
      </c>
      <c r="U224" s="21">
        <f t="shared" si="74"/>
        <v>3232871.25</v>
      </c>
      <c r="V224" s="21">
        <f t="shared" si="74"/>
        <v>3232871.25</v>
      </c>
      <c r="W224" s="21">
        <f t="shared" si="74"/>
        <v>3232871.25</v>
      </c>
    </row>
    <row r="226" spans="2:23">
      <c r="D226" s="18" t="s">
        <v>1</v>
      </c>
      <c r="H226" s="19">
        <f t="shared" ref="H226:W226" si="75">IF(H4,H46,G226)</f>
        <v>469290</v>
      </c>
      <c r="I226" s="19">
        <f t="shared" si="75"/>
        <v>467410</v>
      </c>
      <c r="J226" s="19">
        <f t="shared" si="75"/>
        <v>454000</v>
      </c>
      <c r="K226" s="19">
        <f t="shared" si="75"/>
        <v>433170</v>
      </c>
      <c r="L226" s="19">
        <f t="shared" si="75"/>
        <v>413920</v>
      </c>
      <c r="M226" s="19">
        <f t="shared" si="75"/>
        <v>413920</v>
      </c>
      <c r="N226" s="19">
        <f t="shared" si="75"/>
        <v>413920</v>
      </c>
      <c r="O226" s="19">
        <f t="shared" si="75"/>
        <v>413920</v>
      </c>
      <c r="P226" s="19">
        <f t="shared" si="75"/>
        <v>413920</v>
      </c>
      <c r="Q226" s="19">
        <f t="shared" si="75"/>
        <v>413920</v>
      </c>
      <c r="R226" s="19">
        <f t="shared" si="75"/>
        <v>413920</v>
      </c>
      <c r="S226" s="19">
        <f t="shared" si="75"/>
        <v>413920</v>
      </c>
      <c r="T226" s="19">
        <f t="shared" si="75"/>
        <v>413920</v>
      </c>
      <c r="U226" s="19">
        <f t="shared" si="75"/>
        <v>413920</v>
      </c>
      <c r="V226" s="19">
        <f t="shared" si="75"/>
        <v>413920</v>
      </c>
      <c r="W226" s="19">
        <f t="shared" si="75"/>
        <v>413920</v>
      </c>
    </row>
    <row r="227" spans="2:23">
      <c r="D227" s="18" t="s">
        <v>350</v>
      </c>
      <c r="H227" s="34">
        <f>H221/H226</f>
        <v>13.488461292590936</v>
      </c>
      <c r="I227" s="34">
        <f t="shared" ref="I227:W227" si="76">I221/I226</f>
        <v>13.542714105389273</v>
      </c>
      <c r="J227" s="34">
        <f t="shared" si="76"/>
        <v>13.259911894273127</v>
      </c>
      <c r="K227" s="34">
        <f t="shared" si="76"/>
        <v>12.443151649467877</v>
      </c>
      <c r="L227" s="34">
        <f t="shared" si="76"/>
        <v>13.843254735214535</v>
      </c>
      <c r="M227" s="34">
        <f t="shared" si="76"/>
        <v>15.082180160146288</v>
      </c>
      <c r="N227" s="34">
        <f t="shared" si="76"/>
        <v>7.8103770052183998</v>
      </c>
      <c r="O227" s="34">
        <f t="shared" si="76"/>
        <v>7.8103770052183998</v>
      </c>
      <c r="P227" s="34">
        <f t="shared" si="76"/>
        <v>7.8103770052183998</v>
      </c>
      <c r="Q227" s="34">
        <f t="shared" si="76"/>
        <v>7.8103770052183998</v>
      </c>
      <c r="R227" s="34">
        <f t="shared" si="76"/>
        <v>7.8103770052183998</v>
      </c>
      <c r="S227" s="34">
        <f t="shared" si="76"/>
        <v>7.8103770052183998</v>
      </c>
      <c r="T227" s="34">
        <f t="shared" si="76"/>
        <v>7.8103770052183998</v>
      </c>
      <c r="U227" s="34">
        <f t="shared" si="76"/>
        <v>7.8103770052183998</v>
      </c>
      <c r="V227" s="34">
        <f t="shared" si="76"/>
        <v>7.8103770052183998</v>
      </c>
      <c r="W227" s="34">
        <f t="shared" si="76"/>
        <v>7.8103770052183998</v>
      </c>
    </row>
    <row r="229" spans="2:23">
      <c r="B229" s="18" t="s">
        <v>242</v>
      </c>
    </row>
    <row r="230" spans="2:23">
      <c r="C230" s="18" t="s">
        <v>234</v>
      </c>
      <c r="H230" s="21">
        <f>H221</f>
        <v>6330000</v>
      </c>
      <c r="I230" s="21">
        <f t="shared" ref="I230:W230" si="77">I221</f>
        <v>6330000</v>
      </c>
      <c r="J230" s="21">
        <f t="shared" si="77"/>
        <v>6020000</v>
      </c>
      <c r="K230" s="21">
        <f t="shared" si="77"/>
        <v>5390000</v>
      </c>
      <c r="L230" s="21">
        <f t="shared" si="77"/>
        <v>5730000</v>
      </c>
      <c r="M230" s="21">
        <f t="shared" si="77"/>
        <v>6242816.0118877515</v>
      </c>
      <c r="N230" s="21">
        <f t="shared" si="77"/>
        <v>3232871.25</v>
      </c>
      <c r="O230" s="21">
        <f t="shared" si="77"/>
        <v>3232871.25</v>
      </c>
      <c r="P230" s="21">
        <f t="shared" si="77"/>
        <v>3232871.25</v>
      </c>
      <c r="Q230" s="21">
        <f t="shared" si="77"/>
        <v>3232871.25</v>
      </c>
      <c r="R230" s="21">
        <f t="shared" si="77"/>
        <v>3232871.25</v>
      </c>
      <c r="S230" s="21">
        <f t="shared" si="77"/>
        <v>3232871.25</v>
      </c>
      <c r="T230" s="21">
        <f t="shared" si="77"/>
        <v>3232871.25</v>
      </c>
      <c r="U230" s="21">
        <f t="shared" si="77"/>
        <v>3232871.25</v>
      </c>
      <c r="V230" s="21">
        <f t="shared" si="77"/>
        <v>3232871.25</v>
      </c>
      <c r="W230" s="21">
        <f t="shared" si="77"/>
        <v>3232871.25</v>
      </c>
    </row>
    <row r="231" spans="2:23">
      <c r="C231" s="18" t="s">
        <v>671</v>
      </c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</row>
    <row r="232" spans="2:23">
      <c r="C232" s="18" t="s">
        <v>672</v>
      </c>
      <c r="H232" s="21">
        <f>H198-G198</f>
        <v>975999.99999999988</v>
      </c>
      <c r="I232" s="21">
        <f t="shared" ref="I232:W232" si="78">I198-H198</f>
        <v>803999.99999999988</v>
      </c>
      <c r="J232" s="21">
        <f t="shared" si="78"/>
        <v>-99999.999999999767</v>
      </c>
      <c r="K232" s="21">
        <f t="shared" si="78"/>
        <v>-170000</v>
      </c>
      <c r="L232" s="21">
        <f t="shared" si="78"/>
        <v>20000</v>
      </c>
      <c r="M232" s="21">
        <f t="shared" si="78"/>
        <v>8400</v>
      </c>
      <c r="N232" s="21">
        <f t="shared" si="78"/>
        <v>0</v>
      </c>
      <c r="O232" s="21">
        <f t="shared" si="78"/>
        <v>0</v>
      </c>
      <c r="P232" s="21">
        <f t="shared" si="78"/>
        <v>0</v>
      </c>
      <c r="Q232" s="21">
        <f t="shared" si="78"/>
        <v>0</v>
      </c>
      <c r="R232" s="21">
        <f t="shared" si="78"/>
        <v>0</v>
      </c>
      <c r="S232" s="21">
        <f t="shared" si="78"/>
        <v>0</v>
      </c>
      <c r="T232" s="21">
        <f t="shared" si="78"/>
        <v>0</v>
      </c>
      <c r="U232" s="21">
        <f t="shared" si="78"/>
        <v>0</v>
      </c>
      <c r="V232" s="21">
        <f t="shared" si="78"/>
        <v>0</v>
      </c>
      <c r="W232" s="21">
        <f t="shared" si="78"/>
        <v>0</v>
      </c>
    </row>
    <row r="233" spans="2:23" ht="15" thickBot="1">
      <c r="D233" s="35" t="s">
        <v>360</v>
      </c>
      <c r="E233" s="35"/>
      <c r="F233" s="35"/>
      <c r="G233" s="35"/>
      <c r="H233" s="48">
        <f t="shared" ref="H233:W233" si="79">H230-H231-H232</f>
        <v>5354000</v>
      </c>
      <c r="I233" s="48">
        <f t="shared" si="79"/>
        <v>5526000</v>
      </c>
      <c r="J233" s="48">
        <f t="shared" si="79"/>
        <v>6120000</v>
      </c>
      <c r="K233" s="48">
        <f t="shared" si="79"/>
        <v>5560000</v>
      </c>
      <c r="L233" s="48">
        <f t="shared" si="79"/>
        <v>5710000</v>
      </c>
      <c r="M233" s="48">
        <f t="shared" si="79"/>
        <v>6234416.0118877515</v>
      </c>
      <c r="N233" s="48">
        <f t="shared" si="79"/>
        <v>3232871.25</v>
      </c>
      <c r="O233" s="48">
        <f t="shared" si="79"/>
        <v>3232871.25</v>
      </c>
      <c r="P233" s="48">
        <f t="shared" si="79"/>
        <v>3232871.25</v>
      </c>
      <c r="Q233" s="48">
        <f t="shared" si="79"/>
        <v>3232871.25</v>
      </c>
      <c r="R233" s="48">
        <f t="shared" si="79"/>
        <v>3232871.25</v>
      </c>
      <c r="S233" s="48">
        <f t="shared" si="79"/>
        <v>3232871.25</v>
      </c>
      <c r="T233" s="48">
        <f t="shared" si="79"/>
        <v>3232871.25</v>
      </c>
      <c r="U233" s="48">
        <f t="shared" si="79"/>
        <v>3232871.25</v>
      </c>
      <c r="V233" s="48">
        <f t="shared" si="79"/>
        <v>3232871.25</v>
      </c>
      <c r="W233" s="48">
        <f t="shared" si="79"/>
        <v>3232871.25</v>
      </c>
    </row>
    <row r="234" spans="2:23">
      <c r="C234" s="18" t="s">
        <v>673</v>
      </c>
      <c r="H234" s="21">
        <f>H158-G158</f>
        <v>116180000.00000001</v>
      </c>
      <c r="I234" s="21">
        <f t="shared" ref="I234:W234" si="80">I158-H158</f>
        <v>-10260000.000000015</v>
      </c>
      <c r="J234" s="21">
        <f t="shared" si="80"/>
        <v>-3240000</v>
      </c>
      <c r="K234" s="21">
        <f t="shared" si="80"/>
        <v>-1130000</v>
      </c>
      <c r="L234" s="21">
        <f t="shared" si="80"/>
        <v>9950000</v>
      </c>
      <c r="M234" s="21">
        <f t="shared" si="80"/>
        <v>13495000</v>
      </c>
      <c r="N234" s="21">
        <f t="shared" si="80"/>
        <v>0</v>
      </c>
      <c r="O234" s="21">
        <f t="shared" si="80"/>
        <v>0</v>
      </c>
      <c r="P234" s="21">
        <f t="shared" si="80"/>
        <v>0</v>
      </c>
      <c r="Q234" s="21">
        <f t="shared" si="80"/>
        <v>0</v>
      </c>
      <c r="R234" s="21">
        <f t="shared" si="80"/>
        <v>0</v>
      </c>
      <c r="S234" s="21">
        <f t="shared" si="80"/>
        <v>0</v>
      </c>
      <c r="T234" s="21">
        <f t="shared" si="80"/>
        <v>0</v>
      </c>
      <c r="U234" s="21">
        <f t="shared" si="80"/>
        <v>0</v>
      </c>
      <c r="V234" s="21">
        <f t="shared" si="80"/>
        <v>0</v>
      </c>
      <c r="W234" s="21">
        <f t="shared" si="80"/>
        <v>0</v>
      </c>
    </row>
    <row r="235" spans="2:23">
      <c r="C235" s="18" t="s">
        <v>674</v>
      </c>
      <c r="H235" s="21">
        <f>H154-G154</f>
        <v>82660000</v>
      </c>
      <c r="I235" s="21">
        <f t="shared" ref="I235:W235" si="81">I154-H154</f>
        <v>880000</v>
      </c>
      <c r="J235" s="21">
        <f t="shared" si="81"/>
        <v>-5640000</v>
      </c>
      <c r="K235" s="21">
        <f t="shared" si="81"/>
        <v>3450000</v>
      </c>
      <c r="L235" s="21">
        <f t="shared" si="81"/>
        <v>5720000</v>
      </c>
      <c r="M235" s="21">
        <f t="shared" si="81"/>
        <v>9080000</v>
      </c>
      <c r="N235" s="21">
        <f t="shared" si="81"/>
        <v>0</v>
      </c>
      <c r="O235" s="21">
        <f t="shared" si="81"/>
        <v>0</v>
      </c>
      <c r="P235" s="21">
        <f t="shared" si="81"/>
        <v>0</v>
      </c>
      <c r="Q235" s="21">
        <f t="shared" si="81"/>
        <v>0</v>
      </c>
      <c r="R235" s="21">
        <f t="shared" si="81"/>
        <v>0</v>
      </c>
      <c r="S235" s="21">
        <f t="shared" si="81"/>
        <v>0</v>
      </c>
      <c r="T235" s="21">
        <f t="shared" si="81"/>
        <v>0</v>
      </c>
      <c r="U235" s="21">
        <f t="shared" si="81"/>
        <v>0</v>
      </c>
      <c r="V235" s="21">
        <f t="shared" si="81"/>
        <v>0</v>
      </c>
      <c r="W235" s="21">
        <f t="shared" si="81"/>
        <v>0</v>
      </c>
    </row>
    <row r="236" spans="2:23" ht="15" thickBot="1">
      <c r="D236" s="35" t="s">
        <v>360</v>
      </c>
      <c r="E236" s="35"/>
      <c r="F236" s="35"/>
      <c r="G236" s="35"/>
      <c r="H236" s="48">
        <f>H233-H234+H235</f>
        <v>-28166000.000000015</v>
      </c>
      <c r="I236" s="48">
        <f t="shared" ref="I236:W236" si="82">I233-I234+I235</f>
        <v>16666000.000000015</v>
      </c>
      <c r="J236" s="48">
        <f t="shared" si="82"/>
        <v>3720000</v>
      </c>
      <c r="K236" s="48">
        <f t="shared" si="82"/>
        <v>10140000</v>
      </c>
      <c r="L236" s="48">
        <f>L233-L234+L235</f>
        <v>1480000</v>
      </c>
      <c r="M236" s="48">
        <f>M233-M234+M235</f>
        <v>1819416.0118877515</v>
      </c>
      <c r="N236" s="48">
        <f t="shared" si="82"/>
        <v>3232871.25</v>
      </c>
      <c r="O236" s="48">
        <f t="shared" si="82"/>
        <v>3232871.25</v>
      </c>
      <c r="P236" s="48">
        <f t="shared" si="82"/>
        <v>3232871.25</v>
      </c>
      <c r="Q236" s="48">
        <f t="shared" si="82"/>
        <v>3232871.25</v>
      </c>
      <c r="R236" s="48">
        <f t="shared" si="82"/>
        <v>3232871.25</v>
      </c>
      <c r="S236" s="48">
        <f t="shared" si="82"/>
        <v>3232871.25</v>
      </c>
      <c r="T236" s="48">
        <f t="shared" si="82"/>
        <v>3232871.25</v>
      </c>
      <c r="U236" s="48">
        <f t="shared" si="82"/>
        <v>3232871.25</v>
      </c>
      <c r="V236" s="48">
        <f t="shared" si="82"/>
        <v>3232871.25</v>
      </c>
      <c r="W236" s="48">
        <f t="shared" si="82"/>
        <v>3232871.25</v>
      </c>
    </row>
    <row r="237" spans="2:23">
      <c r="C237" s="18" t="s">
        <v>675</v>
      </c>
      <c r="H237" s="21">
        <f>H199-G199</f>
        <v>18094000.25</v>
      </c>
      <c r="I237" s="21">
        <f t="shared" ref="I237:W237" si="83">I199-H199</f>
        <v>7379999.75</v>
      </c>
      <c r="J237" s="21">
        <f t="shared" si="83"/>
        <v>-2454000</v>
      </c>
      <c r="K237" s="21">
        <f t="shared" si="83"/>
        <v>-510000</v>
      </c>
      <c r="L237" s="21">
        <f t="shared" si="83"/>
        <v>405000.25</v>
      </c>
      <c r="M237" s="21">
        <f t="shared" si="83"/>
        <v>0</v>
      </c>
      <c r="N237" s="21">
        <f t="shared" si="83"/>
        <v>0</v>
      </c>
      <c r="O237" s="21">
        <f t="shared" si="83"/>
        <v>0</v>
      </c>
      <c r="P237" s="21">
        <f t="shared" si="83"/>
        <v>0</v>
      </c>
      <c r="Q237" s="21">
        <f t="shared" si="83"/>
        <v>0</v>
      </c>
      <c r="R237" s="21">
        <f t="shared" si="83"/>
        <v>0</v>
      </c>
      <c r="S237" s="21">
        <f t="shared" si="83"/>
        <v>0</v>
      </c>
      <c r="T237" s="21">
        <f t="shared" si="83"/>
        <v>0</v>
      </c>
      <c r="U237" s="21">
        <f t="shared" si="83"/>
        <v>0</v>
      </c>
      <c r="V237" s="21">
        <f t="shared" si="83"/>
        <v>0</v>
      </c>
      <c r="W237" s="21">
        <f t="shared" si="83"/>
        <v>0</v>
      </c>
    </row>
    <row r="238" spans="2:23">
      <c r="C238" s="18" t="s">
        <v>676</v>
      </c>
      <c r="H238" s="21">
        <f>H200-G200</f>
        <v>34300000.25</v>
      </c>
      <c r="I238" s="21">
        <f t="shared" ref="I238:W238" si="84">I200-H200</f>
        <v>-1646000.25</v>
      </c>
      <c r="J238" s="21">
        <f t="shared" si="84"/>
        <v>-2144000</v>
      </c>
      <c r="K238" s="21">
        <f t="shared" si="84"/>
        <v>-4620000</v>
      </c>
      <c r="L238" s="21">
        <f t="shared" si="84"/>
        <v>2005000.25</v>
      </c>
      <c r="M238" s="21">
        <f t="shared" si="84"/>
        <v>0</v>
      </c>
      <c r="N238" s="21">
        <f t="shared" si="84"/>
        <v>0</v>
      </c>
      <c r="O238" s="21">
        <f t="shared" si="84"/>
        <v>0</v>
      </c>
      <c r="P238" s="21">
        <f t="shared" si="84"/>
        <v>0</v>
      </c>
      <c r="Q238" s="21">
        <f t="shared" si="84"/>
        <v>0</v>
      </c>
      <c r="R238" s="21">
        <f t="shared" si="84"/>
        <v>0</v>
      </c>
      <c r="S238" s="21">
        <f t="shared" si="84"/>
        <v>0</v>
      </c>
      <c r="T238" s="21">
        <f t="shared" si="84"/>
        <v>0</v>
      </c>
      <c r="U238" s="21">
        <f t="shared" si="84"/>
        <v>0</v>
      </c>
      <c r="V238" s="21">
        <f t="shared" si="84"/>
        <v>0</v>
      </c>
      <c r="W238" s="21">
        <f t="shared" si="84"/>
        <v>0</v>
      </c>
    </row>
    <row r="239" spans="2:23" ht="15" thickBot="1">
      <c r="D239" s="35" t="s">
        <v>360</v>
      </c>
      <c r="E239" s="35"/>
      <c r="F239" s="35"/>
      <c r="G239" s="35"/>
      <c r="H239" s="48">
        <f>H236-H237+H238</f>
        <v>-11960000.000000015</v>
      </c>
      <c r="I239" s="48">
        <f t="shared" ref="I239:W239" si="85">I236-I237+I238</f>
        <v>7640000.0000000149</v>
      </c>
      <c r="J239" s="48">
        <f t="shared" si="85"/>
        <v>4030000</v>
      </c>
      <c r="K239" s="48">
        <f t="shared" si="85"/>
        <v>6030000</v>
      </c>
      <c r="L239" s="48">
        <f t="shared" si="85"/>
        <v>3080000</v>
      </c>
      <c r="M239" s="48">
        <f t="shared" si="85"/>
        <v>1819416.0118877515</v>
      </c>
      <c r="N239" s="48">
        <f t="shared" si="85"/>
        <v>3232871.25</v>
      </c>
      <c r="O239" s="48">
        <f t="shared" si="85"/>
        <v>3232871.25</v>
      </c>
      <c r="P239" s="48">
        <f t="shared" si="85"/>
        <v>3232871.25</v>
      </c>
      <c r="Q239" s="48">
        <f t="shared" si="85"/>
        <v>3232871.25</v>
      </c>
      <c r="R239" s="48">
        <f t="shared" si="85"/>
        <v>3232871.25</v>
      </c>
      <c r="S239" s="48">
        <f t="shared" si="85"/>
        <v>3232871.25</v>
      </c>
      <c r="T239" s="48">
        <f t="shared" si="85"/>
        <v>3232871.25</v>
      </c>
      <c r="U239" s="48">
        <f t="shared" si="85"/>
        <v>3232871.25</v>
      </c>
      <c r="V239" s="48">
        <f t="shared" si="85"/>
        <v>3232871.25</v>
      </c>
      <c r="W239" s="48">
        <f t="shared" si="85"/>
        <v>3232871.25</v>
      </c>
    </row>
    <row r="240" spans="2:23">
      <c r="C240" s="18" t="s">
        <v>361</v>
      </c>
      <c r="H240" s="19">
        <f>H239</f>
        <v>-11960000.000000015</v>
      </c>
      <c r="I240" s="19">
        <f t="shared" ref="I240:W240" si="86">I239</f>
        <v>7640000.0000000149</v>
      </c>
      <c r="J240" s="19">
        <f t="shared" si="86"/>
        <v>4030000</v>
      </c>
      <c r="K240" s="19">
        <f t="shared" si="86"/>
        <v>6030000</v>
      </c>
      <c r="L240" s="19">
        <f t="shared" si="86"/>
        <v>3080000</v>
      </c>
      <c r="M240" s="19">
        <f t="shared" si="86"/>
        <v>1819416.0118877515</v>
      </c>
      <c r="N240" s="19">
        <f t="shared" si="86"/>
        <v>3232871.25</v>
      </c>
      <c r="O240" s="19">
        <f t="shared" si="86"/>
        <v>3232871.25</v>
      </c>
      <c r="P240" s="19">
        <f t="shared" si="86"/>
        <v>3232871.25</v>
      </c>
      <c r="Q240" s="19">
        <f t="shared" si="86"/>
        <v>3232871.25</v>
      </c>
      <c r="R240" s="19">
        <f t="shared" si="86"/>
        <v>3232871.25</v>
      </c>
      <c r="S240" s="19">
        <f t="shared" si="86"/>
        <v>3232871.25</v>
      </c>
      <c r="T240" s="19">
        <f t="shared" si="86"/>
        <v>3232871.25</v>
      </c>
      <c r="U240" s="19">
        <f t="shared" si="86"/>
        <v>3232871.25</v>
      </c>
      <c r="V240" s="19">
        <f t="shared" si="86"/>
        <v>3232871.25</v>
      </c>
      <c r="W240" s="19">
        <f t="shared" si="86"/>
        <v>3232871.25</v>
      </c>
    </row>
    <row r="241" spans="2:23">
      <c r="C241" s="18" t="s">
        <v>677</v>
      </c>
    </row>
    <row r="242" spans="2:23" ht="15" thickBot="1">
      <c r="D242" s="35" t="s">
        <v>360</v>
      </c>
      <c r="E242" s="35"/>
      <c r="F242" s="35"/>
      <c r="G242" s="35"/>
      <c r="H242" s="49">
        <f>H239-H240+H241</f>
        <v>0</v>
      </c>
      <c r="I242" s="49">
        <f t="shared" ref="I242:W242" si="87">I239-I240+I241</f>
        <v>0</v>
      </c>
      <c r="J242" s="49">
        <f t="shared" si="87"/>
        <v>0</v>
      </c>
      <c r="K242" s="49">
        <f t="shared" si="87"/>
        <v>0</v>
      </c>
      <c r="L242" s="49">
        <f t="shared" si="87"/>
        <v>0</v>
      </c>
      <c r="M242" s="49">
        <f t="shared" si="87"/>
        <v>0</v>
      </c>
      <c r="N242" s="49">
        <f t="shared" si="87"/>
        <v>0</v>
      </c>
      <c r="O242" s="49">
        <f t="shared" si="87"/>
        <v>0</v>
      </c>
      <c r="P242" s="49">
        <f t="shared" si="87"/>
        <v>0</v>
      </c>
      <c r="Q242" s="49">
        <f t="shared" si="87"/>
        <v>0</v>
      </c>
      <c r="R242" s="49">
        <f t="shared" si="87"/>
        <v>0</v>
      </c>
      <c r="S242" s="49">
        <f t="shared" si="87"/>
        <v>0</v>
      </c>
      <c r="T242" s="49">
        <f t="shared" si="87"/>
        <v>0</v>
      </c>
      <c r="U242" s="49">
        <f t="shared" si="87"/>
        <v>0</v>
      </c>
      <c r="V242" s="49">
        <f t="shared" si="87"/>
        <v>0</v>
      </c>
      <c r="W242" s="49">
        <f t="shared" si="87"/>
        <v>0</v>
      </c>
    </row>
    <row r="244" spans="2:23">
      <c r="B244" s="18" t="s">
        <v>270</v>
      </c>
    </row>
    <row r="245" spans="2:23">
      <c r="C245" s="18" t="s">
        <v>466</v>
      </c>
    </row>
    <row r="246" spans="2:23">
      <c r="D246" s="18" t="s">
        <v>51</v>
      </c>
      <c r="H246" s="19">
        <f>G250</f>
        <v>0</v>
      </c>
      <c r="I246" s="19">
        <f t="shared" ref="I246:W246" si="88">H250</f>
        <v>15980000</v>
      </c>
      <c r="J246" s="19">
        <f t="shared" si="88"/>
        <v>14620000</v>
      </c>
      <c r="K246" s="19">
        <f t="shared" si="88"/>
        <v>18350000</v>
      </c>
      <c r="L246" s="19">
        <f t="shared" si="88"/>
        <v>17710000</v>
      </c>
      <c r="M246" s="19">
        <f t="shared" si="88"/>
        <v>20480000</v>
      </c>
      <c r="N246" s="19">
        <f t="shared" si="88"/>
        <v>24903400</v>
      </c>
      <c r="O246" s="19">
        <f t="shared" si="88"/>
        <v>24903400</v>
      </c>
      <c r="P246" s="19">
        <f t="shared" si="88"/>
        <v>24903400</v>
      </c>
      <c r="Q246" s="19">
        <f t="shared" si="88"/>
        <v>24903400</v>
      </c>
      <c r="R246" s="19">
        <f t="shared" si="88"/>
        <v>24903400</v>
      </c>
      <c r="S246" s="19">
        <f t="shared" si="88"/>
        <v>24903400</v>
      </c>
      <c r="T246" s="19">
        <f t="shared" si="88"/>
        <v>24903400</v>
      </c>
      <c r="U246" s="19">
        <f t="shared" si="88"/>
        <v>24903400</v>
      </c>
      <c r="V246" s="19">
        <f t="shared" si="88"/>
        <v>24903400</v>
      </c>
      <c r="W246" s="19">
        <f t="shared" si="88"/>
        <v>24903400</v>
      </c>
    </row>
    <row r="247" spans="2:23">
      <c r="D247" s="18" t="s">
        <v>52</v>
      </c>
      <c r="H247" s="21">
        <f t="shared" ref="H247:W247" si="89">H221</f>
        <v>6330000</v>
      </c>
      <c r="I247" s="21">
        <f t="shared" si="89"/>
        <v>6330000</v>
      </c>
      <c r="J247" s="21">
        <f t="shared" si="89"/>
        <v>6020000</v>
      </c>
      <c r="K247" s="21">
        <f t="shared" si="89"/>
        <v>5390000</v>
      </c>
      <c r="L247" s="21">
        <f t="shared" si="89"/>
        <v>5730000</v>
      </c>
      <c r="M247" s="21">
        <f t="shared" si="89"/>
        <v>6242816.0118877515</v>
      </c>
      <c r="N247" s="21">
        <f t="shared" si="89"/>
        <v>3232871.25</v>
      </c>
      <c r="O247" s="21">
        <f t="shared" si="89"/>
        <v>3232871.25</v>
      </c>
      <c r="P247" s="21">
        <f t="shared" si="89"/>
        <v>3232871.25</v>
      </c>
      <c r="Q247" s="21">
        <f t="shared" si="89"/>
        <v>3232871.25</v>
      </c>
      <c r="R247" s="21">
        <f t="shared" si="89"/>
        <v>3232871.25</v>
      </c>
      <c r="S247" s="21">
        <f t="shared" si="89"/>
        <v>3232871.25</v>
      </c>
      <c r="T247" s="21">
        <f t="shared" si="89"/>
        <v>3232871.25</v>
      </c>
      <c r="U247" s="21">
        <f t="shared" si="89"/>
        <v>3232871.25</v>
      </c>
      <c r="V247" s="21">
        <f t="shared" si="89"/>
        <v>3232871.25</v>
      </c>
      <c r="W247" s="21">
        <f t="shared" si="89"/>
        <v>3232871.25</v>
      </c>
    </row>
    <row r="248" spans="2:23">
      <c r="D248" s="18" t="s">
        <v>361</v>
      </c>
      <c r="H248" s="21">
        <f>H240</f>
        <v>-11960000.000000015</v>
      </c>
      <c r="I248" s="21">
        <f t="shared" ref="I248:W248" si="90">I240</f>
        <v>7640000.0000000149</v>
      </c>
      <c r="J248" s="21">
        <f t="shared" si="90"/>
        <v>4030000</v>
      </c>
      <c r="K248" s="21">
        <f t="shared" si="90"/>
        <v>6030000</v>
      </c>
      <c r="L248" s="21">
        <f t="shared" si="90"/>
        <v>3080000</v>
      </c>
      <c r="M248" s="21">
        <f t="shared" si="90"/>
        <v>1819416.0118877515</v>
      </c>
      <c r="N248" s="21">
        <f t="shared" si="90"/>
        <v>3232871.25</v>
      </c>
      <c r="O248" s="21">
        <f t="shared" si="90"/>
        <v>3232871.25</v>
      </c>
      <c r="P248" s="21">
        <f t="shared" si="90"/>
        <v>3232871.25</v>
      </c>
      <c r="Q248" s="21">
        <f t="shared" si="90"/>
        <v>3232871.25</v>
      </c>
      <c r="R248" s="21">
        <f t="shared" si="90"/>
        <v>3232871.25</v>
      </c>
      <c r="S248" s="21">
        <f t="shared" si="90"/>
        <v>3232871.25</v>
      </c>
      <c r="T248" s="21">
        <f t="shared" si="90"/>
        <v>3232871.25</v>
      </c>
      <c r="U248" s="21">
        <f t="shared" si="90"/>
        <v>3232871.25</v>
      </c>
      <c r="V248" s="21">
        <f t="shared" si="90"/>
        <v>3232871.25</v>
      </c>
      <c r="W248" s="21">
        <f t="shared" si="90"/>
        <v>3232871.25</v>
      </c>
    </row>
    <row r="249" spans="2:23">
      <c r="D249" s="18" t="s">
        <v>670</v>
      </c>
      <c r="H249" s="19">
        <f>H241</f>
        <v>0</v>
      </c>
      <c r="I249" s="19">
        <f t="shared" ref="I249:W249" si="91">I241</f>
        <v>0</v>
      </c>
      <c r="J249" s="19">
        <f t="shared" si="91"/>
        <v>0</v>
      </c>
      <c r="K249" s="19">
        <f t="shared" si="91"/>
        <v>0</v>
      </c>
      <c r="L249" s="19">
        <f t="shared" si="91"/>
        <v>0</v>
      </c>
      <c r="M249" s="19">
        <f t="shared" si="91"/>
        <v>0</v>
      </c>
      <c r="N249" s="19">
        <f t="shared" si="91"/>
        <v>0</v>
      </c>
      <c r="O249" s="19">
        <f t="shared" si="91"/>
        <v>0</v>
      </c>
      <c r="P249" s="19">
        <f t="shared" si="91"/>
        <v>0</v>
      </c>
      <c r="Q249" s="19">
        <f t="shared" si="91"/>
        <v>0</v>
      </c>
      <c r="R249" s="19">
        <f t="shared" si="91"/>
        <v>0</v>
      </c>
      <c r="S249" s="19">
        <f t="shared" si="91"/>
        <v>0</v>
      </c>
      <c r="T249" s="19">
        <f t="shared" si="91"/>
        <v>0</v>
      </c>
      <c r="U249" s="19">
        <f t="shared" si="91"/>
        <v>0</v>
      </c>
      <c r="V249" s="19">
        <f t="shared" si="91"/>
        <v>0</v>
      </c>
      <c r="W249" s="19">
        <f t="shared" si="91"/>
        <v>0</v>
      </c>
    </row>
    <row r="250" spans="2:23">
      <c r="D250" s="18" t="s">
        <v>54</v>
      </c>
      <c r="H250" s="19">
        <f t="shared" ref="H250:W250" si="92">IF(H4,H77,H246+H247-H248+H249)</f>
        <v>15980000</v>
      </c>
      <c r="I250" s="19">
        <f t="shared" si="92"/>
        <v>14620000</v>
      </c>
      <c r="J250" s="19">
        <f t="shared" si="92"/>
        <v>18350000</v>
      </c>
      <c r="K250" s="19">
        <f t="shared" si="92"/>
        <v>17710000</v>
      </c>
      <c r="L250" s="19">
        <f t="shared" si="92"/>
        <v>20480000</v>
      </c>
      <c r="M250" s="19">
        <f t="shared" si="92"/>
        <v>24903400</v>
      </c>
      <c r="N250" s="19">
        <f t="shared" si="92"/>
        <v>24903400</v>
      </c>
      <c r="O250" s="19">
        <f t="shared" si="92"/>
        <v>24903400</v>
      </c>
      <c r="P250" s="19">
        <f t="shared" si="92"/>
        <v>24903400</v>
      </c>
      <c r="Q250" s="19">
        <f t="shared" si="92"/>
        <v>24903400</v>
      </c>
      <c r="R250" s="19">
        <f t="shared" si="92"/>
        <v>24903400</v>
      </c>
      <c r="S250" s="19">
        <f t="shared" si="92"/>
        <v>24903400</v>
      </c>
      <c r="T250" s="19">
        <f t="shared" si="92"/>
        <v>24903400</v>
      </c>
      <c r="U250" s="19">
        <f t="shared" si="92"/>
        <v>24903400</v>
      </c>
      <c r="V250" s="19">
        <f t="shared" si="92"/>
        <v>24903400</v>
      </c>
      <c r="W250" s="19">
        <f t="shared" si="92"/>
        <v>24903400</v>
      </c>
    </row>
    <row r="252" spans="2:23">
      <c r="C252" s="18" t="s">
        <v>271</v>
      </c>
      <c r="M252" s="21"/>
    </row>
    <row r="253" spans="2:23">
      <c r="D253" s="18" t="s">
        <v>559</v>
      </c>
      <c r="H253" s="21">
        <f>H191</f>
        <v>2040000</v>
      </c>
      <c r="I253" s="21">
        <f t="shared" ref="I253:W253" si="93">I191</f>
        <v>2540000</v>
      </c>
      <c r="J253" s="21">
        <f t="shared" si="93"/>
        <v>4660000</v>
      </c>
      <c r="K253" s="21">
        <f t="shared" si="93"/>
        <v>4350000</v>
      </c>
      <c r="L253" s="21">
        <f t="shared" si="93"/>
        <v>4860000</v>
      </c>
      <c r="M253" s="21">
        <f t="shared" si="93"/>
        <v>0</v>
      </c>
      <c r="N253" s="21">
        <f t="shared" si="93"/>
        <v>0</v>
      </c>
      <c r="O253" s="21">
        <f t="shared" si="93"/>
        <v>0</v>
      </c>
      <c r="P253" s="21">
        <f t="shared" si="93"/>
        <v>0</v>
      </c>
      <c r="Q253" s="21">
        <f t="shared" si="93"/>
        <v>0</v>
      </c>
      <c r="R253" s="21">
        <f t="shared" si="93"/>
        <v>0</v>
      </c>
      <c r="S253" s="21">
        <f t="shared" si="93"/>
        <v>0</v>
      </c>
      <c r="T253" s="21">
        <f t="shared" si="93"/>
        <v>0</v>
      </c>
      <c r="U253" s="21">
        <f t="shared" si="93"/>
        <v>0</v>
      </c>
      <c r="V253" s="21">
        <f t="shared" si="93"/>
        <v>0</v>
      </c>
      <c r="W253" s="21">
        <f t="shared" si="93"/>
        <v>0</v>
      </c>
    </row>
    <row r="254" spans="2:23">
      <c r="D254" s="50" t="s">
        <v>560</v>
      </c>
      <c r="H254" s="21">
        <f t="shared" ref="H254:W254" si="94">H158</f>
        <v>116180000.00000001</v>
      </c>
      <c r="I254" s="21">
        <f t="shared" si="94"/>
        <v>105920000</v>
      </c>
      <c r="J254" s="21">
        <f t="shared" si="94"/>
        <v>102680000</v>
      </c>
      <c r="K254" s="21">
        <f t="shared" si="94"/>
        <v>101550000</v>
      </c>
      <c r="L254" s="21">
        <f t="shared" si="94"/>
        <v>111500000</v>
      </c>
      <c r="M254" s="21">
        <f t="shared" si="94"/>
        <v>124995000</v>
      </c>
      <c r="N254" s="21">
        <f t="shared" si="94"/>
        <v>124995000</v>
      </c>
      <c r="O254" s="21">
        <f t="shared" si="94"/>
        <v>124995000</v>
      </c>
      <c r="P254" s="21">
        <f t="shared" si="94"/>
        <v>124995000</v>
      </c>
      <c r="Q254" s="21">
        <f t="shared" si="94"/>
        <v>124995000</v>
      </c>
      <c r="R254" s="21">
        <f t="shared" si="94"/>
        <v>124995000</v>
      </c>
      <c r="S254" s="21">
        <f t="shared" si="94"/>
        <v>124995000</v>
      </c>
      <c r="T254" s="21">
        <f t="shared" si="94"/>
        <v>124995000</v>
      </c>
      <c r="U254" s="21">
        <f t="shared" si="94"/>
        <v>124995000</v>
      </c>
      <c r="V254" s="21">
        <f t="shared" si="94"/>
        <v>124995000</v>
      </c>
      <c r="W254" s="21">
        <f t="shared" si="94"/>
        <v>124995000</v>
      </c>
    </row>
    <row r="255" spans="2:23">
      <c r="D255" s="18" t="s">
        <v>561</v>
      </c>
      <c r="H255" s="21">
        <f t="shared" ref="H255:W255" si="95">H198</f>
        <v>975999.99999999988</v>
      </c>
      <c r="I255" s="21">
        <f t="shared" si="95"/>
        <v>1779999.9999999998</v>
      </c>
      <c r="J255" s="21">
        <f t="shared" si="95"/>
        <v>1680000</v>
      </c>
      <c r="K255" s="21">
        <f t="shared" si="95"/>
        <v>1510000</v>
      </c>
      <c r="L255" s="21">
        <f t="shared" si="95"/>
        <v>1530000</v>
      </c>
      <c r="M255" s="21">
        <f t="shared" si="95"/>
        <v>1538400</v>
      </c>
      <c r="N255" s="21">
        <f t="shared" si="95"/>
        <v>1538400</v>
      </c>
      <c r="O255" s="21">
        <f t="shared" si="95"/>
        <v>1538400</v>
      </c>
      <c r="P255" s="21">
        <f t="shared" si="95"/>
        <v>1538400</v>
      </c>
      <c r="Q255" s="21">
        <f t="shared" si="95"/>
        <v>1538400</v>
      </c>
      <c r="R255" s="21">
        <f t="shared" si="95"/>
        <v>1538400</v>
      </c>
      <c r="S255" s="21">
        <f t="shared" si="95"/>
        <v>1538400</v>
      </c>
      <c r="T255" s="21">
        <f t="shared" si="95"/>
        <v>1538400</v>
      </c>
      <c r="U255" s="21">
        <f t="shared" si="95"/>
        <v>1538400</v>
      </c>
      <c r="V255" s="21">
        <f t="shared" si="95"/>
        <v>1538400</v>
      </c>
      <c r="W255" s="21">
        <f t="shared" si="95"/>
        <v>1538400</v>
      </c>
    </row>
    <row r="256" spans="2:23">
      <c r="D256" s="18" t="s">
        <v>172</v>
      </c>
      <c r="H256" s="21">
        <f t="shared" ref="H256:W256" si="96">H199</f>
        <v>18094000.25</v>
      </c>
      <c r="I256" s="21">
        <f t="shared" si="96"/>
        <v>25474000</v>
      </c>
      <c r="J256" s="21">
        <f t="shared" si="96"/>
        <v>23020000</v>
      </c>
      <c r="K256" s="21">
        <f t="shared" si="96"/>
        <v>22510000</v>
      </c>
      <c r="L256" s="21">
        <f t="shared" si="96"/>
        <v>22915000.25</v>
      </c>
      <c r="M256" s="21">
        <f t="shared" si="96"/>
        <v>22915000.25</v>
      </c>
      <c r="N256" s="21">
        <f t="shared" si="96"/>
        <v>22915000.25</v>
      </c>
      <c r="O256" s="21">
        <f t="shared" si="96"/>
        <v>22915000.25</v>
      </c>
      <c r="P256" s="21">
        <f t="shared" si="96"/>
        <v>22915000.25</v>
      </c>
      <c r="Q256" s="21">
        <f t="shared" si="96"/>
        <v>22915000.25</v>
      </c>
      <c r="R256" s="21">
        <f t="shared" si="96"/>
        <v>22915000.25</v>
      </c>
      <c r="S256" s="21">
        <f t="shared" si="96"/>
        <v>22915000.25</v>
      </c>
      <c r="T256" s="21">
        <f t="shared" si="96"/>
        <v>22915000.25</v>
      </c>
      <c r="U256" s="21">
        <f t="shared" si="96"/>
        <v>22915000.25</v>
      </c>
      <c r="V256" s="21">
        <f t="shared" si="96"/>
        <v>22915000.25</v>
      </c>
      <c r="W256" s="21">
        <f t="shared" si="96"/>
        <v>22915000.25</v>
      </c>
    </row>
    <row r="257" spans="3:23" ht="15" thickBot="1">
      <c r="D257" s="35" t="s">
        <v>282</v>
      </c>
      <c r="E257" s="35"/>
      <c r="F257" s="35"/>
      <c r="G257" s="35"/>
      <c r="H257" s="48">
        <f>SUM(H253:H256)</f>
        <v>137290000.25</v>
      </c>
      <c r="I257" s="48">
        <f t="shared" ref="I257:W257" si="97">SUM(I253:I256)</f>
        <v>135714000</v>
      </c>
      <c r="J257" s="48">
        <f t="shared" si="97"/>
        <v>132040000</v>
      </c>
      <c r="K257" s="48">
        <f t="shared" si="97"/>
        <v>129920000</v>
      </c>
      <c r="L257" s="48">
        <f t="shared" si="97"/>
        <v>140805000.25</v>
      </c>
      <c r="M257" s="48">
        <f t="shared" si="97"/>
        <v>149448400.25</v>
      </c>
      <c r="N257" s="48">
        <f t="shared" si="97"/>
        <v>149448400.25</v>
      </c>
      <c r="O257" s="48">
        <f t="shared" si="97"/>
        <v>149448400.25</v>
      </c>
      <c r="P257" s="48">
        <f t="shared" si="97"/>
        <v>149448400.25</v>
      </c>
      <c r="Q257" s="48">
        <f t="shared" si="97"/>
        <v>149448400.25</v>
      </c>
      <c r="R257" s="48">
        <f t="shared" si="97"/>
        <v>149448400.25</v>
      </c>
      <c r="S257" s="48">
        <f t="shared" si="97"/>
        <v>149448400.25</v>
      </c>
      <c r="T257" s="48">
        <f t="shared" si="97"/>
        <v>149448400.25</v>
      </c>
      <c r="U257" s="48">
        <f t="shared" si="97"/>
        <v>149448400.25</v>
      </c>
      <c r="V257" s="48">
        <f t="shared" si="97"/>
        <v>149448400.25</v>
      </c>
      <c r="W257" s="48">
        <f t="shared" si="97"/>
        <v>149448400.25</v>
      </c>
    </row>
    <row r="259" spans="3:23">
      <c r="D259" s="18" t="s">
        <v>668</v>
      </c>
      <c r="H259" s="21">
        <f t="shared" ref="H259:W259" si="98">H257-H63</f>
        <v>0</v>
      </c>
      <c r="I259" s="21">
        <f t="shared" si="98"/>
        <v>0</v>
      </c>
      <c r="J259" s="21">
        <f t="shared" si="98"/>
        <v>0</v>
      </c>
      <c r="K259" s="21">
        <f t="shared" si="98"/>
        <v>0</v>
      </c>
      <c r="L259" s="21">
        <f t="shared" si="98"/>
        <v>0</v>
      </c>
      <c r="M259" s="21">
        <f t="shared" si="98"/>
        <v>2728400.25</v>
      </c>
      <c r="N259" s="21">
        <f t="shared" si="98"/>
        <v>149448400.25</v>
      </c>
      <c r="O259" s="21">
        <f t="shared" si="98"/>
        <v>149448400.25</v>
      </c>
      <c r="P259" s="21">
        <f t="shared" si="98"/>
        <v>149448400.25</v>
      </c>
      <c r="Q259" s="21">
        <f t="shared" si="98"/>
        <v>149448400.25</v>
      </c>
      <c r="R259" s="21">
        <f t="shared" si="98"/>
        <v>149448400.25</v>
      </c>
      <c r="S259" s="21">
        <f t="shared" si="98"/>
        <v>149448400.25</v>
      </c>
      <c r="T259" s="21">
        <f t="shared" si="98"/>
        <v>149448400.25</v>
      </c>
      <c r="U259" s="21">
        <f t="shared" si="98"/>
        <v>149448400.25</v>
      </c>
      <c r="V259" s="21">
        <f t="shared" si="98"/>
        <v>149448400.25</v>
      </c>
      <c r="W259" s="21">
        <f t="shared" si="98"/>
        <v>149448400.25</v>
      </c>
    </row>
    <row r="261" spans="3:23">
      <c r="C261" s="18" t="s">
        <v>669</v>
      </c>
      <c r="M261" s="21"/>
    </row>
    <row r="262" spans="3:23">
      <c r="D262" s="18" t="s">
        <v>567</v>
      </c>
      <c r="H262" s="21">
        <f t="shared" ref="H262:W262" si="99">H154</f>
        <v>82660000</v>
      </c>
      <c r="I262" s="21">
        <f t="shared" si="99"/>
        <v>83540000</v>
      </c>
      <c r="J262" s="21">
        <f t="shared" si="99"/>
        <v>77900000</v>
      </c>
      <c r="K262" s="21">
        <f t="shared" si="99"/>
        <v>81350000</v>
      </c>
      <c r="L262" s="21">
        <f t="shared" si="99"/>
        <v>87070000</v>
      </c>
      <c r="M262" s="21">
        <f t="shared" si="99"/>
        <v>96150000</v>
      </c>
      <c r="N262" s="21">
        <f t="shared" si="99"/>
        <v>96150000</v>
      </c>
      <c r="O262" s="21">
        <f t="shared" si="99"/>
        <v>96150000</v>
      </c>
      <c r="P262" s="21">
        <f t="shared" si="99"/>
        <v>96150000</v>
      </c>
      <c r="Q262" s="21">
        <f t="shared" si="99"/>
        <v>96150000</v>
      </c>
      <c r="R262" s="21">
        <f t="shared" si="99"/>
        <v>96150000</v>
      </c>
      <c r="S262" s="21">
        <f t="shared" si="99"/>
        <v>96150000</v>
      </c>
      <c r="T262" s="21">
        <f t="shared" si="99"/>
        <v>96150000</v>
      </c>
      <c r="U262" s="21">
        <f t="shared" si="99"/>
        <v>96150000</v>
      </c>
      <c r="V262" s="21">
        <f t="shared" si="99"/>
        <v>96150000</v>
      </c>
      <c r="W262" s="21">
        <f t="shared" si="99"/>
        <v>96150000</v>
      </c>
    </row>
    <row r="263" spans="3:23">
      <c r="D263" s="18" t="s">
        <v>175</v>
      </c>
      <c r="H263" s="21">
        <f>H192</f>
        <v>4350000</v>
      </c>
      <c r="I263" s="21">
        <f t="shared" ref="I263:W263" si="100">I192</f>
        <v>4900000</v>
      </c>
      <c r="J263" s="21">
        <f t="shared" si="100"/>
        <v>5280000</v>
      </c>
      <c r="K263" s="21">
        <f t="shared" si="100"/>
        <v>4970000</v>
      </c>
      <c r="L263" s="21">
        <f t="shared" si="100"/>
        <v>5360000</v>
      </c>
      <c r="M263" s="21">
        <f t="shared" si="100"/>
        <v>500000</v>
      </c>
      <c r="N263" s="21">
        <f t="shared" si="100"/>
        <v>500000</v>
      </c>
      <c r="O263" s="21">
        <f t="shared" si="100"/>
        <v>500000</v>
      </c>
      <c r="P263" s="21">
        <f t="shared" si="100"/>
        <v>500000</v>
      </c>
      <c r="Q263" s="21">
        <f t="shared" si="100"/>
        <v>500000</v>
      </c>
      <c r="R263" s="21">
        <f t="shared" si="100"/>
        <v>500000</v>
      </c>
      <c r="S263" s="21">
        <f t="shared" si="100"/>
        <v>500000</v>
      </c>
      <c r="T263" s="21">
        <f t="shared" si="100"/>
        <v>500000</v>
      </c>
      <c r="U263" s="21">
        <f t="shared" si="100"/>
        <v>500000</v>
      </c>
      <c r="V263" s="21">
        <f t="shared" si="100"/>
        <v>500000</v>
      </c>
      <c r="W263" s="21">
        <f t="shared" si="100"/>
        <v>500000</v>
      </c>
    </row>
    <row r="264" spans="3:23">
      <c r="D264" s="18" t="s">
        <v>292</v>
      </c>
      <c r="H264" s="21">
        <f t="shared" ref="H264:W264" si="101">H200</f>
        <v>34300000.25</v>
      </c>
      <c r="I264" s="21">
        <f t="shared" si="101"/>
        <v>32654000</v>
      </c>
      <c r="J264" s="21">
        <f t="shared" si="101"/>
        <v>30510000</v>
      </c>
      <c r="K264" s="21">
        <f t="shared" si="101"/>
        <v>25890000</v>
      </c>
      <c r="L264" s="21">
        <f t="shared" si="101"/>
        <v>27895000.25</v>
      </c>
      <c r="M264" s="21">
        <f t="shared" si="101"/>
        <v>27895000.25</v>
      </c>
      <c r="N264" s="21">
        <f t="shared" si="101"/>
        <v>27895000.25</v>
      </c>
      <c r="O264" s="21">
        <f t="shared" si="101"/>
        <v>27895000.25</v>
      </c>
      <c r="P264" s="21">
        <f t="shared" si="101"/>
        <v>27895000.25</v>
      </c>
      <c r="Q264" s="21">
        <f t="shared" si="101"/>
        <v>27895000.25</v>
      </c>
      <c r="R264" s="21">
        <f t="shared" si="101"/>
        <v>27895000.25</v>
      </c>
      <c r="S264" s="21">
        <f t="shared" si="101"/>
        <v>27895000.25</v>
      </c>
      <c r="T264" s="21">
        <f t="shared" si="101"/>
        <v>27895000.25</v>
      </c>
      <c r="U264" s="21">
        <f t="shared" si="101"/>
        <v>27895000.25</v>
      </c>
      <c r="V264" s="21">
        <f t="shared" si="101"/>
        <v>27895000.25</v>
      </c>
      <c r="W264" s="21">
        <f t="shared" si="101"/>
        <v>27895000.25</v>
      </c>
    </row>
    <row r="265" spans="3:23" ht="15" thickBot="1">
      <c r="D265" s="35" t="s">
        <v>294</v>
      </c>
      <c r="E265" s="35"/>
      <c r="F265" s="35"/>
      <c r="G265" s="35"/>
      <c r="H265" s="48">
        <f>SUM(H262:H264)</f>
        <v>121310000.25</v>
      </c>
      <c r="I265" s="48">
        <f t="shared" ref="I265:W265" si="102">SUM(I262:I264)</f>
        <v>121094000</v>
      </c>
      <c r="J265" s="48">
        <f t="shared" si="102"/>
        <v>113690000</v>
      </c>
      <c r="K265" s="48">
        <f t="shared" si="102"/>
        <v>112210000</v>
      </c>
      <c r="L265" s="48">
        <f t="shared" si="102"/>
        <v>120325000.25</v>
      </c>
      <c r="M265" s="48">
        <f t="shared" si="102"/>
        <v>124545000.25</v>
      </c>
      <c r="N265" s="48">
        <f t="shared" si="102"/>
        <v>124545000.25</v>
      </c>
      <c r="O265" s="48">
        <f t="shared" si="102"/>
        <v>124545000.25</v>
      </c>
      <c r="P265" s="48">
        <f t="shared" si="102"/>
        <v>124545000.25</v>
      </c>
      <c r="Q265" s="48">
        <f t="shared" si="102"/>
        <v>124545000.25</v>
      </c>
      <c r="R265" s="48">
        <f t="shared" si="102"/>
        <v>124545000.25</v>
      </c>
      <c r="S265" s="48">
        <f t="shared" si="102"/>
        <v>124545000.25</v>
      </c>
      <c r="T265" s="48">
        <f t="shared" si="102"/>
        <v>124545000.25</v>
      </c>
      <c r="U265" s="48">
        <f t="shared" si="102"/>
        <v>124545000.25</v>
      </c>
      <c r="V265" s="48">
        <f t="shared" si="102"/>
        <v>124545000.25</v>
      </c>
      <c r="W265" s="48">
        <f t="shared" si="102"/>
        <v>124545000.25</v>
      </c>
    </row>
    <row r="267" spans="3:23">
      <c r="D267" s="18" t="s">
        <v>295</v>
      </c>
      <c r="H267" s="21">
        <f>H250</f>
        <v>15980000</v>
      </c>
      <c r="I267" s="21">
        <f t="shared" ref="I267:W267" si="103">I250</f>
        <v>14620000</v>
      </c>
      <c r="J267" s="21">
        <f t="shared" si="103"/>
        <v>18350000</v>
      </c>
      <c r="K267" s="21">
        <f t="shared" si="103"/>
        <v>17710000</v>
      </c>
      <c r="L267" s="21">
        <f t="shared" si="103"/>
        <v>20480000</v>
      </c>
      <c r="M267" s="21">
        <f t="shared" si="103"/>
        <v>24903400</v>
      </c>
      <c r="N267" s="21">
        <f t="shared" si="103"/>
        <v>24903400</v>
      </c>
      <c r="O267" s="21">
        <f t="shared" si="103"/>
        <v>24903400</v>
      </c>
      <c r="P267" s="21">
        <f t="shared" si="103"/>
        <v>24903400</v>
      </c>
      <c r="Q267" s="21">
        <f t="shared" si="103"/>
        <v>24903400</v>
      </c>
      <c r="R267" s="21">
        <f t="shared" si="103"/>
        <v>24903400</v>
      </c>
      <c r="S267" s="21">
        <f t="shared" si="103"/>
        <v>24903400</v>
      </c>
      <c r="T267" s="21">
        <f t="shared" si="103"/>
        <v>24903400</v>
      </c>
      <c r="U267" s="21">
        <f t="shared" si="103"/>
        <v>24903400</v>
      </c>
      <c r="V267" s="21">
        <f t="shared" si="103"/>
        <v>24903400</v>
      </c>
      <c r="W267" s="21">
        <f t="shared" si="103"/>
        <v>24903400</v>
      </c>
    </row>
    <row r="268" spans="3:23" ht="15" thickBot="1">
      <c r="D268" s="35" t="s">
        <v>283</v>
      </c>
      <c r="E268" s="35"/>
      <c r="F268" s="35"/>
      <c r="G268" s="35"/>
      <c r="H268" s="48">
        <f>H265+H267</f>
        <v>137290000.25</v>
      </c>
      <c r="I268" s="48">
        <f t="shared" ref="I268:W268" si="104">I265+I267</f>
        <v>135714000</v>
      </c>
      <c r="J268" s="48">
        <f t="shared" si="104"/>
        <v>132040000</v>
      </c>
      <c r="K268" s="48">
        <f t="shared" si="104"/>
        <v>129920000</v>
      </c>
      <c r="L268" s="48">
        <f t="shared" si="104"/>
        <v>140805000.25</v>
      </c>
      <c r="M268" s="48">
        <f t="shared" si="104"/>
        <v>149448400.25</v>
      </c>
      <c r="N268" s="48">
        <f t="shared" si="104"/>
        <v>149448400.25</v>
      </c>
      <c r="O268" s="48">
        <f t="shared" si="104"/>
        <v>149448400.25</v>
      </c>
      <c r="P268" s="48">
        <f t="shared" si="104"/>
        <v>149448400.25</v>
      </c>
      <c r="Q268" s="48">
        <f t="shared" si="104"/>
        <v>149448400.25</v>
      </c>
      <c r="R268" s="48">
        <f t="shared" si="104"/>
        <v>149448400.25</v>
      </c>
      <c r="S268" s="48">
        <f t="shared" si="104"/>
        <v>149448400.25</v>
      </c>
      <c r="T268" s="48">
        <f t="shared" si="104"/>
        <v>149448400.25</v>
      </c>
      <c r="U268" s="48">
        <f t="shared" si="104"/>
        <v>149448400.25</v>
      </c>
      <c r="V268" s="48">
        <f t="shared" si="104"/>
        <v>149448400.25</v>
      </c>
      <c r="W268" s="48">
        <f t="shared" si="104"/>
        <v>149448400.25</v>
      </c>
    </row>
    <row r="270" spans="3:23">
      <c r="D270" s="18" t="s">
        <v>62</v>
      </c>
      <c r="H270" s="21">
        <f>H268-H257</f>
        <v>0</v>
      </c>
      <c r="I270" s="21">
        <f t="shared" ref="I270:W270" si="105">I268-I257</f>
        <v>0</v>
      </c>
      <c r="J270" s="21">
        <f t="shared" si="105"/>
        <v>0</v>
      </c>
      <c r="K270" s="21">
        <f t="shared" si="105"/>
        <v>0</v>
      </c>
      <c r="L270" s="21">
        <f t="shared" si="105"/>
        <v>0</v>
      </c>
      <c r="M270" s="21">
        <f t="shared" si="105"/>
        <v>0</v>
      </c>
      <c r="N270" s="21">
        <f t="shared" si="105"/>
        <v>0</v>
      </c>
      <c r="O270" s="21">
        <f t="shared" si="105"/>
        <v>0</v>
      </c>
      <c r="P270" s="21">
        <f t="shared" si="105"/>
        <v>0</v>
      </c>
      <c r="Q270" s="21">
        <f t="shared" si="105"/>
        <v>0</v>
      </c>
      <c r="R270" s="21">
        <f t="shared" si="105"/>
        <v>0</v>
      </c>
      <c r="S270" s="21">
        <f t="shared" si="105"/>
        <v>0</v>
      </c>
      <c r="T270" s="21">
        <f t="shared" si="105"/>
        <v>0</v>
      </c>
      <c r="U270" s="21">
        <f t="shared" si="105"/>
        <v>0</v>
      </c>
      <c r="V270" s="21">
        <f t="shared" si="105"/>
        <v>0</v>
      </c>
      <c r="W270" s="21">
        <f t="shared" si="105"/>
        <v>0</v>
      </c>
    </row>
    <row r="271" spans="3:23">
      <c r="N271" s="21">
        <f>N270-M270</f>
        <v>0</v>
      </c>
      <c r="O271" s="21">
        <f t="shared" ref="O271:W271" si="106">O270-N270</f>
        <v>0</v>
      </c>
      <c r="P271" s="21">
        <f t="shared" si="106"/>
        <v>0</v>
      </c>
      <c r="Q271" s="21">
        <f t="shared" si="106"/>
        <v>0</v>
      </c>
      <c r="R271" s="21">
        <f t="shared" si="106"/>
        <v>0</v>
      </c>
      <c r="S271" s="21">
        <f t="shared" si="106"/>
        <v>0</v>
      </c>
      <c r="T271" s="21">
        <f t="shared" si="106"/>
        <v>0</v>
      </c>
      <c r="U271" s="21">
        <f t="shared" si="106"/>
        <v>0</v>
      </c>
      <c r="V271" s="21">
        <f t="shared" si="106"/>
        <v>0</v>
      </c>
      <c r="W271" s="21">
        <f t="shared" si="106"/>
        <v>0</v>
      </c>
    </row>
    <row r="272" spans="3:23">
      <c r="D272" s="18" t="s">
        <v>524</v>
      </c>
      <c r="H272" s="20">
        <f>H267/H257</f>
        <v>0.11639594996650166</v>
      </c>
      <c r="I272" s="20">
        <f t="shared" ref="I272:W272" si="107">I267/I257</f>
        <v>0.10772654258219491</v>
      </c>
      <c r="J272" s="20">
        <f t="shared" si="107"/>
        <v>0.13897303847318995</v>
      </c>
      <c r="K272" s="20">
        <f t="shared" si="107"/>
        <v>0.13631465517241378</v>
      </c>
      <c r="L272" s="20">
        <f t="shared" si="107"/>
        <v>0.1454493800904631</v>
      </c>
      <c r="M272" s="20">
        <f t="shared" si="107"/>
        <v>0.16663544044861731</v>
      </c>
      <c r="N272" s="20">
        <f t="shared" si="107"/>
        <v>0.16663544044861731</v>
      </c>
      <c r="O272" s="20">
        <f t="shared" si="107"/>
        <v>0.16663544044861731</v>
      </c>
      <c r="P272" s="20">
        <f t="shared" si="107"/>
        <v>0.16663544044861731</v>
      </c>
      <c r="Q272" s="20">
        <f t="shared" si="107"/>
        <v>0.16663544044861731</v>
      </c>
      <c r="R272" s="20">
        <f t="shared" si="107"/>
        <v>0.16663544044861731</v>
      </c>
      <c r="S272" s="20">
        <f t="shared" si="107"/>
        <v>0.16663544044861731</v>
      </c>
      <c r="T272" s="20">
        <f t="shared" si="107"/>
        <v>0.16663544044861731</v>
      </c>
      <c r="U272" s="20">
        <f t="shared" si="107"/>
        <v>0.16663544044861731</v>
      </c>
      <c r="V272" s="20">
        <f t="shared" si="107"/>
        <v>0.16663544044861731</v>
      </c>
      <c r="W272" s="20">
        <f t="shared" si="107"/>
        <v>0.16663544044861731</v>
      </c>
    </row>
    <row r="273" spans="4:23">
      <c r="D273" s="18" t="s">
        <v>702</v>
      </c>
      <c r="H273" s="20">
        <f>H136</f>
        <v>0.11639594996650166</v>
      </c>
      <c r="I273" s="20">
        <f t="shared" ref="I273:W273" si="108">I136</f>
        <v>0.10772654258219491</v>
      </c>
      <c r="J273" s="20">
        <f t="shared" si="108"/>
        <v>0.13897303847318995</v>
      </c>
      <c r="K273" s="20">
        <f t="shared" si="108"/>
        <v>0.13631465517241378</v>
      </c>
      <c r="L273" s="20">
        <f t="shared" si="108"/>
        <v>0.1454493800904631</v>
      </c>
      <c r="M273" s="20">
        <f t="shared" si="108"/>
        <v>0.14980916030534353</v>
      </c>
      <c r="N273" s="20">
        <f t="shared" si="108"/>
        <v>0.15</v>
      </c>
      <c r="O273" s="20">
        <f t="shared" si="108"/>
        <v>0.15</v>
      </c>
      <c r="P273" s="20">
        <f t="shared" si="108"/>
        <v>0.15</v>
      </c>
      <c r="Q273" s="20">
        <f t="shared" si="108"/>
        <v>0.15</v>
      </c>
      <c r="R273" s="20">
        <f t="shared" si="108"/>
        <v>0.15</v>
      </c>
      <c r="S273" s="20">
        <f t="shared" si="108"/>
        <v>0.15</v>
      </c>
      <c r="T273" s="20">
        <f t="shared" si="108"/>
        <v>0.15</v>
      </c>
      <c r="U273" s="20">
        <f t="shared" si="108"/>
        <v>0.15</v>
      </c>
      <c r="V273" s="20">
        <f t="shared" si="108"/>
        <v>0.15</v>
      </c>
      <c r="W273" s="20">
        <f t="shared" si="108"/>
        <v>0.15</v>
      </c>
    </row>
    <row r="274" spans="4:23">
      <c r="D274" s="18" t="s">
        <v>62</v>
      </c>
      <c r="H274" s="20">
        <f>H272-H273</f>
        <v>0</v>
      </c>
      <c r="I274" s="20">
        <f t="shared" ref="I274:W274" si="109">I272-I273</f>
        <v>0</v>
      </c>
      <c r="J274" s="20">
        <f t="shared" si="109"/>
        <v>0</v>
      </c>
      <c r="K274" s="20">
        <f t="shared" si="109"/>
        <v>0</v>
      </c>
      <c r="L274" s="20">
        <f t="shared" si="109"/>
        <v>0</v>
      </c>
      <c r="M274" s="20">
        <f t="shared" si="109"/>
        <v>1.6826280143273781E-2</v>
      </c>
      <c r="N274" s="20">
        <f t="shared" si="109"/>
        <v>1.6635440448617311E-2</v>
      </c>
      <c r="O274" s="20">
        <f t="shared" si="109"/>
        <v>1.6635440448617311E-2</v>
      </c>
      <c r="P274" s="20">
        <f t="shared" si="109"/>
        <v>1.6635440448617311E-2</v>
      </c>
      <c r="Q274" s="20">
        <f t="shared" si="109"/>
        <v>1.6635440448617311E-2</v>
      </c>
      <c r="R274" s="20">
        <f t="shared" si="109"/>
        <v>1.6635440448617311E-2</v>
      </c>
      <c r="S274" s="20">
        <f t="shared" si="109"/>
        <v>1.6635440448617311E-2</v>
      </c>
      <c r="T274" s="20">
        <f t="shared" si="109"/>
        <v>1.6635440448617311E-2</v>
      </c>
      <c r="U274" s="20">
        <f t="shared" si="109"/>
        <v>1.6635440448617311E-2</v>
      </c>
      <c r="V274" s="20">
        <f t="shared" si="109"/>
        <v>1.6635440448617311E-2</v>
      </c>
      <c r="W274" s="20">
        <f t="shared" si="109"/>
        <v>1.6635440448617311E-2</v>
      </c>
    </row>
    <row r="275" spans="4:23"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</row>
    <row r="276" spans="4:23">
      <c r="D276" s="18" t="s">
        <v>691</v>
      </c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</row>
    <row r="278" spans="4:23">
      <c r="D278" s="18" t="s">
        <v>783</v>
      </c>
    </row>
    <row r="279" spans="4:23">
      <c r="D279" s="18" t="s">
        <v>784</v>
      </c>
    </row>
  </sheetData>
  <conditionalFormatting sqref="A1:XFD1048576">
    <cfRule type="containsText" dxfId="21" priority="5" operator="containsText" text="FALSE">
      <formula>NOT(ISERROR(SEARCH("FALSE",A1)))</formula>
    </cfRule>
    <cfRule type="cellIs" dxfId="20" priority="6" operator="equal">
      <formula>TRUE</formula>
    </cfRule>
  </conditionalFormatting>
  <conditionalFormatting sqref="B176">
    <cfRule type="containsText" dxfId="19" priority="3" operator="containsText" text="FALSE">
      <formula>NOT(ISERROR(SEARCH("FALSE",B176)))</formula>
    </cfRule>
    <cfRule type="cellIs" dxfId="18" priority="4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9" r:id="rId3" name="Check Box 3">
              <controlPr defaultSize="0" autoFill="0" autoLine="0" autoPict="0" macro="[0]!CheckBox2_Click">
                <anchor moveWithCells="1">
                  <from>
                    <xdr:col>6</xdr:col>
                    <xdr:colOff>673100</xdr:colOff>
                    <xdr:row>3</xdr:row>
                    <xdr:rowOff>88900</xdr:rowOff>
                  </from>
                  <to>
                    <xdr:col>7</xdr:col>
                    <xdr:colOff>590550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288BF-98DE-4B4C-B549-8C015003357E}">
  <sheetPr codeName="Sheet27"/>
  <dimension ref="C2:R7"/>
  <sheetViews>
    <sheetView workbookViewId="0">
      <selection activeCell="D1" sqref="D1"/>
    </sheetView>
  </sheetViews>
  <sheetFormatPr defaultRowHeight="14.5"/>
  <sheetData>
    <row r="2" spans="3:18">
      <c r="C2" t="s">
        <v>775</v>
      </c>
      <c r="D2">
        <f>ROW('Aflac Financials'!111:111)</f>
        <v>111</v>
      </c>
    </row>
    <row r="3" spans="3:18">
      <c r="C3" t="s">
        <v>776</v>
      </c>
      <c r="D3">
        <f>ROW('Aflac Financials'!R141)</f>
        <v>141</v>
      </c>
    </row>
    <row r="5" spans="3:18">
      <c r="C5" t="s">
        <v>774</v>
      </c>
      <c r="D5">
        <v>111</v>
      </c>
    </row>
    <row r="7" spans="3:18">
      <c r="G7">
        <f>'Aflac Financials'!H7</f>
        <v>2012</v>
      </c>
      <c r="H7">
        <f>'Aflac Financials'!I7</f>
        <v>2013</v>
      </c>
      <c r="I7">
        <f>'Aflac Financials'!J7</f>
        <v>2014</v>
      </c>
      <c r="J7">
        <f>'Aflac Financials'!K7</f>
        <v>2015</v>
      </c>
      <c r="K7">
        <f>'Aflac Financials'!L7</f>
        <v>2016</v>
      </c>
      <c r="L7">
        <f>'Aflac Financials'!M7</f>
        <v>2017</v>
      </c>
      <c r="M7">
        <f>'Aflac Financials'!N7</f>
        <v>2018</v>
      </c>
      <c r="N7">
        <f>'Aflac Financials'!O7</f>
        <v>2019</v>
      </c>
      <c r="O7">
        <f>'Aflac Financials'!P7</f>
        <v>2020</v>
      </c>
      <c r="P7">
        <f>'Aflac Financials'!Q7</f>
        <v>2021</v>
      </c>
      <c r="Q7">
        <f>'Aflac Financials'!R7</f>
        <v>2022</v>
      </c>
      <c r="R7">
        <f>'Aflac Financials'!S7</f>
        <v>2023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6D406-58AE-4494-8061-F9015829D4FD}">
  <sheetPr codeName="Sheet25"/>
  <dimension ref="B1:H17"/>
  <sheetViews>
    <sheetView showGridLines="0" workbookViewId="0">
      <selection activeCell="J8" sqref="J8"/>
    </sheetView>
  </sheetViews>
  <sheetFormatPr defaultRowHeight="14.5"/>
  <cols>
    <col min="2" max="2" width="15" customWidth="1"/>
  </cols>
  <sheetData>
    <row r="1" spans="2:8">
      <c r="B1" s="18"/>
      <c r="C1" s="18"/>
      <c r="D1" s="43" t="s">
        <v>712</v>
      </c>
      <c r="E1" s="18"/>
    </row>
    <row r="2" spans="2:8">
      <c r="B2" s="18"/>
      <c r="C2" s="18"/>
      <c r="D2" s="18"/>
      <c r="E2" s="43" t="s">
        <v>365</v>
      </c>
    </row>
    <row r="3" spans="2:8">
      <c r="B3" s="18" t="s">
        <v>713</v>
      </c>
      <c r="C3" s="18"/>
      <c r="D3" s="34">
        <v>2.12</v>
      </c>
      <c r="E3" s="20">
        <v>0.20106557377049183</v>
      </c>
      <c r="G3" t="s">
        <v>729</v>
      </c>
      <c r="H3" s="69"/>
    </row>
    <row r="4" spans="2:8">
      <c r="B4" s="18" t="s">
        <v>714</v>
      </c>
      <c r="C4" s="18"/>
      <c r="D4" s="34">
        <v>0.88</v>
      </c>
      <c r="E4" s="20">
        <v>9.1094999070459204E-2</v>
      </c>
      <c r="G4" t="s">
        <v>728</v>
      </c>
      <c r="H4" s="69"/>
    </row>
    <row r="5" spans="2:8">
      <c r="B5" s="18" t="s">
        <v>715</v>
      </c>
      <c r="C5" s="18"/>
      <c r="D5" s="34">
        <v>0.85</v>
      </c>
      <c r="E5" s="20">
        <v>6.9957826841974685E-2</v>
      </c>
    </row>
    <row r="6" spans="2:8">
      <c r="B6" s="18" t="s">
        <v>716</v>
      </c>
      <c r="C6" s="18"/>
      <c r="D6" s="34">
        <v>0.97</v>
      </c>
      <c r="E6" s="20">
        <v>0.10227655986509276</v>
      </c>
    </row>
    <row r="7" spans="2:8">
      <c r="B7" s="18" t="s">
        <v>717</v>
      </c>
      <c r="C7" s="18"/>
      <c r="D7" s="34">
        <v>0.15</v>
      </c>
      <c r="E7" s="20">
        <v>3.8182512409316534E-2</v>
      </c>
    </row>
    <row r="8" spans="2:8">
      <c r="B8" s="18" t="s">
        <v>718</v>
      </c>
      <c r="C8" s="18"/>
      <c r="D8" s="34">
        <v>1.78</v>
      </c>
      <c r="E8" s="20">
        <v>0.1536144578313253</v>
      </c>
    </row>
    <row r="9" spans="2:8">
      <c r="B9" s="18" t="s">
        <v>719</v>
      </c>
      <c r="C9" s="18"/>
      <c r="D9" s="34">
        <v>1.38</v>
      </c>
      <c r="E9" s="20">
        <v>0.13440860215053765</v>
      </c>
    </row>
    <row r="10" spans="2:8">
      <c r="B10" s="18" t="s">
        <v>720</v>
      </c>
      <c r="C10" s="18"/>
      <c r="D10" s="34">
        <v>0.75</v>
      </c>
      <c r="E10" s="20">
        <v>6.9420828025477693E-2</v>
      </c>
    </row>
    <row r="11" spans="2:8">
      <c r="B11" s="18" t="s">
        <v>721</v>
      </c>
      <c r="C11" s="18"/>
      <c r="D11" s="34">
        <v>1.42</v>
      </c>
      <c r="E11" s="20">
        <v>0.13954434499593166</v>
      </c>
    </row>
    <row r="12" spans="2:8">
      <c r="B12" s="18" t="s">
        <v>722</v>
      </c>
      <c r="C12" s="18"/>
      <c r="D12" s="34">
        <v>1.04</v>
      </c>
      <c r="E12" s="20">
        <v>0.1139819674337236</v>
      </c>
    </row>
    <row r="13" spans="2:8">
      <c r="B13" s="18" t="s">
        <v>723</v>
      </c>
      <c r="C13" s="18"/>
      <c r="D13" s="34">
        <v>1.63</v>
      </c>
      <c r="E13" s="20">
        <v>0.14165464165464164</v>
      </c>
    </row>
    <row r="14" spans="2:8">
      <c r="B14" s="18" t="s">
        <v>724</v>
      </c>
      <c r="C14" s="18"/>
      <c r="D14" s="34">
        <v>1.06</v>
      </c>
      <c r="E14" s="20">
        <v>9.472650924360583E-2</v>
      </c>
    </row>
    <row r="15" spans="2:8">
      <c r="B15" s="18" t="s">
        <v>725</v>
      </c>
      <c r="C15" s="18"/>
      <c r="D15" s="34">
        <v>0.67</v>
      </c>
      <c r="E15" s="20">
        <v>7.0881624910356961E-2</v>
      </c>
    </row>
    <row r="16" spans="2:8">
      <c r="B16" s="18" t="s">
        <v>726</v>
      </c>
      <c r="C16" s="18"/>
      <c r="D16" s="34">
        <v>1.61</v>
      </c>
      <c r="E16" s="20">
        <v>0.13272394881170016</v>
      </c>
    </row>
    <row r="17" spans="2:5">
      <c r="B17" s="18" t="s">
        <v>727</v>
      </c>
      <c r="C17" s="18"/>
      <c r="D17" s="34">
        <v>0.88</v>
      </c>
      <c r="E17" s="20">
        <v>0.10955056179775281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Check Box 1">
              <controlPr defaultSize="0" autoFill="0" autoLine="0" autoPict="0" macro="[0]!CheckBox2_Click">
                <anchor moveWithCells="1">
                  <from>
                    <xdr:col>9</xdr:col>
                    <xdr:colOff>406400</xdr:colOff>
                    <xdr:row>1</xdr:row>
                    <xdr:rowOff>88900</xdr:rowOff>
                  </from>
                  <to>
                    <xdr:col>11</xdr:col>
                    <xdr:colOff>50800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E88D0-BAD8-4A02-9151-0DE7C6CEBC9D}">
  <sheetPr codeName="Sheet24"/>
  <dimension ref="A1:AA96"/>
  <sheetViews>
    <sheetView showGridLines="0" zoomScale="70" zoomScaleNormal="70"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18" sqref="H18"/>
    </sheetView>
  </sheetViews>
  <sheetFormatPr defaultColWidth="8.81640625" defaultRowHeight="14.5"/>
  <cols>
    <col min="1" max="3" width="1.453125" style="18" customWidth="1"/>
    <col min="4" max="4" width="39.1796875" style="18" customWidth="1"/>
    <col min="5" max="5" width="15.453125" style="18" bestFit="1" customWidth="1"/>
    <col min="6" max="6" width="8.81640625" style="18"/>
    <col min="7" max="7" width="9" style="18" bestFit="1" customWidth="1"/>
    <col min="8" max="8" width="16.1796875" style="18" customWidth="1"/>
    <col min="9" max="10" width="17" style="18" customWidth="1"/>
    <col min="11" max="27" width="16.1796875" style="18" customWidth="1"/>
    <col min="28" max="16384" width="8.81640625" style="18"/>
  </cols>
  <sheetData>
    <row r="1" spans="1:27" s="31" customFormat="1">
      <c r="A1" s="31" t="s">
        <v>366</v>
      </c>
    </row>
    <row r="2" spans="1:27">
      <c r="B2" s="18" t="s">
        <v>49</v>
      </c>
      <c r="E2" s="34"/>
      <c r="H2" s="28">
        <v>1</v>
      </c>
      <c r="I2" s="28">
        <v>2</v>
      </c>
      <c r="J2" s="28">
        <v>3</v>
      </c>
      <c r="K2" s="28">
        <v>4</v>
      </c>
      <c r="L2" s="28">
        <v>5</v>
      </c>
      <c r="M2" s="28">
        <v>6</v>
      </c>
      <c r="N2" s="28">
        <v>7</v>
      </c>
      <c r="O2" s="28">
        <v>8</v>
      </c>
      <c r="P2" s="28">
        <v>9</v>
      </c>
      <c r="Q2" s="28">
        <v>10</v>
      </c>
      <c r="R2" s="28">
        <v>11</v>
      </c>
      <c r="S2" s="28">
        <v>12</v>
      </c>
      <c r="T2" s="28">
        <v>13</v>
      </c>
      <c r="U2" s="28">
        <v>14</v>
      </c>
      <c r="V2" s="28">
        <v>15</v>
      </c>
      <c r="W2" s="28">
        <v>16</v>
      </c>
      <c r="X2" s="28">
        <v>17</v>
      </c>
      <c r="Y2" s="28">
        <v>18</v>
      </c>
      <c r="Z2" s="28">
        <v>19</v>
      </c>
      <c r="AA2" s="28">
        <v>20</v>
      </c>
    </row>
    <row r="3" spans="1:27">
      <c r="B3" s="18" t="s">
        <v>70</v>
      </c>
      <c r="H3" s="18">
        <f>E9</f>
        <v>2018</v>
      </c>
      <c r="I3" s="18">
        <f>H3+1</f>
        <v>2019</v>
      </c>
      <c r="J3" s="18">
        <f t="shared" ref="J3:AA3" si="0">I3+1</f>
        <v>2020</v>
      </c>
      <c r="K3" s="18">
        <f t="shared" si="0"/>
        <v>2021</v>
      </c>
      <c r="L3" s="18">
        <f t="shared" si="0"/>
        <v>2022</v>
      </c>
      <c r="M3" s="18">
        <f t="shared" si="0"/>
        <v>2023</v>
      </c>
      <c r="N3" s="18">
        <f t="shared" si="0"/>
        <v>2024</v>
      </c>
      <c r="O3" s="18">
        <f t="shared" si="0"/>
        <v>2025</v>
      </c>
      <c r="P3" s="18">
        <f t="shared" si="0"/>
        <v>2026</v>
      </c>
      <c r="Q3" s="18">
        <f t="shared" si="0"/>
        <v>2027</v>
      </c>
      <c r="R3" s="18">
        <f t="shared" si="0"/>
        <v>2028</v>
      </c>
      <c r="S3" s="18">
        <f t="shared" si="0"/>
        <v>2029</v>
      </c>
      <c r="T3" s="18">
        <f t="shared" si="0"/>
        <v>2030</v>
      </c>
      <c r="U3" s="18">
        <f t="shared" si="0"/>
        <v>2031</v>
      </c>
      <c r="V3" s="18">
        <f t="shared" si="0"/>
        <v>2032</v>
      </c>
      <c r="W3" s="18">
        <f t="shared" si="0"/>
        <v>2033</v>
      </c>
      <c r="X3" s="18">
        <f t="shared" si="0"/>
        <v>2034</v>
      </c>
      <c r="Y3" s="18">
        <f t="shared" si="0"/>
        <v>2035</v>
      </c>
      <c r="Z3" s="18">
        <f t="shared" si="0"/>
        <v>2036</v>
      </c>
      <c r="AA3" s="18">
        <f t="shared" si="0"/>
        <v>2037</v>
      </c>
    </row>
    <row r="4" spans="1:27">
      <c r="B4" s="18" t="s">
        <v>367</v>
      </c>
      <c r="F4" s="18">
        <f>E9</f>
        <v>2018</v>
      </c>
      <c r="G4" s="18">
        <f>E10</f>
        <v>2022</v>
      </c>
      <c r="H4" s="18" t="b">
        <f>H3&lt;=$G$4</f>
        <v>1</v>
      </c>
      <c r="I4" s="18" t="b">
        <f t="shared" ref="I4:AA4" si="1">I3&lt;=$G$4</f>
        <v>1</v>
      </c>
      <c r="J4" s="18" t="b">
        <f t="shared" si="1"/>
        <v>1</v>
      </c>
      <c r="K4" s="18" t="b">
        <f t="shared" si="1"/>
        <v>1</v>
      </c>
      <c r="L4" s="18" t="b">
        <f t="shared" si="1"/>
        <v>1</v>
      </c>
      <c r="M4" s="18" t="b">
        <f t="shared" si="1"/>
        <v>0</v>
      </c>
      <c r="N4" s="18" t="b">
        <f t="shared" si="1"/>
        <v>0</v>
      </c>
      <c r="O4" s="18" t="b">
        <f t="shared" si="1"/>
        <v>0</v>
      </c>
      <c r="P4" s="18" t="b">
        <f t="shared" si="1"/>
        <v>0</v>
      </c>
      <c r="Q4" s="18" t="b">
        <f t="shared" si="1"/>
        <v>0</v>
      </c>
      <c r="R4" s="18" t="b">
        <f t="shared" si="1"/>
        <v>0</v>
      </c>
      <c r="S4" s="18" t="b">
        <f t="shared" si="1"/>
        <v>0</v>
      </c>
      <c r="T4" s="18" t="b">
        <f t="shared" si="1"/>
        <v>0</v>
      </c>
      <c r="U4" s="18" t="b">
        <f t="shared" si="1"/>
        <v>0</v>
      </c>
      <c r="V4" s="18" t="b">
        <f t="shared" si="1"/>
        <v>0</v>
      </c>
      <c r="W4" s="18" t="b">
        <f t="shared" si="1"/>
        <v>0</v>
      </c>
      <c r="X4" s="18" t="b">
        <f t="shared" si="1"/>
        <v>0</v>
      </c>
      <c r="Y4" s="18" t="b">
        <f t="shared" si="1"/>
        <v>0</v>
      </c>
      <c r="Z4" s="18" t="b">
        <f t="shared" si="1"/>
        <v>0</v>
      </c>
      <c r="AA4" s="18" t="b">
        <f t="shared" si="1"/>
        <v>0</v>
      </c>
    </row>
    <row r="5" spans="1:27">
      <c r="B5" s="18" t="s">
        <v>368</v>
      </c>
      <c r="G5" s="18">
        <f>E10</f>
        <v>2022</v>
      </c>
      <c r="H5" s="18" t="b">
        <f>H3=$G$5</f>
        <v>0</v>
      </c>
      <c r="I5" s="18" t="b">
        <f t="shared" ref="I5:AA5" si="2">I3=$G$5</f>
        <v>0</v>
      </c>
      <c r="J5" s="18" t="b">
        <f t="shared" si="2"/>
        <v>0</v>
      </c>
      <c r="K5" s="18" t="b">
        <f t="shared" si="2"/>
        <v>0</v>
      </c>
      <c r="L5" s="18" t="b">
        <f t="shared" si="2"/>
        <v>1</v>
      </c>
      <c r="M5" s="18" t="b">
        <f t="shared" si="2"/>
        <v>0</v>
      </c>
      <c r="N5" s="18" t="b">
        <f t="shared" si="2"/>
        <v>0</v>
      </c>
      <c r="O5" s="18" t="b">
        <f t="shared" si="2"/>
        <v>0</v>
      </c>
      <c r="P5" s="18" t="b">
        <f t="shared" si="2"/>
        <v>0</v>
      </c>
      <c r="Q5" s="18" t="b">
        <f t="shared" si="2"/>
        <v>0</v>
      </c>
      <c r="R5" s="18" t="b">
        <f t="shared" si="2"/>
        <v>0</v>
      </c>
      <c r="S5" s="18" t="b">
        <f t="shared" si="2"/>
        <v>0</v>
      </c>
      <c r="T5" s="18" t="b">
        <f t="shared" si="2"/>
        <v>0</v>
      </c>
      <c r="U5" s="18" t="b">
        <f t="shared" si="2"/>
        <v>0</v>
      </c>
      <c r="V5" s="18" t="b">
        <f t="shared" si="2"/>
        <v>0</v>
      </c>
      <c r="W5" s="18" t="b">
        <f t="shared" si="2"/>
        <v>0</v>
      </c>
      <c r="X5" s="18" t="b">
        <f t="shared" si="2"/>
        <v>0</v>
      </c>
      <c r="Y5" s="18" t="b">
        <f t="shared" si="2"/>
        <v>0</v>
      </c>
      <c r="Z5" s="18" t="b">
        <f t="shared" si="2"/>
        <v>0</v>
      </c>
      <c r="AA5" s="18" t="b">
        <f t="shared" si="2"/>
        <v>0</v>
      </c>
    </row>
    <row r="8" spans="1:27" s="31" customFormat="1">
      <c r="A8" s="31" t="s">
        <v>369</v>
      </c>
    </row>
    <row r="9" spans="1:27">
      <c r="B9" s="18" t="s">
        <v>370</v>
      </c>
      <c r="E9" s="28">
        <v>2018</v>
      </c>
    </row>
    <row r="10" spans="1:27">
      <c r="B10" s="18" t="s">
        <v>367</v>
      </c>
      <c r="E10" s="28">
        <v>2022</v>
      </c>
    </row>
    <row r="12" spans="1:27">
      <c r="B12" s="18" t="s">
        <v>678</v>
      </c>
      <c r="E12" s="29">
        <v>8.5000000000000006E-2</v>
      </c>
    </row>
    <row r="13" spans="1:27">
      <c r="B13" s="18" t="s">
        <v>372</v>
      </c>
      <c r="E13" s="29">
        <v>0.04</v>
      </c>
    </row>
    <row r="14" spans="1:27">
      <c r="B14" s="18" t="s">
        <v>679</v>
      </c>
      <c r="E14" s="37">
        <v>11</v>
      </c>
    </row>
    <row r="15" spans="1:27">
      <c r="B15" s="18" t="s">
        <v>680</v>
      </c>
      <c r="E15" s="29">
        <v>0.15</v>
      </c>
    </row>
    <row r="17" spans="1:27">
      <c r="B17" s="18" t="s">
        <v>687</v>
      </c>
    </row>
    <row r="18" spans="1:27">
      <c r="B18" s="18" t="s">
        <v>688</v>
      </c>
      <c r="E18" s="34">
        <f>'MB Regression'!H4</f>
        <v>0</v>
      </c>
    </row>
    <row r="19" spans="1:27">
      <c r="B19" s="18" t="s">
        <v>689</v>
      </c>
      <c r="E19" s="34">
        <f>'MB Regression'!H3</f>
        <v>0</v>
      </c>
    </row>
    <row r="20" spans="1:27">
      <c r="C20" s="18" t="s">
        <v>690</v>
      </c>
    </row>
    <row r="22" spans="1:27">
      <c r="B22" s="18" t="s">
        <v>681</v>
      </c>
      <c r="E22" s="34">
        <f ca="1">'EV to EBITDA'!E9</f>
        <v>1.3491165055645986</v>
      </c>
    </row>
    <row r="23" spans="1:27">
      <c r="B23" s="18" t="s">
        <v>682</v>
      </c>
      <c r="E23" s="37">
        <v>3.4</v>
      </c>
    </row>
    <row r="24" spans="1:27">
      <c r="B24" s="18" t="s">
        <v>683</v>
      </c>
      <c r="E24" s="29">
        <v>1.2</v>
      </c>
    </row>
    <row r="26" spans="1:27" s="31" customFormat="1">
      <c r="A26" s="31" t="s">
        <v>378</v>
      </c>
    </row>
    <row r="27" spans="1:27">
      <c r="B27" s="18" t="s">
        <v>234</v>
      </c>
      <c r="H27" s="19">
        <f>LOOKUP(H$3,'Aflac Financials'!$7:$7,'Aflac Financials'!221:221)</f>
        <v>3232871.25</v>
      </c>
      <c r="I27" s="19">
        <f>LOOKUP(I$3,'Aflac Financials'!$7:$7,'Aflac Financials'!221:221)</f>
        <v>3232871.25</v>
      </c>
      <c r="J27" s="19">
        <f>LOOKUP(J$3,'Aflac Financials'!$7:$7,'Aflac Financials'!221:221)</f>
        <v>3232871.25</v>
      </c>
      <c r="K27" s="19">
        <f>LOOKUP(K$3,'Aflac Financials'!$7:$7,'Aflac Financials'!221:221)</f>
        <v>3232871.25</v>
      </c>
      <c r="L27" s="19">
        <f>LOOKUP(L$3,'Aflac Financials'!$7:$7,'Aflac Financials'!221:221)</f>
        <v>3232871.25</v>
      </c>
      <c r="M27" s="19">
        <f>LOOKUP(M$3,'Aflac Financials'!$7:$7,'Aflac Financials'!221:221)</f>
        <v>3232871.25</v>
      </c>
      <c r="N27" s="19">
        <f>LOOKUP(N$3,'Aflac Financials'!$7:$7,'Aflac Financials'!221:221)</f>
        <v>3232871.25</v>
      </c>
      <c r="O27" s="19">
        <f>LOOKUP(O$3,'Aflac Financials'!$7:$7,'Aflac Financials'!221:221)</f>
        <v>3232871.25</v>
      </c>
      <c r="P27" s="19">
        <f>LOOKUP(P$3,'Aflac Financials'!$7:$7,'Aflac Financials'!221:221)</f>
        <v>3232871.25</v>
      </c>
      <c r="Q27" s="19">
        <f>LOOKUP(Q$3,'Aflac Financials'!$7:$7,'Aflac Financials'!221:221)</f>
        <v>3232871.25</v>
      </c>
      <c r="R27" s="19">
        <f>LOOKUP(R$3,'Aflac Financials'!$7:$7,'Aflac Financials'!221:221)</f>
        <v>3232871.25</v>
      </c>
      <c r="S27" s="19">
        <f>LOOKUP(S$3,'Aflac Financials'!$7:$7,'Aflac Financials'!221:221)</f>
        <v>3232871.25</v>
      </c>
      <c r="T27" s="19">
        <f>LOOKUP(T$3,'Aflac Financials'!$7:$7,'Aflac Financials'!221:221)</f>
        <v>3232871.25</v>
      </c>
      <c r="U27" s="19">
        <f>LOOKUP(U$3,'Aflac Financials'!$7:$7,'Aflac Financials'!221:221)</f>
        <v>3232871.25</v>
      </c>
      <c r="V27" s="19">
        <f>LOOKUP(V$3,'Aflac Financials'!$7:$7,'Aflac Financials'!221:221)</f>
        <v>3232871.25</v>
      </c>
      <c r="W27" s="19">
        <f>LOOKUP(W$3,'Aflac Financials'!$7:$7,'Aflac Financials'!221:221)</f>
        <v>3232871.25</v>
      </c>
      <c r="X27" s="19">
        <f>LOOKUP(X$3,'Aflac Financials'!$7:$7,'Aflac Financials'!221:221)</f>
        <v>3232871.25</v>
      </c>
      <c r="Y27" s="19">
        <f>LOOKUP(Y$3,'Aflac Financials'!$7:$7,'Aflac Financials'!221:221)</f>
        <v>3232871.25</v>
      </c>
      <c r="Z27" s="19">
        <f>LOOKUP(Z$3,'Aflac Financials'!$7:$7,'Aflac Financials'!221:221)</f>
        <v>3232871.25</v>
      </c>
      <c r="AA27" s="19">
        <f>LOOKUP(AA$3,'Aflac Financials'!$7:$7,'Aflac Financials'!221:221)</f>
        <v>3232871.25</v>
      </c>
    </row>
    <row r="28" spans="1:27">
      <c r="B28" s="18" t="s">
        <v>686</v>
      </c>
      <c r="H28" s="19">
        <f>LOOKUP(H$3,'Aflac Financials'!$7:$7,'Aflac Financials'!267:267)</f>
        <v>24903400</v>
      </c>
      <c r="I28" s="19">
        <f>LOOKUP(I$3,'Aflac Financials'!$7:$7,'Aflac Financials'!267:267)</f>
        <v>24903400</v>
      </c>
      <c r="J28" s="19">
        <f>LOOKUP(J$3,'Aflac Financials'!$7:$7,'Aflac Financials'!267:267)</f>
        <v>24903400</v>
      </c>
      <c r="K28" s="19">
        <f>LOOKUP(K$3,'Aflac Financials'!$7:$7,'Aflac Financials'!267:267)</f>
        <v>24903400</v>
      </c>
      <c r="L28" s="19">
        <f>LOOKUP(L$3,'Aflac Financials'!$7:$7,'Aflac Financials'!267:267)</f>
        <v>24903400</v>
      </c>
      <c r="M28" s="19">
        <f>LOOKUP(M$3,'Aflac Financials'!$7:$7,'Aflac Financials'!267:267)</f>
        <v>24903400</v>
      </c>
      <c r="N28" s="19">
        <f>LOOKUP(N$3,'Aflac Financials'!$7:$7,'Aflac Financials'!267:267)</f>
        <v>24903400</v>
      </c>
      <c r="O28" s="19">
        <f>LOOKUP(O$3,'Aflac Financials'!$7:$7,'Aflac Financials'!267:267)</f>
        <v>24903400</v>
      </c>
      <c r="P28" s="19">
        <f>LOOKUP(P$3,'Aflac Financials'!$7:$7,'Aflac Financials'!267:267)</f>
        <v>24903400</v>
      </c>
      <c r="Q28" s="19">
        <f>LOOKUP(Q$3,'Aflac Financials'!$7:$7,'Aflac Financials'!267:267)</f>
        <v>24903400</v>
      </c>
      <c r="R28" s="19">
        <f>LOOKUP(R$3,'Aflac Financials'!$7:$7,'Aflac Financials'!267:267)</f>
        <v>24903400</v>
      </c>
      <c r="S28" s="19">
        <f>LOOKUP(S$3,'Aflac Financials'!$7:$7,'Aflac Financials'!267:267)</f>
        <v>24903400</v>
      </c>
      <c r="T28" s="19">
        <f>LOOKUP(T$3,'Aflac Financials'!$7:$7,'Aflac Financials'!267:267)</f>
        <v>24903400</v>
      </c>
      <c r="U28" s="19">
        <f>LOOKUP(U$3,'Aflac Financials'!$7:$7,'Aflac Financials'!267:267)</f>
        <v>24903400</v>
      </c>
      <c r="V28" s="19">
        <f>LOOKUP(V$3,'Aflac Financials'!$7:$7,'Aflac Financials'!267:267)</f>
        <v>24903400</v>
      </c>
      <c r="W28" s="19">
        <f>LOOKUP(W$3,'Aflac Financials'!$7:$7,'Aflac Financials'!267:267)</f>
        <v>24903400</v>
      </c>
      <c r="X28" s="19">
        <f>LOOKUP(X$3,'Aflac Financials'!$7:$7,'Aflac Financials'!267:267)</f>
        <v>24903400</v>
      </c>
      <c r="Y28" s="19">
        <f>LOOKUP(Y$3,'Aflac Financials'!$7:$7,'Aflac Financials'!267:267)</f>
        <v>24903400</v>
      </c>
      <c r="Z28" s="19">
        <f>LOOKUP(Z$3,'Aflac Financials'!$7:$7,'Aflac Financials'!267:267)</f>
        <v>24903400</v>
      </c>
      <c r="AA28" s="19">
        <f>LOOKUP(AA$3,'Aflac Financials'!$7:$7,'Aflac Financials'!267:267)</f>
        <v>24903400</v>
      </c>
    </row>
    <row r="29" spans="1:27"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</row>
    <row r="30" spans="1:27">
      <c r="B30" s="18" t="s">
        <v>457</v>
      </c>
      <c r="H30" s="19">
        <f>LOOKUP(H$3,'Aflac Financials'!$7:$7,'Aflac Financials'!240:240)</f>
        <v>3232871.25</v>
      </c>
      <c r="I30" s="19">
        <f>LOOKUP(I$3,'Aflac Financials'!$7:$7,'Aflac Financials'!240:240)</f>
        <v>3232871.25</v>
      </c>
      <c r="J30" s="19">
        <f>LOOKUP(J$3,'Aflac Financials'!$7:$7,'Aflac Financials'!240:240)</f>
        <v>3232871.25</v>
      </c>
      <c r="K30" s="19">
        <f>LOOKUP(K$3,'Aflac Financials'!$7:$7,'Aflac Financials'!240:240)</f>
        <v>3232871.25</v>
      </c>
      <c r="L30" s="19">
        <f>LOOKUP(L$3,'Aflac Financials'!$7:$7,'Aflac Financials'!240:240)</f>
        <v>3232871.25</v>
      </c>
      <c r="M30" s="19">
        <f>LOOKUP(M$3,'Aflac Financials'!$7:$7,'Aflac Financials'!240:240)</f>
        <v>3232871.25</v>
      </c>
      <c r="N30" s="19">
        <f>LOOKUP(N$3,'Aflac Financials'!$7:$7,'Aflac Financials'!240:240)</f>
        <v>3232871.25</v>
      </c>
      <c r="O30" s="19">
        <f>LOOKUP(O$3,'Aflac Financials'!$7:$7,'Aflac Financials'!240:240)</f>
        <v>3232871.25</v>
      </c>
      <c r="P30" s="19">
        <f>LOOKUP(P$3,'Aflac Financials'!$7:$7,'Aflac Financials'!240:240)</f>
        <v>3232871.25</v>
      </c>
      <c r="Q30" s="19">
        <f>LOOKUP(Q$3,'Aflac Financials'!$7:$7,'Aflac Financials'!240:240)</f>
        <v>3232871.25</v>
      </c>
      <c r="R30" s="19">
        <f>LOOKUP(R$3,'Aflac Financials'!$7:$7,'Aflac Financials'!240:240)</f>
        <v>3232871.25</v>
      </c>
      <c r="S30" s="19">
        <f>LOOKUP(S$3,'Aflac Financials'!$7:$7,'Aflac Financials'!240:240)</f>
        <v>3232871.25</v>
      </c>
      <c r="T30" s="19">
        <f>LOOKUP(T$3,'Aflac Financials'!$7:$7,'Aflac Financials'!240:240)</f>
        <v>3232871.25</v>
      </c>
      <c r="U30" s="19">
        <f>LOOKUP(U$3,'Aflac Financials'!$7:$7,'Aflac Financials'!240:240)</f>
        <v>3232871.25</v>
      </c>
      <c r="V30" s="19">
        <f>LOOKUP(V$3,'Aflac Financials'!$7:$7,'Aflac Financials'!240:240)</f>
        <v>3232871.25</v>
      </c>
      <c r="W30" s="19">
        <f>LOOKUP(W$3,'Aflac Financials'!$7:$7,'Aflac Financials'!240:240)</f>
        <v>3232871.25</v>
      </c>
      <c r="X30" s="19">
        <f>LOOKUP(X$3,'Aflac Financials'!$7:$7,'Aflac Financials'!240:240)</f>
        <v>3232871.25</v>
      </c>
      <c r="Y30" s="19">
        <f>LOOKUP(Y$3,'Aflac Financials'!$7:$7,'Aflac Financials'!240:240)</f>
        <v>3232871.25</v>
      </c>
      <c r="Z30" s="19">
        <f>LOOKUP(Z$3,'Aflac Financials'!$7:$7,'Aflac Financials'!240:240)</f>
        <v>3232871.25</v>
      </c>
      <c r="AA30" s="19">
        <f>LOOKUP(AA$3,'Aflac Financials'!$7:$7,'Aflac Financials'!240:240)</f>
        <v>3232871.25</v>
      </c>
    </row>
    <row r="31" spans="1:27">
      <c r="B31" s="18" t="s">
        <v>684</v>
      </c>
      <c r="H31" s="19">
        <f>LOOKUP(H$3,'Aflac Financials'!$7:$7,'Aflac Financials'!241:241)</f>
        <v>0</v>
      </c>
      <c r="I31" s="19">
        <f>LOOKUP(I$3,'Aflac Financials'!$7:$7,'Aflac Financials'!241:241)</f>
        <v>0</v>
      </c>
      <c r="J31" s="19">
        <f>LOOKUP(J$3,'Aflac Financials'!$7:$7,'Aflac Financials'!241:241)</f>
        <v>0</v>
      </c>
      <c r="K31" s="19">
        <f>LOOKUP(K$3,'Aflac Financials'!$7:$7,'Aflac Financials'!241:241)</f>
        <v>0</v>
      </c>
      <c r="L31" s="19">
        <f>LOOKUP(L$3,'Aflac Financials'!$7:$7,'Aflac Financials'!241:241)</f>
        <v>0</v>
      </c>
      <c r="M31" s="19">
        <f>LOOKUP(M$3,'Aflac Financials'!$7:$7,'Aflac Financials'!241:241)</f>
        <v>0</v>
      </c>
      <c r="N31" s="19">
        <f>LOOKUP(N$3,'Aflac Financials'!$7:$7,'Aflac Financials'!241:241)</f>
        <v>0</v>
      </c>
      <c r="O31" s="19">
        <f>LOOKUP(O$3,'Aflac Financials'!$7:$7,'Aflac Financials'!241:241)</f>
        <v>0</v>
      </c>
      <c r="P31" s="19">
        <f>LOOKUP(P$3,'Aflac Financials'!$7:$7,'Aflac Financials'!241:241)</f>
        <v>0</v>
      </c>
      <c r="Q31" s="19">
        <f>LOOKUP(Q$3,'Aflac Financials'!$7:$7,'Aflac Financials'!241:241)</f>
        <v>0</v>
      </c>
      <c r="R31" s="19">
        <f>LOOKUP(R$3,'Aflac Financials'!$7:$7,'Aflac Financials'!241:241)</f>
        <v>0</v>
      </c>
      <c r="S31" s="19">
        <f>LOOKUP(S$3,'Aflac Financials'!$7:$7,'Aflac Financials'!241:241)</f>
        <v>0</v>
      </c>
      <c r="T31" s="19">
        <f>LOOKUP(T$3,'Aflac Financials'!$7:$7,'Aflac Financials'!241:241)</f>
        <v>0</v>
      </c>
      <c r="U31" s="19">
        <f>LOOKUP(U$3,'Aflac Financials'!$7:$7,'Aflac Financials'!241:241)</f>
        <v>0</v>
      </c>
      <c r="V31" s="19">
        <f>LOOKUP(V$3,'Aflac Financials'!$7:$7,'Aflac Financials'!241:241)</f>
        <v>0</v>
      </c>
      <c r="W31" s="19">
        <f>LOOKUP(W$3,'Aflac Financials'!$7:$7,'Aflac Financials'!241:241)</f>
        <v>0</v>
      </c>
      <c r="X31" s="19">
        <f>LOOKUP(X$3,'Aflac Financials'!$7:$7,'Aflac Financials'!241:241)</f>
        <v>0</v>
      </c>
      <c r="Y31" s="19">
        <f>LOOKUP(Y$3,'Aflac Financials'!$7:$7,'Aflac Financials'!241:241)</f>
        <v>0</v>
      </c>
      <c r="Z31" s="19">
        <f>LOOKUP(Z$3,'Aflac Financials'!$7:$7,'Aflac Financials'!241:241)</f>
        <v>0</v>
      </c>
      <c r="AA31" s="19">
        <f>LOOKUP(AA$3,'Aflac Financials'!$7:$7,'Aflac Financials'!241:241)</f>
        <v>0</v>
      </c>
    </row>
    <row r="32" spans="1:27" ht="15" thickBot="1">
      <c r="B32" s="35" t="s">
        <v>685</v>
      </c>
      <c r="C32" s="35"/>
      <c r="D32" s="35"/>
      <c r="E32" s="35"/>
      <c r="F32" s="35"/>
      <c r="G32" s="35"/>
      <c r="H32" s="49">
        <f>H30-H31</f>
        <v>3232871.25</v>
      </c>
      <c r="I32" s="49">
        <f t="shared" ref="I32:AA32" si="3">I30-I31</f>
        <v>3232871.25</v>
      </c>
      <c r="J32" s="49">
        <f t="shared" si="3"/>
        <v>3232871.25</v>
      </c>
      <c r="K32" s="49">
        <f t="shared" si="3"/>
        <v>3232871.25</v>
      </c>
      <c r="L32" s="49">
        <f t="shared" si="3"/>
        <v>3232871.25</v>
      </c>
      <c r="M32" s="49">
        <f t="shared" si="3"/>
        <v>3232871.25</v>
      </c>
      <c r="N32" s="49">
        <f t="shared" si="3"/>
        <v>3232871.25</v>
      </c>
      <c r="O32" s="49">
        <f t="shared" si="3"/>
        <v>3232871.25</v>
      </c>
      <c r="P32" s="49">
        <f t="shared" si="3"/>
        <v>3232871.25</v>
      </c>
      <c r="Q32" s="49">
        <f t="shared" si="3"/>
        <v>3232871.25</v>
      </c>
      <c r="R32" s="49">
        <f t="shared" si="3"/>
        <v>3232871.25</v>
      </c>
      <c r="S32" s="49">
        <f t="shared" si="3"/>
        <v>3232871.25</v>
      </c>
      <c r="T32" s="49">
        <f t="shared" si="3"/>
        <v>3232871.25</v>
      </c>
      <c r="U32" s="49">
        <f t="shared" si="3"/>
        <v>3232871.25</v>
      </c>
      <c r="V32" s="49">
        <f t="shared" si="3"/>
        <v>3232871.25</v>
      </c>
      <c r="W32" s="49">
        <f t="shared" si="3"/>
        <v>3232871.25</v>
      </c>
      <c r="X32" s="49">
        <f t="shared" si="3"/>
        <v>3232871.25</v>
      </c>
      <c r="Y32" s="49">
        <f t="shared" si="3"/>
        <v>3232871.25</v>
      </c>
      <c r="Z32" s="49">
        <f t="shared" si="3"/>
        <v>3232871.25</v>
      </c>
      <c r="AA32" s="49">
        <f t="shared" si="3"/>
        <v>3232871.25</v>
      </c>
    </row>
    <row r="33" spans="1:27"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>
      <c r="B34" s="18" t="s">
        <v>697</v>
      </c>
      <c r="H34" s="19">
        <f>IF(H4,H32)</f>
        <v>3232871.25</v>
      </c>
      <c r="I34" s="19">
        <f t="shared" ref="I34:AA34" si="4">IF(I4,I32)</f>
        <v>3232871.25</v>
      </c>
      <c r="J34" s="19">
        <f t="shared" si="4"/>
        <v>3232871.25</v>
      </c>
      <c r="K34" s="19">
        <f t="shared" si="4"/>
        <v>3232871.25</v>
      </c>
      <c r="L34" s="19">
        <f t="shared" si="4"/>
        <v>3232871.25</v>
      </c>
      <c r="M34" s="19" t="b">
        <f t="shared" si="4"/>
        <v>0</v>
      </c>
      <c r="N34" s="19" t="b">
        <f t="shared" si="4"/>
        <v>0</v>
      </c>
      <c r="O34" s="19" t="b">
        <f t="shared" si="4"/>
        <v>0</v>
      </c>
      <c r="P34" s="19" t="b">
        <f t="shared" si="4"/>
        <v>0</v>
      </c>
      <c r="Q34" s="19" t="b">
        <f t="shared" si="4"/>
        <v>0</v>
      </c>
      <c r="R34" s="19" t="b">
        <f t="shared" si="4"/>
        <v>0</v>
      </c>
      <c r="S34" s="19" t="b">
        <f t="shared" si="4"/>
        <v>0</v>
      </c>
      <c r="T34" s="19" t="b">
        <f t="shared" si="4"/>
        <v>0</v>
      </c>
      <c r="U34" s="19" t="b">
        <f t="shared" si="4"/>
        <v>0</v>
      </c>
      <c r="V34" s="19" t="b">
        <f t="shared" si="4"/>
        <v>0</v>
      </c>
      <c r="W34" s="19" t="b">
        <f t="shared" si="4"/>
        <v>0</v>
      </c>
      <c r="X34" s="19" t="b">
        <f t="shared" si="4"/>
        <v>0</v>
      </c>
      <c r="Y34" s="19" t="b">
        <f t="shared" si="4"/>
        <v>0</v>
      </c>
      <c r="Z34" s="19" t="b">
        <f t="shared" si="4"/>
        <v>0</v>
      </c>
      <c r="AA34" s="19" t="b">
        <f t="shared" si="4"/>
        <v>0</v>
      </c>
    </row>
    <row r="35" spans="1:27"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>
      <c r="B36" s="18" t="s">
        <v>698</v>
      </c>
      <c r="E36" s="19">
        <f>NPV(E12,34:34)</f>
        <v>12739588.483608641</v>
      </c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>
      <c r="B37" s="18" t="s">
        <v>699</v>
      </c>
      <c r="E37" s="19">
        <f>E36*(1+E12)^0.5</f>
        <v>13269980.010681549</v>
      </c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9" spans="1:27" s="31" customFormat="1">
      <c r="A39" s="31" t="s">
        <v>384</v>
      </c>
    </row>
    <row r="41" spans="1:27">
      <c r="B41" s="18" t="s">
        <v>691</v>
      </c>
      <c r="H41" s="93">
        <f>LOOKUP(H$3,'Aflac Financials'!$7:$7,'Aflac Financials'!276:276)</f>
        <v>0</v>
      </c>
      <c r="I41" s="93">
        <f>LOOKUP(I$3,'Aflac Financials'!$7:$7,'Aflac Financials'!276:276)</f>
        <v>0</v>
      </c>
      <c r="J41" s="93">
        <f>LOOKUP(J$3,'Aflac Financials'!$7:$7,'Aflac Financials'!276:276)</f>
        <v>0</v>
      </c>
      <c r="K41" s="93">
        <f>LOOKUP(K$3,'Aflac Financials'!$7:$7,'Aflac Financials'!276:276)</f>
        <v>0</v>
      </c>
      <c r="L41" s="93">
        <f>LOOKUP(L$3,'Aflac Financials'!$7:$7,'Aflac Financials'!276:276)</f>
        <v>0</v>
      </c>
      <c r="M41" s="93">
        <f>LOOKUP(M$3,'Aflac Financials'!$7:$7,'Aflac Financials'!276:276)</f>
        <v>0</v>
      </c>
      <c r="N41" s="93">
        <f>LOOKUP(N$3,'Aflac Financials'!$7:$7,'Aflac Financials'!276:276)</f>
        <v>0</v>
      </c>
      <c r="O41" s="93">
        <f>LOOKUP(O$3,'Aflac Financials'!$7:$7,'Aflac Financials'!276:276)</f>
        <v>0</v>
      </c>
      <c r="P41" s="93">
        <f>LOOKUP(P$3,'Aflac Financials'!$7:$7,'Aflac Financials'!276:276)</f>
        <v>0</v>
      </c>
      <c r="Q41" s="93">
        <f>LOOKUP(Q$3,'Aflac Financials'!$7:$7,'Aflac Financials'!276:276)</f>
        <v>0</v>
      </c>
      <c r="R41" s="93">
        <f>LOOKUP(R$3,'Aflac Financials'!$7:$7,'Aflac Financials'!276:276)</f>
        <v>0</v>
      </c>
      <c r="S41" s="93">
        <f>LOOKUP(S$3,'Aflac Financials'!$7:$7,'Aflac Financials'!276:276)</f>
        <v>0</v>
      </c>
      <c r="T41" s="93">
        <f>LOOKUP(T$3,'Aflac Financials'!$7:$7,'Aflac Financials'!276:276)</f>
        <v>0</v>
      </c>
      <c r="U41" s="93">
        <f>LOOKUP(U$3,'Aflac Financials'!$7:$7,'Aflac Financials'!276:276)</f>
        <v>0</v>
      </c>
      <c r="V41" s="93">
        <f>LOOKUP(V$3,'Aflac Financials'!$7:$7,'Aflac Financials'!276:276)</f>
        <v>0</v>
      </c>
      <c r="W41" s="93">
        <f>LOOKUP(W$3,'Aflac Financials'!$7:$7,'Aflac Financials'!276:276)</f>
        <v>0</v>
      </c>
      <c r="X41" s="93">
        <f>LOOKUP(X$3,'Aflac Financials'!$7:$7,'Aflac Financials'!276:276)</f>
        <v>0</v>
      </c>
      <c r="Y41" s="93">
        <f>LOOKUP(Y$3,'Aflac Financials'!$7:$7,'Aflac Financials'!276:276)</f>
        <v>0</v>
      </c>
      <c r="Z41" s="93">
        <f>LOOKUP(Z$3,'Aflac Financials'!$7:$7,'Aflac Financials'!276:276)</f>
        <v>0</v>
      </c>
      <c r="AA41" s="93">
        <f>LOOKUP(AA$3,'Aflac Financials'!$7:$7,'Aflac Financials'!276:276)</f>
        <v>0</v>
      </c>
    </row>
    <row r="42" spans="1:27">
      <c r="B42" s="18" t="s">
        <v>703</v>
      </c>
      <c r="E42" s="20">
        <f>E15</f>
        <v>0.15</v>
      </c>
      <c r="H42" s="93">
        <f>$E$42</f>
        <v>0.15</v>
      </c>
      <c r="I42" s="93">
        <f t="shared" ref="I42:AA42" si="5">$E$42</f>
        <v>0.15</v>
      </c>
      <c r="J42" s="93">
        <f t="shared" si="5"/>
        <v>0.15</v>
      </c>
      <c r="K42" s="93">
        <f t="shared" si="5"/>
        <v>0.15</v>
      </c>
      <c r="L42" s="93">
        <f t="shared" si="5"/>
        <v>0.15</v>
      </c>
      <c r="M42" s="93">
        <f t="shared" si="5"/>
        <v>0.15</v>
      </c>
      <c r="N42" s="93">
        <f t="shared" si="5"/>
        <v>0.15</v>
      </c>
      <c r="O42" s="93">
        <f t="shared" si="5"/>
        <v>0.15</v>
      </c>
      <c r="P42" s="93">
        <f t="shared" si="5"/>
        <v>0.15</v>
      </c>
      <c r="Q42" s="93">
        <f t="shared" si="5"/>
        <v>0.15</v>
      </c>
      <c r="R42" s="93">
        <f t="shared" si="5"/>
        <v>0.15</v>
      </c>
      <c r="S42" s="93">
        <f t="shared" si="5"/>
        <v>0.15</v>
      </c>
      <c r="T42" s="93">
        <f t="shared" si="5"/>
        <v>0.15</v>
      </c>
      <c r="U42" s="93">
        <f t="shared" si="5"/>
        <v>0.15</v>
      </c>
      <c r="V42" s="93">
        <f t="shared" si="5"/>
        <v>0.15</v>
      </c>
      <c r="W42" s="93">
        <f t="shared" si="5"/>
        <v>0.15</v>
      </c>
      <c r="X42" s="93">
        <f t="shared" si="5"/>
        <v>0.15</v>
      </c>
      <c r="Y42" s="93">
        <f t="shared" si="5"/>
        <v>0.15</v>
      </c>
      <c r="Z42" s="93">
        <f t="shared" si="5"/>
        <v>0.15</v>
      </c>
      <c r="AA42" s="93">
        <f t="shared" si="5"/>
        <v>0.15</v>
      </c>
    </row>
    <row r="43" spans="1:27">
      <c r="B43" s="18" t="s">
        <v>62</v>
      </c>
      <c r="E43" s="20"/>
      <c r="H43" s="93">
        <f>H42-H41</f>
        <v>0.15</v>
      </c>
      <c r="I43" s="93">
        <f t="shared" ref="I43:AA43" si="6">I42-I41</f>
        <v>0.15</v>
      </c>
      <c r="J43" s="93">
        <f t="shared" si="6"/>
        <v>0.15</v>
      </c>
      <c r="K43" s="93">
        <f t="shared" si="6"/>
        <v>0.15</v>
      </c>
      <c r="L43" s="93">
        <f t="shared" si="6"/>
        <v>0.15</v>
      </c>
      <c r="M43" s="93">
        <f t="shared" si="6"/>
        <v>0.15</v>
      </c>
      <c r="N43" s="93">
        <f t="shared" si="6"/>
        <v>0.15</v>
      </c>
      <c r="O43" s="93">
        <f t="shared" si="6"/>
        <v>0.15</v>
      </c>
      <c r="P43" s="93">
        <f t="shared" si="6"/>
        <v>0.15</v>
      </c>
      <c r="Q43" s="93">
        <f t="shared" si="6"/>
        <v>0.15</v>
      </c>
      <c r="R43" s="93">
        <f t="shared" si="6"/>
        <v>0.15</v>
      </c>
      <c r="S43" s="93">
        <f t="shared" si="6"/>
        <v>0.15</v>
      </c>
      <c r="T43" s="93">
        <f t="shared" si="6"/>
        <v>0.15</v>
      </c>
      <c r="U43" s="93">
        <f t="shared" si="6"/>
        <v>0.15</v>
      </c>
      <c r="V43" s="93">
        <f t="shared" si="6"/>
        <v>0.15</v>
      </c>
      <c r="W43" s="93">
        <f t="shared" si="6"/>
        <v>0.15</v>
      </c>
      <c r="X43" s="93">
        <f t="shared" si="6"/>
        <v>0.15</v>
      </c>
      <c r="Y43" s="93">
        <f t="shared" si="6"/>
        <v>0.15</v>
      </c>
      <c r="Z43" s="93">
        <f t="shared" si="6"/>
        <v>0.15</v>
      </c>
      <c r="AA43" s="93">
        <f t="shared" si="6"/>
        <v>0.15</v>
      </c>
    </row>
    <row r="44" spans="1:27">
      <c r="E44" s="20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</row>
    <row r="45" spans="1:27">
      <c r="B45" s="18" t="s">
        <v>704</v>
      </c>
      <c r="E45" s="20"/>
      <c r="H45" s="19">
        <f>H43*H28</f>
        <v>3735510</v>
      </c>
      <c r="I45" s="19">
        <f t="shared" ref="I45:AA45" si="7">I43*I28</f>
        <v>3735510</v>
      </c>
      <c r="J45" s="19">
        <f t="shared" si="7"/>
        <v>3735510</v>
      </c>
      <c r="K45" s="19">
        <f t="shared" si="7"/>
        <v>3735510</v>
      </c>
      <c r="L45" s="19">
        <f t="shared" si="7"/>
        <v>3735510</v>
      </c>
      <c r="M45" s="19">
        <f t="shared" si="7"/>
        <v>3735510</v>
      </c>
      <c r="N45" s="19">
        <f t="shared" si="7"/>
        <v>3735510</v>
      </c>
      <c r="O45" s="19">
        <f t="shared" si="7"/>
        <v>3735510</v>
      </c>
      <c r="P45" s="19">
        <f t="shared" si="7"/>
        <v>3735510</v>
      </c>
      <c r="Q45" s="19">
        <f t="shared" si="7"/>
        <v>3735510</v>
      </c>
      <c r="R45" s="19">
        <f t="shared" si="7"/>
        <v>3735510</v>
      </c>
      <c r="S45" s="19">
        <f t="shared" si="7"/>
        <v>3735510</v>
      </c>
      <c r="T45" s="19">
        <f t="shared" si="7"/>
        <v>3735510</v>
      </c>
      <c r="U45" s="19">
        <f t="shared" si="7"/>
        <v>3735510</v>
      </c>
      <c r="V45" s="19">
        <f t="shared" si="7"/>
        <v>3735510</v>
      </c>
      <c r="W45" s="19">
        <f t="shared" si="7"/>
        <v>3735510</v>
      </c>
      <c r="X45" s="19">
        <f t="shared" si="7"/>
        <v>3735510</v>
      </c>
      <c r="Y45" s="19">
        <f t="shared" si="7"/>
        <v>3735510</v>
      </c>
      <c r="Z45" s="19">
        <f t="shared" si="7"/>
        <v>3735510</v>
      </c>
      <c r="AA45" s="19">
        <f t="shared" si="7"/>
        <v>3735510</v>
      </c>
    </row>
    <row r="46" spans="1:27">
      <c r="B46" s="18" t="s">
        <v>705</v>
      </c>
      <c r="E46" s="20"/>
      <c r="H46" s="19">
        <f>H32+H45</f>
        <v>6968381.25</v>
      </c>
      <c r="I46" s="19">
        <f t="shared" ref="I46:AA46" si="8">I32+I45</f>
        <v>6968381.25</v>
      </c>
      <c r="J46" s="19">
        <f t="shared" si="8"/>
        <v>6968381.25</v>
      </c>
      <c r="K46" s="19">
        <f t="shared" si="8"/>
        <v>6968381.25</v>
      </c>
      <c r="L46" s="19">
        <f t="shared" si="8"/>
        <v>6968381.25</v>
      </c>
      <c r="M46" s="19">
        <f t="shared" si="8"/>
        <v>6968381.25</v>
      </c>
      <c r="N46" s="19">
        <f t="shared" si="8"/>
        <v>6968381.25</v>
      </c>
      <c r="O46" s="19">
        <f t="shared" si="8"/>
        <v>6968381.25</v>
      </c>
      <c r="P46" s="19">
        <f t="shared" si="8"/>
        <v>6968381.25</v>
      </c>
      <c r="Q46" s="19">
        <f t="shared" si="8"/>
        <v>6968381.25</v>
      </c>
      <c r="R46" s="19">
        <f t="shared" si="8"/>
        <v>6968381.25</v>
      </c>
      <c r="S46" s="19">
        <f t="shared" si="8"/>
        <v>6968381.25</v>
      </c>
      <c r="T46" s="19">
        <f t="shared" si="8"/>
        <v>6968381.25</v>
      </c>
      <c r="U46" s="19">
        <f t="shared" si="8"/>
        <v>6968381.25</v>
      </c>
      <c r="V46" s="19">
        <f t="shared" si="8"/>
        <v>6968381.25</v>
      </c>
      <c r="W46" s="19">
        <f t="shared" si="8"/>
        <v>6968381.25</v>
      </c>
      <c r="X46" s="19">
        <f t="shared" si="8"/>
        <v>6968381.25</v>
      </c>
      <c r="Y46" s="19">
        <f t="shared" si="8"/>
        <v>6968381.25</v>
      </c>
      <c r="Z46" s="19">
        <f t="shared" si="8"/>
        <v>6968381.25</v>
      </c>
      <c r="AA46" s="19">
        <f t="shared" si="8"/>
        <v>6968381.25</v>
      </c>
    </row>
    <row r="47" spans="1:27">
      <c r="E47" s="20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1:27">
      <c r="B48" s="18" t="s">
        <v>532</v>
      </c>
      <c r="H48" s="19">
        <f>LOOKUP(H$3,'Aflac Financials'!$7:$7,'Aflac Financials'!262:262)</f>
        <v>96150000</v>
      </c>
      <c r="I48" s="19">
        <f>LOOKUP(I$3,'Aflac Financials'!$7:$7,'Aflac Financials'!262:262)</f>
        <v>96150000</v>
      </c>
      <c r="J48" s="19">
        <f>LOOKUP(J$3,'Aflac Financials'!$7:$7,'Aflac Financials'!262:262)</f>
        <v>96150000</v>
      </c>
      <c r="K48" s="19">
        <f>LOOKUP(K$3,'Aflac Financials'!$7:$7,'Aflac Financials'!262:262)</f>
        <v>96150000</v>
      </c>
      <c r="L48" s="19">
        <f>LOOKUP(L$3,'Aflac Financials'!$7:$7,'Aflac Financials'!262:262)</f>
        <v>96150000</v>
      </c>
      <c r="M48" s="19">
        <f>LOOKUP(M$3,'Aflac Financials'!$7:$7,'Aflac Financials'!262:262)</f>
        <v>96150000</v>
      </c>
      <c r="N48" s="19">
        <f>LOOKUP(N$3,'Aflac Financials'!$7:$7,'Aflac Financials'!262:262)</f>
        <v>96150000</v>
      </c>
      <c r="O48" s="19">
        <f>LOOKUP(O$3,'Aflac Financials'!$7:$7,'Aflac Financials'!262:262)</f>
        <v>96150000</v>
      </c>
      <c r="P48" s="19">
        <f>LOOKUP(P$3,'Aflac Financials'!$7:$7,'Aflac Financials'!262:262)</f>
        <v>96150000</v>
      </c>
      <c r="Q48" s="19">
        <f>LOOKUP(Q$3,'Aflac Financials'!$7:$7,'Aflac Financials'!262:262)</f>
        <v>96150000</v>
      </c>
      <c r="R48" s="19">
        <f>LOOKUP(R$3,'Aflac Financials'!$7:$7,'Aflac Financials'!262:262)</f>
        <v>96150000</v>
      </c>
      <c r="S48" s="19">
        <f>LOOKUP(S$3,'Aflac Financials'!$7:$7,'Aflac Financials'!262:262)</f>
        <v>96150000</v>
      </c>
      <c r="T48" s="19">
        <f>LOOKUP(T$3,'Aflac Financials'!$7:$7,'Aflac Financials'!262:262)</f>
        <v>96150000</v>
      </c>
      <c r="U48" s="19">
        <f>LOOKUP(U$3,'Aflac Financials'!$7:$7,'Aflac Financials'!262:262)</f>
        <v>96150000</v>
      </c>
      <c r="V48" s="19">
        <f>LOOKUP(V$3,'Aflac Financials'!$7:$7,'Aflac Financials'!262:262)</f>
        <v>96150000</v>
      </c>
      <c r="W48" s="19">
        <f>LOOKUP(W$3,'Aflac Financials'!$7:$7,'Aflac Financials'!262:262)</f>
        <v>96150000</v>
      </c>
      <c r="X48" s="19">
        <f>LOOKUP(X$3,'Aflac Financials'!$7:$7,'Aflac Financials'!262:262)</f>
        <v>96150000</v>
      </c>
      <c r="Y48" s="19">
        <f>LOOKUP(Y$3,'Aflac Financials'!$7:$7,'Aflac Financials'!262:262)</f>
        <v>96150000</v>
      </c>
      <c r="Z48" s="19">
        <f>LOOKUP(Z$3,'Aflac Financials'!$7:$7,'Aflac Financials'!262:262)</f>
        <v>96150000</v>
      </c>
      <c r="AA48" s="19">
        <f>LOOKUP(AA$3,'Aflac Financials'!$7:$7,'Aflac Financials'!262:262)</f>
        <v>96150000</v>
      </c>
    </row>
    <row r="49" spans="1:27">
      <c r="B49" s="18" t="s">
        <v>692</v>
      </c>
      <c r="E49" s="34">
        <f ca="1">E22</f>
        <v>1.3491165055645986</v>
      </c>
      <c r="H49" s="19">
        <f ca="1">$E$49*H48</f>
        <v>129717552.01003616</v>
      </c>
      <c r="I49" s="19">
        <f t="shared" ref="I49:AA49" ca="1" si="9">$E$49*I48</f>
        <v>129717552.01003616</v>
      </c>
      <c r="J49" s="19">
        <f t="shared" ca="1" si="9"/>
        <v>129717552.01003616</v>
      </c>
      <c r="K49" s="19">
        <f t="shared" ca="1" si="9"/>
        <v>129717552.01003616</v>
      </c>
      <c r="L49" s="19">
        <f t="shared" ca="1" si="9"/>
        <v>129717552.01003616</v>
      </c>
      <c r="M49" s="19">
        <f t="shared" ca="1" si="9"/>
        <v>129717552.01003616</v>
      </c>
      <c r="N49" s="19">
        <f t="shared" ca="1" si="9"/>
        <v>129717552.01003616</v>
      </c>
      <c r="O49" s="19">
        <f t="shared" ca="1" si="9"/>
        <v>129717552.01003616</v>
      </c>
      <c r="P49" s="19">
        <f t="shared" ca="1" si="9"/>
        <v>129717552.01003616</v>
      </c>
      <c r="Q49" s="19">
        <f t="shared" ca="1" si="9"/>
        <v>129717552.01003616</v>
      </c>
      <c r="R49" s="19">
        <f t="shared" ca="1" si="9"/>
        <v>129717552.01003616</v>
      </c>
      <c r="S49" s="19">
        <f t="shared" ca="1" si="9"/>
        <v>129717552.01003616</v>
      </c>
      <c r="T49" s="19">
        <f t="shared" ca="1" si="9"/>
        <v>129717552.01003616</v>
      </c>
      <c r="U49" s="19">
        <f t="shared" ca="1" si="9"/>
        <v>129717552.01003616</v>
      </c>
      <c r="V49" s="19">
        <f t="shared" ca="1" si="9"/>
        <v>129717552.01003616</v>
      </c>
      <c r="W49" s="19">
        <f t="shared" ca="1" si="9"/>
        <v>129717552.01003616</v>
      </c>
      <c r="X49" s="19">
        <f t="shared" ca="1" si="9"/>
        <v>129717552.01003616</v>
      </c>
      <c r="Y49" s="19">
        <f t="shared" ca="1" si="9"/>
        <v>129717552.01003616</v>
      </c>
      <c r="Z49" s="19">
        <f t="shared" ca="1" si="9"/>
        <v>129717552.01003616</v>
      </c>
      <c r="AA49" s="19">
        <f t="shared" ca="1" si="9"/>
        <v>129717552.01003616</v>
      </c>
    </row>
    <row r="50" spans="1:27">
      <c r="B50" s="18" t="s">
        <v>706</v>
      </c>
      <c r="E50" s="34"/>
      <c r="H50" s="19">
        <f>LOOKUP(H$3,'Aflac Financials'!$7:$7,'Aflac Financials'!234:234)</f>
        <v>0</v>
      </c>
      <c r="I50" s="19">
        <f>LOOKUP(I$3,'Aflac Financials'!$7:$7,'Aflac Financials'!234:234)</f>
        <v>0</v>
      </c>
      <c r="J50" s="19">
        <f>LOOKUP(J$3,'Aflac Financials'!$7:$7,'Aflac Financials'!234:234)</f>
        <v>0</v>
      </c>
      <c r="K50" s="19">
        <f>LOOKUP(K$3,'Aflac Financials'!$7:$7,'Aflac Financials'!234:234)</f>
        <v>0</v>
      </c>
      <c r="L50" s="19">
        <f>LOOKUP(L$3,'Aflac Financials'!$7:$7,'Aflac Financials'!234:234)</f>
        <v>0</v>
      </c>
      <c r="M50" s="19">
        <f>LOOKUP(M$3,'Aflac Financials'!$7:$7,'Aflac Financials'!234:234)</f>
        <v>0</v>
      </c>
      <c r="N50" s="19">
        <f>LOOKUP(N$3,'Aflac Financials'!$7:$7,'Aflac Financials'!234:234)</f>
        <v>0</v>
      </c>
      <c r="O50" s="19">
        <f>LOOKUP(O$3,'Aflac Financials'!$7:$7,'Aflac Financials'!234:234)</f>
        <v>0</v>
      </c>
      <c r="P50" s="19">
        <f>LOOKUP(P$3,'Aflac Financials'!$7:$7,'Aflac Financials'!234:234)</f>
        <v>0</v>
      </c>
      <c r="Q50" s="19">
        <f>LOOKUP(Q$3,'Aflac Financials'!$7:$7,'Aflac Financials'!234:234)</f>
        <v>0</v>
      </c>
      <c r="R50" s="19">
        <f>LOOKUP(R$3,'Aflac Financials'!$7:$7,'Aflac Financials'!234:234)</f>
        <v>0</v>
      </c>
      <c r="S50" s="19">
        <f>LOOKUP(S$3,'Aflac Financials'!$7:$7,'Aflac Financials'!234:234)</f>
        <v>0</v>
      </c>
      <c r="T50" s="19">
        <f>LOOKUP(T$3,'Aflac Financials'!$7:$7,'Aflac Financials'!234:234)</f>
        <v>0</v>
      </c>
      <c r="U50" s="19">
        <f>LOOKUP(U$3,'Aflac Financials'!$7:$7,'Aflac Financials'!234:234)</f>
        <v>0</v>
      </c>
      <c r="V50" s="19">
        <f>LOOKUP(V$3,'Aflac Financials'!$7:$7,'Aflac Financials'!234:234)</f>
        <v>0</v>
      </c>
      <c r="W50" s="19">
        <f>LOOKUP(W$3,'Aflac Financials'!$7:$7,'Aflac Financials'!234:234)</f>
        <v>0</v>
      </c>
      <c r="X50" s="19">
        <f>LOOKUP(X$3,'Aflac Financials'!$7:$7,'Aflac Financials'!234:234)</f>
        <v>0</v>
      </c>
      <c r="Y50" s="19">
        <f>LOOKUP(Y$3,'Aflac Financials'!$7:$7,'Aflac Financials'!234:234)</f>
        <v>0</v>
      </c>
      <c r="Z50" s="19">
        <f>LOOKUP(Z$3,'Aflac Financials'!$7:$7,'Aflac Financials'!234:234)</f>
        <v>0</v>
      </c>
      <c r="AA50" s="19">
        <f>LOOKUP(AA$3,'Aflac Financials'!$7:$7,'Aflac Financials'!234:234)</f>
        <v>0</v>
      </c>
    </row>
    <row r="51" spans="1:27">
      <c r="B51" s="18" t="s">
        <v>693</v>
      </c>
      <c r="H51" s="21">
        <f ca="1">H49-G51</f>
        <v>129717552.01003616</v>
      </c>
      <c r="I51" s="21">
        <f t="shared" ref="I51:AA51" ca="1" si="10">I49-H51</f>
        <v>0</v>
      </c>
      <c r="J51" s="21">
        <f t="shared" ca="1" si="10"/>
        <v>129717552.01003616</v>
      </c>
      <c r="K51" s="21">
        <f t="shared" ca="1" si="10"/>
        <v>0</v>
      </c>
      <c r="L51" s="21">
        <f t="shared" ca="1" si="10"/>
        <v>129717552.01003616</v>
      </c>
      <c r="M51" s="21">
        <f t="shared" ca="1" si="10"/>
        <v>0</v>
      </c>
      <c r="N51" s="21">
        <f t="shared" ca="1" si="10"/>
        <v>129717552.01003616</v>
      </c>
      <c r="O51" s="21">
        <f t="shared" ca="1" si="10"/>
        <v>0</v>
      </c>
      <c r="P51" s="21">
        <f t="shared" ca="1" si="10"/>
        <v>129717552.01003616</v>
      </c>
      <c r="Q51" s="21">
        <f t="shared" ca="1" si="10"/>
        <v>0</v>
      </c>
      <c r="R51" s="21">
        <f t="shared" ca="1" si="10"/>
        <v>129717552.01003616</v>
      </c>
      <c r="S51" s="21">
        <f t="shared" ca="1" si="10"/>
        <v>0</v>
      </c>
      <c r="T51" s="21">
        <f t="shared" ca="1" si="10"/>
        <v>129717552.01003616</v>
      </c>
      <c r="U51" s="21">
        <f t="shared" ca="1" si="10"/>
        <v>0</v>
      </c>
      <c r="V51" s="21">
        <f t="shared" ca="1" si="10"/>
        <v>129717552.01003616</v>
      </c>
      <c r="W51" s="21">
        <f t="shared" ca="1" si="10"/>
        <v>0</v>
      </c>
      <c r="X51" s="21">
        <f t="shared" ca="1" si="10"/>
        <v>129717552.01003616</v>
      </c>
      <c r="Y51" s="21">
        <f t="shared" ca="1" si="10"/>
        <v>0</v>
      </c>
      <c r="Z51" s="21">
        <f t="shared" ca="1" si="10"/>
        <v>129717552.01003616</v>
      </c>
      <c r="AA51" s="21">
        <f t="shared" ca="1" si="10"/>
        <v>0</v>
      </c>
    </row>
    <row r="53" spans="1:27">
      <c r="B53" s="18" t="s">
        <v>694</v>
      </c>
      <c r="H53" s="21">
        <f ca="1">H32+H45+H50-H51</f>
        <v>-122749170.76003616</v>
      </c>
      <c r="I53" s="21">
        <f t="shared" ref="I53:AA53" ca="1" si="11">I32+I45+I50-I51</f>
        <v>6968381.25</v>
      </c>
      <c r="J53" s="21">
        <f t="shared" ca="1" si="11"/>
        <v>-122749170.76003616</v>
      </c>
      <c r="K53" s="21">
        <f t="shared" ca="1" si="11"/>
        <v>6968381.25</v>
      </c>
      <c r="L53" s="21">
        <f t="shared" ca="1" si="11"/>
        <v>-122749170.76003616</v>
      </c>
      <c r="M53" s="21">
        <f t="shared" ca="1" si="11"/>
        <v>6968381.25</v>
      </c>
      <c r="N53" s="21">
        <f t="shared" ca="1" si="11"/>
        <v>-122749170.76003616</v>
      </c>
      <c r="O53" s="21">
        <f t="shared" ca="1" si="11"/>
        <v>6968381.25</v>
      </c>
      <c r="P53" s="21">
        <f t="shared" ca="1" si="11"/>
        <v>-122749170.76003616</v>
      </c>
      <c r="Q53" s="21">
        <f t="shared" ca="1" si="11"/>
        <v>6968381.25</v>
      </c>
      <c r="R53" s="21">
        <f t="shared" ca="1" si="11"/>
        <v>-122749170.76003616</v>
      </c>
      <c r="S53" s="21">
        <f t="shared" ca="1" si="11"/>
        <v>6968381.25</v>
      </c>
      <c r="T53" s="21">
        <f t="shared" ca="1" si="11"/>
        <v>-122749170.76003616</v>
      </c>
      <c r="U53" s="21">
        <f t="shared" ca="1" si="11"/>
        <v>6968381.25</v>
      </c>
      <c r="V53" s="21">
        <f t="shared" ca="1" si="11"/>
        <v>-122749170.76003616</v>
      </c>
      <c r="W53" s="21">
        <f t="shared" ca="1" si="11"/>
        <v>6968381.25</v>
      </c>
      <c r="X53" s="21">
        <f t="shared" ca="1" si="11"/>
        <v>-122749170.76003616</v>
      </c>
      <c r="Y53" s="21">
        <f t="shared" ca="1" si="11"/>
        <v>6968381.25</v>
      </c>
      <c r="Z53" s="21">
        <f t="shared" ca="1" si="11"/>
        <v>-122749170.76003616</v>
      </c>
      <c r="AA53" s="21">
        <f t="shared" ca="1" si="11"/>
        <v>6968381.25</v>
      </c>
    </row>
    <row r="55" spans="1:27" s="31" customFormat="1">
      <c r="A55" s="31" t="s">
        <v>695</v>
      </c>
    </row>
    <row r="56" spans="1:27">
      <c r="B56" s="18" t="s">
        <v>696</v>
      </c>
      <c r="E56" s="20">
        <f>E13</f>
        <v>0.04</v>
      </c>
      <c r="F56" s="20">
        <f>E12</f>
        <v>8.5000000000000006E-2</v>
      </c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</row>
    <row r="57" spans="1:27">
      <c r="B57" s="18" t="s">
        <v>394</v>
      </c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</row>
    <row r="58" spans="1:27">
      <c r="B58" s="18" t="s">
        <v>396</v>
      </c>
      <c r="E58" s="19">
        <f>NPV(F58,H57:AA57)*(1+E56)^0.5</f>
        <v>0</v>
      </c>
      <c r="F58" s="20">
        <f>F56</f>
        <v>8.5000000000000006E-2</v>
      </c>
      <c r="G58" s="20">
        <f>E13</f>
        <v>0.04</v>
      </c>
      <c r="H58" s="97">
        <f>(1+$G$58)/($F$58-$G$58)*H5*H32</f>
        <v>0</v>
      </c>
      <c r="I58" s="97">
        <f t="shared" ref="I58:AA58" si="12">(1+$G$58)/($F$58-$G$58)*I5*I32</f>
        <v>0</v>
      </c>
      <c r="J58" s="97">
        <f t="shared" si="12"/>
        <v>0</v>
      </c>
      <c r="K58" s="97">
        <f t="shared" si="12"/>
        <v>0</v>
      </c>
      <c r="L58" s="97"/>
      <c r="M58" s="97">
        <f t="shared" si="12"/>
        <v>0</v>
      </c>
      <c r="N58" s="97">
        <f t="shared" si="12"/>
        <v>0</v>
      </c>
      <c r="O58" s="97">
        <f t="shared" si="12"/>
        <v>0</v>
      </c>
      <c r="P58" s="97">
        <f t="shared" si="12"/>
        <v>0</v>
      </c>
      <c r="Q58" s="97">
        <f t="shared" si="12"/>
        <v>0</v>
      </c>
      <c r="R58" s="97">
        <f t="shared" si="12"/>
        <v>0</v>
      </c>
      <c r="S58" s="97">
        <f t="shared" si="12"/>
        <v>0</v>
      </c>
      <c r="T58" s="97">
        <f t="shared" si="12"/>
        <v>0</v>
      </c>
      <c r="U58" s="97">
        <f t="shared" si="12"/>
        <v>0</v>
      </c>
      <c r="V58" s="97">
        <f t="shared" si="12"/>
        <v>0</v>
      </c>
      <c r="W58" s="97">
        <f t="shared" si="12"/>
        <v>0</v>
      </c>
      <c r="X58" s="97">
        <f t="shared" si="12"/>
        <v>0</v>
      </c>
      <c r="Y58" s="97">
        <f t="shared" si="12"/>
        <v>0</v>
      </c>
      <c r="Z58" s="97">
        <f t="shared" si="12"/>
        <v>0</v>
      </c>
      <c r="AA58" s="97">
        <f t="shared" si="12"/>
        <v>0</v>
      </c>
    </row>
    <row r="59" spans="1:27">
      <c r="E59" s="19"/>
      <c r="F59" s="20"/>
      <c r="G59" s="20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>
      <c r="B60" s="18" t="s">
        <v>396</v>
      </c>
      <c r="E60" s="19">
        <f>NPV(F58,H58:AA58)*(1+E12)^0.5</f>
        <v>0</v>
      </c>
      <c r="F60" s="20"/>
      <c r="G60" s="20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>
      <c r="B61" s="18" t="s">
        <v>397</v>
      </c>
      <c r="E61" s="19">
        <f>E37</f>
        <v>13269980.010681549</v>
      </c>
      <c r="F61" s="20"/>
    </row>
    <row r="62" spans="1:27">
      <c r="B62" s="18" t="s">
        <v>700</v>
      </c>
      <c r="E62" s="19">
        <f>E60+E61</f>
        <v>13269980.010681549</v>
      </c>
      <c r="F62" s="20"/>
    </row>
    <row r="63" spans="1:27">
      <c r="B63" s="18" t="s">
        <v>1</v>
      </c>
      <c r="E63" s="19">
        <f>LOOKUP(F4-1,'Aflac Financials'!7:7,'Aflac Financials'!226:226)</f>
        <v>413920</v>
      </c>
      <c r="F63" s="20"/>
    </row>
    <row r="64" spans="1:27">
      <c r="B64" s="18" t="s">
        <v>401</v>
      </c>
      <c r="E64" s="34">
        <f>E62/E63</f>
        <v>32.059286844514759</v>
      </c>
      <c r="F64" s="20"/>
    </row>
    <row r="66" spans="1:27" s="31" customFormat="1">
      <c r="A66" s="31" t="s">
        <v>701</v>
      </c>
    </row>
    <row r="68" spans="1:27">
      <c r="B68" s="18" t="s">
        <v>652</v>
      </c>
      <c r="H68" s="21">
        <f>H27</f>
        <v>3232871.25</v>
      </c>
      <c r="I68" s="21">
        <f t="shared" ref="I68:AA68" si="13">I27</f>
        <v>3232871.25</v>
      </c>
      <c r="J68" s="21">
        <f t="shared" si="13"/>
        <v>3232871.25</v>
      </c>
      <c r="K68" s="21">
        <f t="shared" si="13"/>
        <v>3232871.25</v>
      </c>
      <c r="L68" s="21">
        <f t="shared" si="13"/>
        <v>3232871.25</v>
      </c>
      <c r="M68" s="21">
        <f t="shared" si="13"/>
        <v>3232871.25</v>
      </c>
      <c r="N68" s="21">
        <f t="shared" si="13"/>
        <v>3232871.25</v>
      </c>
      <c r="O68" s="21">
        <f t="shared" si="13"/>
        <v>3232871.25</v>
      </c>
      <c r="P68" s="21">
        <f t="shared" si="13"/>
        <v>3232871.25</v>
      </c>
      <c r="Q68" s="21">
        <f t="shared" si="13"/>
        <v>3232871.25</v>
      </c>
      <c r="R68" s="21">
        <f t="shared" si="13"/>
        <v>3232871.25</v>
      </c>
      <c r="S68" s="21">
        <f t="shared" si="13"/>
        <v>3232871.25</v>
      </c>
      <c r="T68" s="21">
        <f t="shared" si="13"/>
        <v>3232871.25</v>
      </c>
      <c r="U68" s="21">
        <f t="shared" si="13"/>
        <v>3232871.25</v>
      </c>
      <c r="V68" s="21">
        <f t="shared" si="13"/>
        <v>3232871.25</v>
      </c>
      <c r="W68" s="21">
        <f t="shared" si="13"/>
        <v>3232871.25</v>
      </c>
      <c r="X68" s="21">
        <f t="shared" si="13"/>
        <v>3232871.25</v>
      </c>
      <c r="Y68" s="21">
        <f t="shared" si="13"/>
        <v>3232871.25</v>
      </c>
      <c r="Z68" s="21">
        <f t="shared" si="13"/>
        <v>3232871.25</v>
      </c>
      <c r="AA68" s="21">
        <f t="shared" si="13"/>
        <v>3232871.25</v>
      </c>
    </row>
    <row r="69" spans="1:27">
      <c r="B69" s="18" t="s">
        <v>708</v>
      </c>
      <c r="E69" s="34">
        <f>E14</f>
        <v>11</v>
      </c>
      <c r="H69" s="19">
        <f>H68*$E$69*H5</f>
        <v>0</v>
      </c>
      <c r="I69" s="19">
        <f t="shared" ref="I69:AA69" si="14">I68*$E$69*I5</f>
        <v>0</v>
      </c>
      <c r="J69" s="19">
        <f t="shared" si="14"/>
        <v>0</v>
      </c>
      <c r="K69" s="19">
        <f t="shared" si="14"/>
        <v>0</v>
      </c>
      <c r="L69" s="19">
        <f t="shared" si="14"/>
        <v>35561583.75</v>
      </c>
      <c r="M69" s="19">
        <f t="shared" si="14"/>
        <v>0</v>
      </c>
      <c r="N69" s="19">
        <f t="shared" si="14"/>
        <v>0</v>
      </c>
      <c r="O69" s="19">
        <f t="shared" si="14"/>
        <v>0</v>
      </c>
      <c r="P69" s="19">
        <f t="shared" si="14"/>
        <v>0</v>
      </c>
      <c r="Q69" s="19">
        <f t="shared" si="14"/>
        <v>0</v>
      </c>
      <c r="R69" s="19">
        <f t="shared" si="14"/>
        <v>0</v>
      </c>
      <c r="S69" s="19">
        <f t="shared" si="14"/>
        <v>0</v>
      </c>
      <c r="T69" s="19">
        <f t="shared" si="14"/>
        <v>0</v>
      </c>
      <c r="U69" s="19">
        <f t="shared" si="14"/>
        <v>0</v>
      </c>
      <c r="V69" s="19">
        <f t="shared" si="14"/>
        <v>0</v>
      </c>
      <c r="W69" s="19">
        <f t="shared" si="14"/>
        <v>0</v>
      </c>
      <c r="X69" s="19">
        <f t="shared" si="14"/>
        <v>0</v>
      </c>
      <c r="Y69" s="19">
        <f t="shared" si="14"/>
        <v>0</v>
      </c>
      <c r="Z69" s="19">
        <f t="shared" si="14"/>
        <v>0</v>
      </c>
      <c r="AA69" s="19">
        <f t="shared" si="14"/>
        <v>0</v>
      </c>
    </row>
    <row r="70" spans="1:27">
      <c r="B70" s="18" t="s">
        <v>396</v>
      </c>
      <c r="E70" s="19">
        <f>NPV(E12,H69:AA69)</f>
        <v>23650068.51782592</v>
      </c>
    </row>
    <row r="71" spans="1:27">
      <c r="B71" s="18" t="s">
        <v>397</v>
      </c>
      <c r="E71" s="21">
        <f>E61</f>
        <v>13269980.010681549</v>
      </c>
    </row>
    <row r="72" spans="1:27">
      <c r="B72" s="18" t="s">
        <v>700</v>
      </c>
      <c r="E72" s="21">
        <f>E70+E71</f>
        <v>36920048.528507471</v>
      </c>
    </row>
    <row r="73" spans="1:27">
      <c r="B73" s="18" t="s">
        <v>1</v>
      </c>
      <c r="E73" s="21">
        <f>E63</f>
        <v>413920</v>
      </c>
    </row>
    <row r="74" spans="1:27">
      <c r="B74" s="18" t="s">
        <v>401</v>
      </c>
      <c r="E74" s="34">
        <f>E72/E73</f>
        <v>89.196097140769879</v>
      </c>
    </row>
    <row r="76" spans="1:27" s="31" customFormat="1">
      <c r="A76" s="31" t="s">
        <v>731</v>
      </c>
    </row>
    <row r="78" spans="1:27">
      <c r="B78" s="18" t="s">
        <v>709</v>
      </c>
      <c r="E78" s="34">
        <f>(1-E13/E15)/(E12-E13)</f>
        <v>16.296296296296294</v>
      </c>
      <c r="H78" s="34">
        <f>$E$78</f>
        <v>16.296296296296294</v>
      </c>
      <c r="I78" s="34">
        <f t="shared" ref="I78:AA78" si="15">$E$78</f>
        <v>16.296296296296294</v>
      </c>
      <c r="J78" s="34">
        <f t="shared" si="15"/>
        <v>16.296296296296294</v>
      </c>
      <c r="K78" s="34">
        <f t="shared" si="15"/>
        <v>16.296296296296294</v>
      </c>
      <c r="L78" s="34">
        <f t="shared" si="15"/>
        <v>16.296296296296294</v>
      </c>
      <c r="M78" s="34">
        <f t="shared" si="15"/>
        <v>16.296296296296294</v>
      </c>
      <c r="N78" s="34">
        <f t="shared" si="15"/>
        <v>16.296296296296294</v>
      </c>
      <c r="O78" s="34">
        <f t="shared" si="15"/>
        <v>16.296296296296294</v>
      </c>
      <c r="P78" s="34">
        <f t="shared" si="15"/>
        <v>16.296296296296294</v>
      </c>
      <c r="Q78" s="34">
        <f t="shared" si="15"/>
        <v>16.296296296296294</v>
      </c>
      <c r="R78" s="34">
        <f t="shared" si="15"/>
        <v>16.296296296296294</v>
      </c>
      <c r="S78" s="34">
        <f t="shared" si="15"/>
        <v>16.296296296296294</v>
      </c>
      <c r="T78" s="34">
        <f t="shared" si="15"/>
        <v>16.296296296296294</v>
      </c>
      <c r="U78" s="34">
        <f t="shared" si="15"/>
        <v>16.296296296296294</v>
      </c>
      <c r="V78" s="34">
        <f t="shared" si="15"/>
        <v>16.296296296296294</v>
      </c>
      <c r="W78" s="34">
        <f t="shared" si="15"/>
        <v>16.296296296296294</v>
      </c>
      <c r="X78" s="34">
        <f t="shared" si="15"/>
        <v>16.296296296296294</v>
      </c>
      <c r="Y78" s="34">
        <f t="shared" si="15"/>
        <v>16.296296296296294</v>
      </c>
      <c r="Z78" s="34">
        <f t="shared" si="15"/>
        <v>16.296296296296294</v>
      </c>
      <c r="AA78" s="34">
        <f t="shared" si="15"/>
        <v>16.296296296296294</v>
      </c>
    </row>
    <row r="79" spans="1:27">
      <c r="B79" s="18" t="s">
        <v>652</v>
      </c>
      <c r="H79" s="19">
        <f>H78*H68*H5</f>
        <v>0</v>
      </c>
      <c r="I79" s="19">
        <f t="shared" ref="I79:AA79" si="16">I78*I68*I5</f>
        <v>0</v>
      </c>
      <c r="J79" s="19">
        <f t="shared" si="16"/>
        <v>0</v>
      </c>
      <c r="K79" s="19">
        <f t="shared" si="16"/>
        <v>0</v>
      </c>
      <c r="L79" s="19">
        <f t="shared" si="16"/>
        <v>52683827.777777769</v>
      </c>
      <c r="M79" s="19">
        <f t="shared" si="16"/>
        <v>0</v>
      </c>
      <c r="N79" s="19">
        <f t="shared" si="16"/>
        <v>0</v>
      </c>
      <c r="O79" s="19">
        <f t="shared" si="16"/>
        <v>0</v>
      </c>
      <c r="P79" s="19">
        <f t="shared" si="16"/>
        <v>0</v>
      </c>
      <c r="Q79" s="19">
        <f t="shared" si="16"/>
        <v>0</v>
      </c>
      <c r="R79" s="19">
        <f t="shared" si="16"/>
        <v>0</v>
      </c>
      <c r="S79" s="19">
        <f t="shared" si="16"/>
        <v>0</v>
      </c>
      <c r="T79" s="19">
        <f t="shared" si="16"/>
        <v>0</v>
      </c>
      <c r="U79" s="19">
        <f t="shared" si="16"/>
        <v>0</v>
      </c>
      <c r="V79" s="19">
        <f t="shared" si="16"/>
        <v>0</v>
      </c>
      <c r="W79" s="19">
        <f t="shared" si="16"/>
        <v>0</v>
      </c>
      <c r="X79" s="19">
        <f t="shared" si="16"/>
        <v>0</v>
      </c>
      <c r="Y79" s="19">
        <f t="shared" si="16"/>
        <v>0</v>
      </c>
      <c r="Z79" s="19">
        <f t="shared" si="16"/>
        <v>0</v>
      </c>
      <c r="AA79" s="19">
        <f t="shared" si="16"/>
        <v>0</v>
      </c>
    </row>
    <row r="80" spans="1:27">
      <c r="B80" s="18" t="s">
        <v>396</v>
      </c>
      <c r="E80" s="19">
        <f>NPV(E12,H79:AA79)*(1+F58)^0.5</f>
        <v>36495851.39432735</v>
      </c>
    </row>
    <row r="81" spans="1:27">
      <c r="B81" s="18" t="s">
        <v>397</v>
      </c>
      <c r="E81" s="21">
        <f>E71</f>
        <v>13269980.010681549</v>
      </c>
    </row>
    <row r="82" spans="1:27">
      <c r="B82" s="18" t="s">
        <v>700</v>
      </c>
      <c r="E82" s="21">
        <f>E80+E81</f>
        <v>49765831.405008897</v>
      </c>
    </row>
    <row r="83" spans="1:27">
      <c r="B83" s="18" t="s">
        <v>1</v>
      </c>
      <c r="E83" s="21">
        <f>E73</f>
        <v>413920</v>
      </c>
    </row>
    <row r="84" spans="1:27">
      <c r="B84" s="18" t="s">
        <v>401</v>
      </c>
      <c r="E84" s="34">
        <f>E82/E83</f>
        <v>120.23055519184601</v>
      </c>
    </row>
    <row r="86" spans="1:27" s="31" customFormat="1">
      <c r="A86" s="31" t="s">
        <v>730</v>
      </c>
    </row>
    <row r="88" spans="1:27">
      <c r="B88" s="18" t="s">
        <v>365</v>
      </c>
      <c r="E88" s="34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</row>
    <row r="89" spans="1:27">
      <c r="B89" s="18" t="s">
        <v>732</v>
      </c>
      <c r="E89" s="34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</row>
    <row r="90" spans="1:27">
      <c r="B90" s="18" t="s">
        <v>68</v>
      </c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</row>
    <row r="91" spans="1:27">
      <c r="B91" s="18" t="s">
        <v>733</v>
      </c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</row>
    <row r="92" spans="1:27">
      <c r="B92" s="18" t="s">
        <v>396</v>
      </c>
      <c r="E92" s="19">
        <f>NPV(E12,H91:AA91)*(1+F58)^0.5</f>
        <v>0</v>
      </c>
    </row>
    <row r="93" spans="1:27">
      <c r="B93" s="18" t="s">
        <v>397</v>
      </c>
      <c r="E93" s="21">
        <f>E81</f>
        <v>13269980.010681549</v>
      </c>
    </row>
    <row r="94" spans="1:27">
      <c r="B94" s="18" t="s">
        <v>700</v>
      </c>
      <c r="E94" s="21">
        <f>E92+E93</f>
        <v>13269980.010681549</v>
      </c>
    </row>
    <row r="95" spans="1:27">
      <c r="B95" s="18" t="s">
        <v>1</v>
      </c>
      <c r="E95" s="21">
        <f>E83</f>
        <v>413920</v>
      </c>
    </row>
    <row r="96" spans="1:27">
      <c r="B96" s="18" t="s">
        <v>401</v>
      </c>
      <c r="E96" s="34">
        <f>E94/E95</f>
        <v>32.059286844514759</v>
      </c>
    </row>
  </sheetData>
  <conditionalFormatting sqref="A1:XFD1048576">
    <cfRule type="containsText" dxfId="17" priority="5" operator="containsText" text="FALSE">
      <formula>NOT(ISERROR(SEARCH("FALSE",A1)))</formula>
    </cfRule>
    <cfRule type="cellIs" dxfId="16" priority="6" operator="equal">
      <formula>TRUE</formula>
    </cfRule>
  </conditionalFormatting>
  <conditionalFormatting sqref="H1:AA1048576">
    <cfRule type="expression" dxfId="15" priority="4">
      <formula>H$5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10" r:id="rId3" name="Drop Down 2">
              <controlPr defaultSize="0" autoLine="0" autoPict="0">
                <anchor moveWithCells="1">
                  <from>
                    <xdr:col>3</xdr:col>
                    <xdr:colOff>679450</xdr:colOff>
                    <xdr:row>2</xdr:row>
                    <xdr:rowOff>0</xdr:rowOff>
                  </from>
                  <to>
                    <xdr:col>3</xdr:col>
                    <xdr:colOff>1911350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C97"/>
  <sheetViews>
    <sheetView zoomScale="80" zoomScaleNormal="80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H25" sqref="H25"/>
    </sheetView>
  </sheetViews>
  <sheetFormatPr defaultColWidth="8.81640625" defaultRowHeight="14.5"/>
  <cols>
    <col min="1" max="3" width="1.1796875" style="18" customWidth="1"/>
    <col min="4" max="4" width="50.1796875" style="18" customWidth="1"/>
    <col min="5" max="6" width="9.453125" style="18" customWidth="1"/>
    <col min="7" max="8" width="11.54296875" style="18" customWidth="1"/>
    <col min="9" max="13" width="12.453125" style="18" customWidth="1"/>
    <col min="14" max="29" width="12.81640625" style="18" customWidth="1"/>
    <col min="30" max="16384" width="8.81640625" style="18"/>
  </cols>
  <sheetData>
    <row r="1" spans="1:29">
      <c r="E1" s="34">
        <f ca="1">'Amazon DCF'!E72</f>
        <v>523.98073349690139</v>
      </c>
    </row>
    <row r="2" spans="1:29">
      <c r="B2" s="18" t="s">
        <v>70</v>
      </c>
      <c r="I2" s="18">
        <f>'Amazon Model'!H13</f>
        <v>2012</v>
      </c>
      <c r="J2" s="18">
        <f>'Amazon Model'!I13</f>
        <v>2013</v>
      </c>
      <c r="K2" s="18">
        <f>'Amazon Model'!J13</f>
        <v>2014</v>
      </c>
      <c r="L2" s="18">
        <f>'Amazon Model'!K13</f>
        <v>2015</v>
      </c>
      <c r="M2" s="18">
        <f>'Amazon Model'!L13</f>
        <v>2016</v>
      </c>
      <c r="N2" s="18">
        <f>'Amazon Model'!M13</f>
        <v>2017</v>
      </c>
      <c r="O2" s="18">
        <f>N2+1</f>
        <v>2018</v>
      </c>
      <c r="P2" s="18">
        <f t="shared" ref="P2:AC2" si="0">O2+1</f>
        <v>2019</v>
      </c>
      <c r="Q2" s="18">
        <f t="shared" si="0"/>
        <v>2020</v>
      </c>
      <c r="R2" s="18">
        <f t="shared" si="0"/>
        <v>2021</v>
      </c>
      <c r="S2" s="18">
        <f t="shared" si="0"/>
        <v>2022</v>
      </c>
      <c r="T2" s="18">
        <f t="shared" si="0"/>
        <v>2023</v>
      </c>
      <c r="U2" s="18">
        <f t="shared" si="0"/>
        <v>2024</v>
      </c>
      <c r="V2" s="18">
        <f t="shared" si="0"/>
        <v>2025</v>
      </c>
      <c r="W2" s="18">
        <f t="shared" si="0"/>
        <v>2026</v>
      </c>
      <c r="X2" s="18">
        <f t="shared" si="0"/>
        <v>2027</v>
      </c>
      <c r="Y2" s="18">
        <f t="shared" si="0"/>
        <v>2028</v>
      </c>
      <c r="Z2" s="18">
        <f t="shared" si="0"/>
        <v>2029</v>
      </c>
      <c r="AA2" s="18">
        <f t="shared" si="0"/>
        <v>2030</v>
      </c>
      <c r="AB2" s="18">
        <f t="shared" si="0"/>
        <v>2031</v>
      </c>
      <c r="AC2" s="18">
        <f t="shared" si="0"/>
        <v>2032</v>
      </c>
    </row>
    <row r="3" spans="1:29">
      <c r="B3" s="18" t="s">
        <v>139</v>
      </c>
      <c r="E3" s="28">
        <v>2017</v>
      </c>
      <c r="I3" s="18" t="b">
        <f>I2&lt;=$E$3</f>
        <v>1</v>
      </c>
      <c r="J3" s="18" t="b">
        <f t="shared" ref="J3:AC3" si="1">J2&lt;=$E$3</f>
        <v>1</v>
      </c>
      <c r="K3" s="18" t="b">
        <f t="shared" si="1"/>
        <v>1</v>
      </c>
      <c r="L3" s="18" t="b">
        <f t="shared" si="1"/>
        <v>1</v>
      </c>
      <c r="M3" s="18" t="b">
        <f t="shared" si="1"/>
        <v>1</v>
      </c>
      <c r="N3" s="18" t="b">
        <f t="shared" si="1"/>
        <v>1</v>
      </c>
      <c r="O3" s="18" t="b">
        <f t="shared" si="1"/>
        <v>0</v>
      </c>
      <c r="P3" s="18" t="b">
        <f t="shared" si="1"/>
        <v>0</v>
      </c>
      <c r="Q3" s="18" t="b">
        <f t="shared" si="1"/>
        <v>0</v>
      </c>
      <c r="R3" s="18" t="b">
        <f t="shared" si="1"/>
        <v>0</v>
      </c>
      <c r="S3" s="18" t="b">
        <f t="shared" si="1"/>
        <v>0</v>
      </c>
      <c r="T3" s="18" t="b">
        <f t="shared" si="1"/>
        <v>0</v>
      </c>
      <c r="U3" s="18" t="b">
        <f t="shared" si="1"/>
        <v>0</v>
      </c>
      <c r="V3" s="18" t="b">
        <f t="shared" si="1"/>
        <v>0</v>
      </c>
      <c r="W3" s="18" t="b">
        <f t="shared" si="1"/>
        <v>0</v>
      </c>
      <c r="X3" s="18" t="b">
        <f t="shared" si="1"/>
        <v>0</v>
      </c>
      <c r="Y3" s="18" t="b">
        <f t="shared" si="1"/>
        <v>0</v>
      </c>
      <c r="Z3" s="18" t="b">
        <f t="shared" si="1"/>
        <v>0</v>
      </c>
      <c r="AA3" s="18" t="b">
        <f t="shared" si="1"/>
        <v>0</v>
      </c>
      <c r="AB3" s="18" t="b">
        <f t="shared" si="1"/>
        <v>0</v>
      </c>
      <c r="AC3" s="18" t="b">
        <f t="shared" si="1"/>
        <v>0</v>
      </c>
    </row>
    <row r="4" spans="1:29">
      <c r="B4" s="18" t="s">
        <v>140</v>
      </c>
      <c r="E4" s="18">
        <f>'Amazon Model'!F5</f>
        <v>2016</v>
      </c>
      <c r="I4" s="18" t="b">
        <f>I2&lt;=$E$4</f>
        <v>1</v>
      </c>
      <c r="J4" s="18" t="b">
        <f t="shared" ref="J4:AC4" si="2">J2&lt;=$E$4</f>
        <v>1</v>
      </c>
      <c r="K4" s="18" t="b">
        <f t="shared" si="2"/>
        <v>1</v>
      </c>
      <c r="L4" s="18" t="b">
        <f t="shared" si="2"/>
        <v>1</v>
      </c>
      <c r="M4" s="18" t="b">
        <f t="shared" si="2"/>
        <v>1</v>
      </c>
      <c r="N4" s="18" t="b">
        <f t="shared" si="2"/>
        <v>0</v>
      </c>
      <c r="O4" s="18" t="b">
        <f t="shared" si="2"/>
        <v>0</v>
      </c>
      <c r="P4" s="18" t="b">
        <f t="shared" si="2"/>
        <v>0</v>
      </c>
      <c r="Q4" s="18" t="b">
        <f t="shared" si="2"/>
        <v>0</v>
      </c>
      <c r="R4" s="18" t="b">
        <f t="shared" si="2"/>
        <v>0</v>
      </c>
      <c r="S4" s="18" t="b">
        <f t="shared" si="2"/>
        <v>0</v>
      </c>
      <c r="T4" s="18" t="b">
        <f t="shared" si="2"/>
        <v>0</v>
      </c>
      <c r="U4" s="18" t="b">
        <f t="shared" si="2"/>
        <v>0</v>
      </c>
      <c r="V4" s="18" t="b">
        <f t="shared" si="2"/>
        <v>0</v>
      </c>
      <c r="W4" s="18" t="b">
        <f t="shared" si="2"/>
        <v>0</v>
      </c>
      <c r="X4" s="18" t="b">
        <f t="shared" si="2"/>
        <v>0</v>
      </c>
      <c r="Y4" s="18" t="b">
        <f t="shared" si="2"/>
        <v>0</v>
      </c>
      <c r="Z4" s="18" t="b">
        <f t="shared" si="2"/>
        <v>0</v>
      </c>
      <c r="AA4" s="18" t="b">
        <f t="shared" si="2"/>
        <v>0</v>
      </c>
      <c r="AB4" s="18" t="b">
        <f t="shared" si="2"/>
        <v>0</v>
      </c>
      <c r="AC4" s="18" t="b">
        <f t="shared" si="2"/>
        <v>0</v>
      </c>
    </row>
    <row r="7" spans="1:29" s="72" customFormat="1">
      <c r="A7" s="72" t="s">
        <v>141</v>
      </c>
      <c r="E7" s="72" t="s">
        <v>142</v>
      </c>
      <c r="F7" s="76" t="s">
        <v>143</v>
      </c>
      <c r="I7" s="77"/>
      <c r="J7" s="77"/>
      <c r="K7" s="77"/>
      <c r="L7" s="77"/>
      <c r="M7" s="77"/>
    </row>
    <row r="8" spans="1:29">
      <c r="B8" s="18" t="s">
        <v>144</v>
      </c>
    </row>
    <row r="9" spans="1:29">
      <c r="C9" s="18" t="s">
        <v>145</v>
      </c>
      <c r="E9" s="28" t="b">
        <v>1</v>
      </c>
      <c r="F9" s="75">
        <f>'Sensitivity and Presentation'!$E$32</f>
        <v>1</v>
      </c>
      <c r="G9" s="18" t="str">
        <f>INDEX(C60:C63,F9)</f>
        <v>Base Case</v>
      </c>
      <c r="I9" s="20"/>
      <c r="J9" s="20">
        <f>IF(J3,'Amazon Model'!I15/'Amazon Model'!H15-1,'Amazon Assumptions'!J65)</f>
        <v>0.21869373056146668</v>
      </c>
      <c r="K9" s="20">
        <f>IF(K3,'Amazon Model'!J15/'Amazon Model'!I15-1,'Amazon Assumptions'!K65)</f>
        <v>0.19529885829415705</v>
      </c>
      <c r="L9" s="20">
        <f>IF(L3,'Amazon Model'!K15/'Amazon Model'!J15-1,'Amazon Assumptions'!L65)</f>
        <v>0.20249466232160906</v>
      </c>
      <c r="M9" s="20">
        <f>IF(M3,'Amazon Model'!L15/'Amazon Model'!K15-1,'Amazon Assumptions'!M65)</f>
        <v>0.2708158116063919</v>
      </c>
      <c r="N9" s="20">
        <f>IF(N3,'Amazon Model'!M15/'Amazon Model'!L15-1,'Amazon Assumptions'!N65)</f>
        <v>0.29347289796808984</v>
      </c>
      <c r="O9" s="20">
        <f>IF(O3,'Amazon Model'!N15/'Amazon Model'!M15-1,'Amazon Assumptions'!O65)</f>
        <v>0.28999999999999998</v>
      </c>
      <c r="P9" s="20">
        <f>IF(P3,'Amazon Model'!O15/'Amazon Model'!N15-1,'Amazon Assumptions'!P65)</f>
        <v>0.2</v>
      </c>
      <c r="Q9" s="20">
        <f>IF(Q3,'Amazon Model'!P15/'Amazon Model'!O15-1,'Amazon Assumptions'!Q65)</f>
        <v>0.18612097182041992</v>
      </c>
      <c r="R9" s="20">
        <f>IF(R3,'Amazon Model'!Q15/'Amazon Model'!P15-1,'Amazon Assumptions'!R65)</f>
        <v>0.17320508075688773</v>
      </c>
      <c r="S9" s="20">
        <f>IF(S3,'Amazon Model'!R15/'Amazon Model'!Q15-1,'Amazon Assumptions'!S65)</f>
        <v>0.16118548977353128</v>
      </c>
      <c r="T9" s="20">
        <f>IF(T3,'Amazon Model'!S15/'Amazon Model'!R15-1,'Amazon Assumptions'!T65)</f>
        <v>0.15</v>
      </c>
      <c r="U9" s="20">
        <f>IF(U3,'Amazon Model'!T15/'Amazon Model'!S15-1,'Amazon Assumptions'!U65)</f>
        <v>0.11397535284773888</v>
      </c>
      <c r="V9" s="20">
        <f>IF(V3,'Amazon Model'!U15/'Amazon Model'!T15-1,'Amazon Assumptions'!V65)</f>
        <v>8.6602540378443879E-2</v>
      </c>
      <c r="W9" s="20">
        <f>IF(W3,'Amazon Model'!V15/'Amazon Model'!U15-1,'Amazon Assumptions'!W65)</f>
        <v>6.5803700647624627E-2</v>
      </c>
      <c r="X9" s="20">
        <f>IF(X3,'Amazon Model'!W15/'Amazon Model'!V15-1,'Amazon Assumptions'!X65)</f>
        <v>0.05</v>
      </c>
      <c r="Y9" s="20">
        <f>IF(Y3,'Amazon Model'!X15/'Amazon Model'!W15-1,'Amazon Assumptions'!Y65)</f>
        <v>0.05</v>
      </c>
      <c r="Z9" s="20">
        <f>IF(Z3,'Amazon Model'!Y15/'Amazon Model'!X15-1,'Amazon Assumptions'!Z65)</f>
        <v>0.05</v>
      </c>
      <c r="AA9" s="20">
        <f>IF(AA3,'Amazon Model'!Z15/'Amazon Model'!Y15-1,'Amazon Assumptions'!AA65)</f>
        <v>0.05</v>
      </c>
      <c r="AB9" s="20">
        <f>IF(AB3,'Amazon Model'!AA15/'Amazon Model'!Z15-1,'Amazon Assumptions'!AB65)</f>
        <v>0.05</v>
      </c>
      <c r="AC9" s="20">
        <f>IF(AC3,'Amazon Model'!AB15/'Amazon Model'!AA15-1,'Amazon Assumptions'!AC65)</f>
        <v>0.05</v>
      </c>
    </row>
    <row r="10" spans="1:29">
      <c r="C10" s="18" t="s">
        <v>146</v>
      </c>
      <c r="E10" s="28" t="b">
        <v>1</v>
      </c>
      <c r="F10" s="75">
        <f>'Sensitivity and Presentation'!G32</f>
        <v>1</v>
      </c>
      <c r="I10" s="20">
        <f>IF(I3,'Amazon Model'!H16/'Amazon Model'!H15,I73)</f>
        <v>0.72254051399574404</v>
      </c>
      <c r="J10" s="20">
        <f>IF(J3,'Amazon Model'!I16/'Amazon Model'!I15,J73)</f>
        <v>0.69012760241772997</v>
      </c>
      <c r="K10" s="20">
        <f>IF(K3,'Amazon Model'!J16/'Amazon Model'!J15,K73)</f>
        <v>0.65816383863355432</v>
      </c>
      <c r="L10" s="20">
        <f>IF(L3,'Amazon Model'!K16/'Amazon Model'!K15,L73)</f>
        <v>0.61676478833753856</v>
      </c>
      <c r="M10" s="20">
        <f>IF(M3,'Amazon Model'!L16/'Amazon Model'!L15,M73)</f>
        <v>0.59401426575483496</v>
      </c>
      <c r="N10" s="20">
        <f>IF(N3,'Amazon Model'!M16/'Amazon Model'!M15,N73)</f>
        <v>0.58300346351110344</v>
      </c>
      <c r="O10" s="20">
        <f>IF(O3,'Amazon Model'!N16/'Amazon Model'!N15,O73)</f>
        <v>0.61</v>
      </c>
      <c r="P10" s="20">
        <f>IF(P3,'Amazon Model'!O16/'Amazon Model'!O15,P73)</f>
        <v>0.60235757282057845</v>
      </c>
      <c r="Q10" s="20">
        <f>IF(Q3,'Amazon Model'!P16/'Amazon Model'!P15,Q73)</f>
        <v>0.59481089431852208</v>
      </c>
      <c r="R10" s="20">
        <f>IF(R3,'Amazon Model'!Q16/'Amazon Model'!Q15,R73)</f>
        <v>0.58735876489990568</v>
      </c>
      <c r="S10" s="20">
        <f>IF(S3,'Amazon Model'!R16/'Amazon Model'!R15,S73)</f>
        <v>0.57999999999999996</v>
      </c>
      <c r="T10" s="20">
        <f>IF(T3,'Amazon Model'!S16/'Amazon Model'!S15,T73)</f>
        <v>0.57999999999999996</v>
      </c>
      <c r="U10" s="20">
        <f>IF(U3,'Amazon Model'!T16/'Amazon Model'!T15,U73)</f>
        <v>0.57999999999999996</v>
      </c>
      <c r="V10" s="20">
        <f>IF(V3,'Amazon Model'!U16/'Amazon Model'!U15,V73)</f>
        <v>0.57999999999999996</v>
      </c>
      <c r="W10" s="20">
        <f>IF(W3,'Amazon Model'!V16/'Amazon Model'!V15,W73)</f>
        <v>0.57999999999999996</v>
      </c>
      <c r="X10" s="20">
        <f>IF(X3,'Amazon Model'!W16/'Amazon Model'!W15,X73)</f>
        <v>0.57999999999999996</v>
      </c>
      <c r="Y10" s="20">
        <f>IF(Y3,'Amazon Model'!X16/'Amazon Model'!X15,Y73)</f>
        <v>0.57999999999999996</v>
      </c>
      <c r="Z10" s="20">
        <f>IF(Z3,'Amazon Model'!Y16/'Amazon Model'!Y15,Z73)</f>
        <v>0.57999999999999996</v>
      </c>
      <c r="AA10" s="20">
        <f>IF(AA3,'Amazon Model'!Z16/'Amazon Model'!Z15,AA73)</f>
        <v>0.57999999999999996</v>
      </c>
      <c r="AB10" s="20">
        <f>IF(AB3,'Amazon Model'!AA16/'Amazon Model'!AA15,AB73)</f>
        <v>0.57999999999999996</v>
      </c>
      <c r="AC10" s="20">
        <f>IF(AC3,'Amazon Model'!AB16/'Amazon Model'!AB15,AC73)</f>
        <v>0.57999999999999996</v>
      </c>
    </row>
    <row r="11" spans="1:29">
      <c r="C11" s="18" t="s">
        <v>741</v>
      </c>
      <c r="E11" s="28" t="b">
        <v>1</v>
      </c>
      <c r="F11" s="75">
        <f>'Sensitivity and Presentation'!I32</f>
        <v>3</v>
      </c>
      <c r="I11" s="20">
        <f>IF(I4,'Amazon Model'!H18/'Amazon Model'!H15,I81)</f>
        <v>7.4643967916189227E-2</v>
      </c>
      <c r="J11" s="20">
        <f>IF(J4,'Amazon Model'!I18/'Amazon Model'!I15,J81)</f>
        <v>8.8247145735392885E-2</v>
      </c>
      <c r="K11" s="20">
        <f>IF(K4,'Amazon Model'!J18/'Amazon Model'!J15,K81)</f>
        <v>0.10428137993032925</v>
      </c>
      <c r="L11" s="20">
        <f>IF(L4,'Amazon Model'!K18/'Amazon Model'!K15,L81)</f>
        <v>0.11718530978413233</v>
      </c>
      <c r="M11" s="20">
        <f>IF(M4,'Amazon Model'!L18/'Amazon Model'!L15,M81)</f>
        <v>0.11831752334730494</v>
      </c>
      <c r="N11" s="20">
        <f>IF(N4,'Amazon Model'!M18/'Amazon Model'!M15,N81)</f>
        <v>0.11</v>
      </c>
      <c r="O11" s="20">
        <f>IF(O4,'Amazon Model'!N18/'Amazon Model'!N15,O81)</f>
        <v>0.11</v>
      </c>
      <c r="P11" s="20">
        <f>IF(P4,'Amazon Model'!O18/'Amazon Model'!O15,P81)</f>
        <v>0.11</v>
      </c>
      <c r="Q11" s="20">
        <f>IF(Q4,'Amazon Model'!P18/'Amazon Model'!P15,Q81)</f>
        <v>0.11</v>
      </c>
      <c r="R11" s="20">
        <f>IF(R4,'Amazon Model'!Q18/'Amazon Model'!Q15,R81)</f>
        <v>0.11</v>
      </c>
      <c r="S11" s="20">
        <f>IF(S4,'Amazon Model'!R18/'Amazon Model'!R15,S81)</f>
        <v>0.11</v>
      </c>
      <c r="T11" s="20">
        <f>IF(T4,'Amazon Model'!S18/'Amazon Model'!S15,T81)</f>
        <v>0.11</v>
      </c>
      <c r="U11" s="20">
        <f>IF(U4,'Amazon Model'!T18/'Amazon Model'!T15,U81)</f>
        <v>0.11</v>
      </c>
      <c r="V11" s="20">
        <f>IF(V4,'Amazon Model'!U18/'Amazon Model'!U15,V81)</f>
        <v>0.11</v>
      </c>
      <c r="W11" s="20">
        <f>IF(W4,'Amazon Model'!V18/'Amazon Model'!V15,W81)</f>
        <v>0.09</v>
      </c>
      <c r="X11" s="20">
        <f>IF(X4,'Amazon Model'!W18/'Amazon Model'!W15,X81)</f>
        <v>0.09</v>
      </c>
      <c r="Y11" s="20">
        <f>IF(Y4,'Amazon Model'!X18/'Amazon Model'!X15,Y81)</f>
        <v>0.09</v>
      </c>
      <c r="Z11" s="20">
        <f>IF(Z4,'Amazon Model'!Y18/'Amazon Model'!Y15,Z81)</f>
        <v>0.09</v>
      </c>
      <c r="AA11" s="20">
        <f>IF(AA4,'Amazon Model'!Z18/'Amazon Model'!Z15,AA81)</f>
        <v>0.09</v>
      </c>
      <c r="AB11" s="20">
        <f>IF(AB4,'Amazon Model'!AA18/'Amazon Model'!AA15,AB81)</f>
        <v>0.09</v>
      </c>
      <c r="AC11" s="20">
        <f>IF(AC4,'Amazon Model'!AB18/'Amazon Model'!AB15,AC81)</f>
        <v>0.09</v>
      </c>
    </row>
    <row r="12" spans="1:29">
      <c r="C12" s="18" t="s">
        <v>148</v>
      </c>
      <c r="E12" s="28" t="b">
        <v>1</v>
      </c>
      <c r="F12" s="75">
        <f>'Sensitivity and Presentation'!K32</f>
        <v>1</v>
      </c>
      <c r="I12" s="20">
        <f>IF(I4,'Amazon Model'!H19/'Amazon Model'!H15,I89)</f>
        <v>0.15910951055819283</v>
      </c>
      <c r="J12" s="20">
        <f>IF(J4,'Amazon Model'!I19/'Amazon Model'!I15,J89)</f>
        <v>0.17259905977165882</v>
      </c>
      <c r="K12" s="20">
        <f>IF(K4,'Amazon Model'!J19/'Amazon Model'!J15,K89)</f>
        <v>0.18709967412068773</v>
      </c>
      <c r="L12" s="20">
        <f>IF(L4,'Amazon Model'!K19/'Amazon Model'!K15,L89)</f>
        <v>0.19072983833286608</v>
      </c>
      <c r="M12" s="20">
        <f>IF(M4,'Amazon Model'!L19/'Amazon Model'!L15,M89)</f>
        <v>0.2006029855136407</v>
      </c>
      <c r="N12" s="20">
        <f>IF(N4,'Amazon Model'!M19/'Amazon Model'!M15,N89)</f>
        <v>0.2147</v>
      </c>
      <c r="O12" s="20">
        <f>IF(O4,'Amazon Model'!N19/'Amazon Model'!N15,O89)</f>
        <v>0.2</v>
      </c>
      <c r="P12" s="20">
        <f>IF(P4,'Amazon Model'!O19/'Amazon Model'!O15,P89)</f>
        <v>0.2</v>
      </c>
      <c r="Q12" s="20">
        <f>IF(Q4,'Amazon Model'!P19/'Amazon Model'!P15,Q89)</f>
        <v>0.2</v>
      </c>
      <c r="R12" s="20">
        <f>IF(R4,'Amazon Model'!Q19/'Amazon Model'!Q15,R89)</f>
        <v>0.2</v>
      </c>
      <c r="S12" s="20">
        <f>IF(S4,'Amazon Model'!R19/'Amazon Model'!R15,S89)</f>
        <v>0.2</v>
      </c>
      <c r="T12" s="20">
        <f>IF(T4,'Amazon Model'!S19/'Amazon Model'!S15,T89)</f>
        <v>0.2</v>
      </c>
      <c r="U12" s="20">
        <f>IF(U4,'Amazon Model'!T19/'Amazon Model'!T15,U89)</f>
        <v>0.2</v>
      </c>
      <c r="V12" s="20">
        <f>IF(V4,'Amazon Model'!U19/'Amazon Model'!U15,V89)</f>
        <v>0.2</v>
      </c>
      <c r="W12" s="20">
        <f>IF(W4,'Amazon Model'!V19/'Amazon Model'!V15,W89)</f>
        <v>0.2</v>
      </c>
      <c r="X12" s="20">
        <f>IF(X4,'Amazon Model'!W19/'Amazon Model'!W15,X89)</f>
        <v>0.2</v>
      </c>
      <c r="Y12" s="20">
        <f>IF(Y4,'Amazon Model'!X19/'Amazon Model'!X15,Y89)</f>
        <v>0.2</v>
      </c>
      <c r="Z12" s="20">
        <f>IF(Z4,'Amazon Model'!Y19/'Amazon Model'!Y15,Z89)</f>
        <v>0.2</v>
      </c>
      <c r="AA12" s="20">
        <f>IF(AA4,'Amazon Model'!Z19/'Amazon Model'!Z15,AA89)</f>
        <v>0.2</v>
      </c>
      <c r="AB12" s="20">
        <f>IF(AB4,'Amazon Model'!AA19/'Amazon Model'!AA15,AB89)</f>
        <v>0.2</v>
      </c>
      <c r="AC12" s="20">
        <f>IF(AC4,'Amazon Model'!AB19/'Amazon Model'!AB15,AC89)</f>
        <v>0.2</v>
      </c>
    </row>
    <row r="13" spans="1:29">
      <c r="C13" s="18" t="s">
        <v>149</v>
      </c>
      <c r="I13" s="21">
        <f>'Amazon Model'!H20</f>
        <v>0</v>
      </c>
      <c r="J13" s="21">
        <f>'Amazon Model'!I20</f>
        <v>0</v>
      </c>
      <c r="K13" s="21">
        <f>'Amazon Model'!J20</f>
        <v>0</v>
      </c>
      <c r="L13" s="21">
        <f>'Amazon Model'!K20</f>
        <v>0</v>
      </c>
      <c r="M13" s="21">
        <f>'Amazon Model'!L20</f>
        <v>0</v>
      </c>
      <c r="N13" s="21">
        <f>'Amazon Model'!M20</f>
        <v>0</v>
      </c>
    </row>
    <row r="14" spans="1:29">
      <c r="B14" s="18" t="s">
        <v>150</v>
      </c>
    </row>
    <row r="15" spans="1:29">
      <c r="C15" s="18" t="s">
        <v>151</v>
      </c>
      <c r="I15" s="21">
        <f>-'Amazon Model'!H62</f>
        <v>3790000</v>
      </c>
      <c r="J15" s="21">
        <f>-'Amazon Model'!I62</f>
        <v>3440000</v>
      </c>
      <c r="K15" s="21">
        <f>-'Amazon Model'!J62</f>
        <v>4890000</v>
      </c>
      <c r="L15" s="21">
        <f>-'Amazon Model'!K62</f>
        <v>4590000</v>
      </c>
      <c r="M15" s="21">
        <f>-'Amazon Model'!L62</f>
        <v>6740000</v>
      </c>
      <c r="N15" s="21">
        <f>-'Amazon Model'!M62</f>
        <v>9030000</v>
      </c>
    </row>
    <row r="16" spans="1:29">
      <c r="C16" s="18" t="s">
        <v>152</v>
      </c>
      <c r="E16" s="28" t="b">
        <v>1</v>
      </c>
      <c r="F16" s="84">
        <f>'Sensitivity and Presentation'!M32</f>
        <v>1</v>
      </c>
      <c r="G16" s="20"/>
      <c r="I16" s="20">
        <f>IF(I4,I15/'Amazon Model'!H15,'Amazon Assumptions'!I97)</f>
        <v>6.2039613684727449E-2</v>
      </c>
      <c r="J16" s="20">
        <f>IF(J4,J15/'Amazon Model'!I15,'Amazon Assumptions'!J97)</f>
        <v>4.6205507051712558E-2</v>
      </c>
      <c r="K16" s="20">
        <f>IF(K4,K15/'Amazon Model'!J15,'Amazon Assumptions'!K97)</f>
        <v>5.4949994381391171E-2</v>
      </c>
      <c r="L16" s="20">
        <f>IF(L4,L15/'Amazon Model'!K15,'Amazon Assumptions'!L97)</f>
        <v>4.289318755256518E-2</v>
      </c>
      <c r="M16" s="20">
        <f>IF(M4,M15/'Amazon Model'!L15,'Amazon Assumptions'!M97)</f>
        <v>4.9562467828516803E-2</v>
      </c>
      <c r="N16" s="20">
        <f>IF(N4,N15/'Amazon Model'!M15,'Amazon Assumptions'!N97)</f>
        <v>0.05</v>
      </c>
      <c r="O16" s="20">
        <f>IF(O4,O15/'Amazon Model'!N15,'Amazon Assumptions'!O97)</f>
        <v>0.06</v>
      </c>
      <c r="P16" s="20">
        <f>IF(P4,P15/'Amazon Model'!O15,'Amazon Assumptions'!P97)</f>
        <v>0.06</v>
      </c>
      <c r="Q16" s="20">
        <f>IF(Q4,Q15/'Amazon Model'!P15,'Amazon Assumptions'!Q97)</f>
        <v>0.06</v>
      </c>
      <c r="R16" s="20">
        <f>IF(R4,R15/'Amazon Model'!Q15,'Amazon Assumptions'!R97)</f>
        <v>0.06</v>
      </c>
      <c r="S16" s="20">
        <f>IF(S4,S15/'Amazon Model'!R15,'Amazon Assumptions'!S97)</f>
        <v>0.08</v>
      </c>
      <c r="T16" s="20">
        <f>IF(T4,T15/'Amazon Model'!S15,'Amazon Assumptions'!T97)</f>
        <v>0.08</v>
      </c>
      <c r="U16" s="20">
        <f>IF(U4,U15/'Amazon Model'!T15,'Amazon Assumptions'!U97)</f>
        <v>0.08</v>
      </c>
      <c r="V16" s="20">
        <f>IF(V4,V15/'Amazon Model'!U15,'Amazon Assumptions'!V97)</f>
        <v>0.08</v>
      </c>
      <c r="W16" s="20">
        <f>IF(W4,W15/'Amazon Model'!V15,'Amazon Assumptions'!W97)</f>
        <v>7.0000000000000007E-2</v>
      </c>
      <c r="X16" s="20">
        <f>IF(X4,X15/'Amazon Model'!W15,'Amazon Assumptions'!X97)</f>
        <v>7.0000000000000007E-2</v>
      </c>
      <c r="Y16" s="20">
        <f>IF(Y4,Y15/'Amazon Model'!X15,'Amazon Assumptions'!Y97)</f>
        <v>7.0000000000000007E-2</v>
      </c>
      <c r="Z16" s="20">
        <f>IF(Z4,Z15/'Amazon Model'!Y15,'Amazon Assumptions'!Z97)</f>
        <v>7.0000000000000007E-2</v>
      </c>
      <c r="AA16" s="20">
        <f>IF(AA4,AA15/'Amazon Model'!Z15,'Amazon Assumptions'!AA97)</f>
        <v>7.0000000000000007E-2</v>
      </c>
      <c r="AB16" s="20">
        <f>IF(AB4,AB15/'Amazon Model'!AA15,'Amazon Assumptions'!AB97)</f>
        <v>7.0000000000000007E-2</v>
      </c>
      <c r="AC16" s="20">
        <f>IF(AC4,AC15/'Amazon Model'!AB15,'Amazon Assumptions'!AC97)</f>
        <v>7.0000000000000007E-2</v>
      </c>
    </row>
    <row r="17" spans="2:29">
      <c r="C17" s="18" t="s">
        <v>153</v>
      </c>
      <c r="I17" s="20">
        <f>IF('Amazon Model'!H5,I15/'Amazon Model'!H23)</f>
        <v>2.2694610778443112</v>
      </c>
      <c r="J17" s="20">
        <f>IF('Amazon Model'!I5,J15/'Amazon Model'!I23)</f>
        <v>1.3079847908745248</v>
      </c>
      <c r="K17" s="20">
        <f>IF('Amazon Model'!J5,K15/'Amazon Model'!J23)</f>
        <v>1.2194512955454304</v>
      </c>
      <c r="L17" s="20">
        <f>IF('Amazon Model'!K5,L15/'Amazon Model'!K23)</f>
        <v>0.85315985130111527</v>
      </c>
      <c r="M17" s="20">
        <f>IF('Amazon Model'!L5,M15/'Amazon Model'!L23)</f>
        <v>0.93611111111111112</v>
      </c>
      <c r="N17" s="20" t="b">
        <f>IF('Amazon Model'!M5,N15/'Amazon Model'!M23)</f>
        <v>0</v>
      </c>
    </row>
    <row r="18" spans="2:29">
      <c r="C18" s="18" t="s">
        <v>154</v>
      </c>
      <c r="I18" s="21">
        <f>-'Amazon Model'!H63</f>
        <v>0</v>
      </c>
      <c r="J18" s="21">
        <f>-'Amazon Model'!I63</f>
        <v>0</v>
      </c>
      <c r="K18" s="21">
        <f>-'Amazon Model'!J63</f>
        <v>0</v>
      </c>
      <c r="L18" s="21">
        <f>-'Amazon Model'!K63</f>
        <v>0</v>
      </c>
      <c r="M18" s="21">
        <f>-'Amazon Model'!L63</f>
        <v>0</v>
      </c>
      <c r="N18" s="21">
        <f>-'Amazon Model'!M63</f>
        <v>0</v>
      </c>
    </row>
    <row r="19" spans="2:29">
      <c r="C19" s="18" t="s">
        <v>155</v>
      </c>
      <c r="I19" s="21">
        <f>-'Amazon Model'!H64</f>
        <v>745000</v>
      </c>
      <c r="J19" s="21">
        <f>-'Amazon Model'!I64</f>
        <v>312000</v>
      </c>
      <c r="K19" s="21">
        <f>-'Amazon Model'!J64</f>
        <v>979000</v>
      </c>
      <c r="L19" s="21">
        <f>-'Amazon Model'!K64</f>
        <v>795000</v>
      </c>
      <c r="M19" s="21">
        <f>-'Amazon Model'!L64</f>
        <v>116000</v>
      </c>
      <c r="N19" s="21">
        <f>-'Amazon Model'!M64</f>
        <v>18517333.333333332</v>
      </c>
    </row>
    <row r="20" spans="2:29">
      <c r="C20" s="18" t="s">
        <v>156</v>
      </c>
      <c r="E20" s="28" t="b">
        <v>0</v>
      </c>
      <c r="F20" s="20">
        <f>AVERAGEIF($4:$4,TRUE,20:20)</f>
        <v>7.1338612401175049E-3</v>
      </c>
      <c r="G20" s="20">
        <f>LOOKUP($E$4,$2:$2,20:20)</f>
        <v>8.5300389734539305E-4</v>
      </c>
      <c r="H20" s="29">
        <v>8.0000000000000002E-3</v>
      </c>
      <c r="I20" s="20">
        <f>IF(I4,I19/'Amazon Model'!H15,$H$20)</f>
        <v>1.2195121951219513E-2</v>
      </c>
      <c r="J20" s="20">
        <f>IF(J4,J19/'Amazon Model'!I15,$H$20)</f>
        <v>4.1907320349227669E-3</v>
      </c>
      <c r="K20" s="20">
        <f>IF(K4,K19/'Amazon Model'!J15,$H$20)</f>
        <v>1.1001236093943139E-2</v>
      </c>
      <c r="L20" s="20">
        <f>IF(L4,L19/'Amazon Model'!K15,$H$20)</f>
        <v>7.4292122231567146E-3</v>
      </c>
      <c r="M20" s="20">
        <f>IF(M4,M19/'Amazon Model'!L15,$H$20)</f>
        <v>8.5300389734539305E-4</v>
      </c>
      <c r="N20" s="20">
        <f>IF(N4,N19/'Amazon Model'!M15,$H$20)</f>
        <v>8.0000000000000002E-3</v>
      </c>
      <c r="O20" s="20">
        <f>IF(O4,O19/'Amazon Model'!N15,$H$20)</f>
        <v>8.0000000000000002E-3</v>
      </c>
      <c r="P20" s="20">
        <f>IF(P4,P19/'Amazon Model'!O15,$H$20)</f>
        <v>8.0000000000000002E-3</v>
      </c>
      <c r="Q20" s="20">
        <f>IF(Q4,Q19/'Amazon Model'!P15,$H$20)</f>
        <v>8.0000000000000002E-3</v>
      </c>
      <c r="R20" s="20">
        <f>IF(R4,R19/'Amazon Model'!Q15,$H$20)</f>
        <v>8.0000000000000002E-3</v>
      </c>
      <c r="S20" s="20">
        <f>IF(S4,S19/'Amazon Model'!R15,$H$20)</f>
        <v>8.0000000000000002E-3</v>
      </c>
      <c r="T20" s="20">
        <f>IF(T4,T19/'Amazon Model'!S15,$H$20)</f>
        <v>8.0000000000000002E-3</v>
      </c>
      <c r="U20" s="20">
        <f>IF(U4,U19/'Amazon Model'!T15,$H$20)</f>
        <v>8.0000000000000002E-3</v>
      </c>
      <c r="V20" s="20">
        <f>IF(V4,V19/'Amazon Model'!U15,$H$20)</f>
        <v>8.0000000000000002E-3</v>
      </c>
      <c r="W20" s="20">
        <f>IF(W4,W19/'Amazon Model'!V15,$H$20)</f>
        <v>8.0000000000000002E-3</v>
      </c>
      <c r="X20" s="20">
        <f>IF(X4,X19/'Amazon Model'!W15,$H$20)</f>
        <v>8.0000000000000002E-3</v>
      </c>
      <c r="Y20" s="20">
        <f>IF(Y4,Y19/'Amazon Model'!X15,$H$20)</f>
        <v>8.0000000000000002E-3</v>
      </c>
      <c r="Z20" s="20">
        <f>IF(Z4,Z19/'Amazon Model'!Y15,$H$20)</f>
        <v>8.0000000000000002E-3</v>
      </c>
      <c r="AA20" s="20">
        <f>IF(AA4,AA19/'Amazon Model'!Z15,$H$20)</f>
        <v>8.0000000000000002E-3</v>
      </c>
      <c r="AB20" s="20">
        <f>IF(AB4,AB19/'Amazon Model'!AA15,$H$20)</f>
        <v>8.0000000000000002E-3</v>
      </c>
      <c r="AC20" s="20">
        <f>IF(AC4,AC19/'Amazon Model'!AB15,$H$20)</f>
        <v>8.0000000000000002E-3</v>
      </c>
    </row>
    <row r="21" spans="2:29">
      <c r="B21" s="18" t="s">
        <v>89</v>
      </c>
    </row>
    <row r="22" spans="2:29">
      <c r="C22" s="18" t="s">
        <v>157</v>
      </c>
      <c r="F22" s="18" t="s">
        <v>476</v>
      </c>
      <c r="G22" s="18" t="s">
        <v>477</v>
      </c>
      <c r="I22" s="21">
        <f>'Amazon Model'!H15-'Amazon Model'!H21</f>
        <v>58420000</v>
      </c>
      <c r="J22" s="21">
        <f>'Amazon Model'!I15-'Amazon Model'!I21</f>
        <v>70800000</v>
      </c>
      <c r="K22" s="21">
        <f>'Amazon Model'!J15-'Amazon Model'!J21</f>
        <v>84500000</v>
      </c>
      <c r="L22" s="21">
        <f>'Amazon Model'!K15-'Amazon Model'!K21</f>
        <v>98950000</v>
      </c>
      <c r="M22" s="21">
        <f>'Amazon Model'!L15-'Amazon Model'!L21</f>
        <v>124150000</v>
      </c>
      <c r="N22" s="21">
        <f>'Amazon Model'!M15-'Amazon Model'!M21</f>
        <v>160642214.60455334</v>
      </c>
    </row>
    <row r="23" spans="2:29">
      <c r="C23" s="18" t="s">
        <v>158</v>
      </c>
      <c r="E23" s="28" t="b">
        <v>0</v>
      </c>
      <c r="F23" s="20">
        <f>AVERAGEIF(4:4,TRUE,23:23)</f>
        <v>5.9247659555018248E-2</v>
      </c>
      <c r="G23" s="20">
        <f>AVERAGEIF(2:2,E4,23:23)</f>
        <v>6.1328038826384296E-2</v>
      </c>
      <c r="H23" s="30">
        <v>0.05</v>
      </c>
      <c r="I23" s="20">
        <f>IF(I4,'Amazon Model'!H98/'Amazon Model'!H15,$H$23)</f>
        <v>5.5000818464560487E-2</v>
      </c>
      <c r="J23" s="20">
        <f>IF(J4,'Amazon Model'!I98/'Amazon Model'!I15,$H$23)</f>
        <v>6.4069845533915384E-2</v>
      </c>
      <c r="K23" s="20">
        <f>IF(K4,'Amazon Model'!J98/'Amazon Model'!J15,$H$23)</f>
        <v>6.3040791100123603E-2</v>
      </c>
      <c r="L23" s="20">
        <f>IF(L4,'Amazon Model'!K98/'Amazon Model'!K15,$H$23)</f>
        <v>5.2798803850107469E-2</v>
      </c>
      <c r="M23" s="20">
        <f>IF(M4,'Amazon Model'!L98/'Amazon Model'!L15,$H$23)</f>
        <v>6.1328038826384296E-2</v>
      </c>
      <c r="N23" s="20">
        <f>IF(N4,'Amazon Model'!M98/'Amazon Model'!M15,$H$23)</f>
        <v>0.05</v>
      </c>
      <c r="O23" s="20">
        <f>IF(O4,'Amazon Model'!N98/'Amazon Model'!N15,$H$23)</f>
        <v>0.05</v>
      </c>
      <c r="P23" s="20">
        <f>IF(P4,'Amazon Model'!O98/'Amazon Model'!O15,$H$23)</f>
        <v>0.05</v>
      </c>
      <c r="Q23" s="20">
        <f>IF(Q4,'Amazon Model'!P98/'Amazon Model'!P15,$H$23)</f>
        <v>0.05</v>
      </c>
      <c r="R23" s="20">
        <f>IF(R4,'Amazon Model'!Q98/'Amazon Model'!Q15,$H$23)</f>
        <v>0.05</v>
      </c>
      <c r="S23" s="20">
        <f>IF(S4,'Amazon Model'!R98/'Amazon Model'!R15,$H$23)</f>
        <v>0.05</v>
      </c>
      <c r="T23" s="20">
        <f>IF(T4,'Amazon Model'!S98/'Amazon Model'!S15,$H$23)</f>
        <v>0.05</v>
      </c>
      <c r="U23" s="20">
        <f>IF(U4,'Amazon Model'!T98/'Amazon Model'!T15,$H$23)</f>
        <v>0.05</v>
      </c>
      <c r="V23" s="20">
        <f>IF(V4,'Amazon Model'!U98/'Amazon Model'!U15,$H$23)</f>
        <v>0.05</v>
      </c>
      <c r="W23" s="20">
        <f>IF(W4,'Amazon Model'!V98/'Amazon Model'!V15,$H$23)</f>
        <v>0.05</v>
      </c>
      <c r="X23" s="20">
        <f>IF(X4,'Amazon Model'!W98/'Amazon Model'!W15,$H$23)</f>
        <v>0.05</v>
      </c>
      <c r="Y23" s="20">
        <f>IF(Y4,'Amazon Model'!X98/'Amazon Model'!X15,$H$23)</f>
        <v>0.05</v>
      </c>
      <c r="Z23" s="20">
        <f>IF(Z4,'Amazon Model'!Y98/'Amazon Model'!Y15,$H$23)</f>
        <v>0.05</v>
      </c>
      <c r="AA23" s="20">
        <f>IF(AA4,'Amazon Model'!Z98/'Amazon Model'!Z15,$H$23)</f>
        <v>0.05</v>
      </c>
      <c r="AB23" s="20">
        <f>IF(AB4,'Amazon Model'!AA98/'Amazon Model'!AA15,$H$23)</f>
        <v>0.05</v>
      </c>
      <c r="AC23" s="20">
        <f>IF(AC4,'Amazon Model'!AB98/'Amazon Model'!AB15,$H$23)</f>
        <v>0.05</v>
      </c>
    </row>
    <row r="24" spans="2:29">
      <c r="C24" s="18" t="s">
        <v>159</v>
      </c>
      <c r="E24" s="28" t="b">
        <v>0</v>
      </c>
      <c r="F24" s="20">
        <f>AVERAGEIF($4:$4,TRUE,24:24)</f>
        <v>0.1439118823688757</v>
      </c>
      <c r="G24" s="20">
        <f>LOOKUP($E$4,$2:$2,24:24)</f>
        <v>0.14186679871255262</v>
      </c>
      <c r="H24" s="29">
        <v>0.15</v>
      </c>
      <c r="I24" s="20">
        <f>IF(I4,'Amazon Model'!H99/'Amazon Model'!H16,$H$24)</f>
        <v>0.13661078386950612</v>
      </c>
      <c r="J24" s="20">
        <f>IF(J4,'Amazon Model'!I99/'Amazon Model'!I16,$H$24)</f>
        <v>0.14421954067730636</v>
      </c>
      <c r="K24" s="20">
        <f>IF(K4,'Amazon Model'!J99/'Amazon Model'!J16,$H$24)</f>
        <v>0.14171077343349839</v>
      </c>
      <c r="L24" s="20">
        <f>IF(L4,'Amazon Model'!K99/'Amazon Model'!K16,$H$24)</f>
        <v>0.15515151515151515</v>
      </c>
      <c r="M24" s="20">
        <f>IF(M4,'Amazon Model'!L99/'Amazon Model'!L16,$H$24)</f>
        <v>0.14186679871255262</v>
      </c>
      <c r="N24" s="20">
        <f>IF(N4,'Amazon Model'!M99/'Amazon Model'!M16,$H$24)</f>
        <v>0.15</v>
      </c>
      <c r="O24" s="20">
        <f>IF(O4,'Amazon Model'!N99/'Amazon Model'!N16,$H$24)</f>
        <v>0.15</v>
      </c>
      <c r="P24" s="20">
        <f>IF(P4,'Amazon Model'!O99/'Amazon Model'!O16,$H$24)</f>
        <v>0.15</v>
      </c>
      <c r="Q24" s="20">
        <f>IF(Q4,'Amazon Model'!P99/'Amazon Model'!P16,$H$24)</f>
        <v>0.15</v>
      </c>
      <c r="R24" s="20">
        <f>IF(R4,'Amazon Model'!Q99/'Amazon Model'!Q16,$H$24)</f>
        <v>0.15</v>
      </c>
      <c r="S24" s="20">
        <f>IF(S4,'Amazon Model'!R99/'Amazon Model'!R16,$H$24)</f>
        <v>0.15</v>
      </c>
      <c r="T24" s="20">
        <f>IF(T4,'Amazon Model'!S99/'Amazon Model'!S16,$H$24)</f>
        <v>0.15</v>
      </c>
      <c r="U24" s="20">
        <f>IF(U4,'Amazon Model'!T99/'Amazon Model'!T16,$H$24)</f>
        <v>0.15</v>
      </c>
      <c r="V24" s="20">
        <f>IF(V4,'Amazon Model'!U99/'Amazon Model'!U16,$H$24)</f>
        <v>0.15</v>
      </c>
      <c r="W24" s="20">
        <f>IF(W4,'Amazon Model'!V99/'Amazon Model'!V16,$H$24)</f>
        <v>0.15</v>
      </c>
      <c r="X24" s="20">
        <f>IF(X4,'Amazon Model'!W99/'Amazon Model'!W16,$H$24)</f>
        <v>0.15</v>
      </c>
      <c r="Y24" s="20">
        <f>IF(Y4,'Amazon Model'!X99/'Amazon Model'!X16,$H$24)</f>
        <v>0.15</v>
      </c>
      <c r="Z24" s="20">
        <f>IF(Z4,'Amazon Model'!Y99/'Amazon Model'!Y16,$H$24)</f>
        <v>0.15</v>
      </c>
      <c r="AA24" s="20">
        <f>IF(AA4,'Amazon Model'!Z99/'Amazon Model'!Z16,$H$24)</f>
        <v>0.15</v>
      </c>
      <c r="AB24" s="20">
        <f>IF(AB4,'Amazon Model'!AA99/'Amazon Model'!AA16,$H$24)</f>
        <v>0.15</v>
      </c>
      <c r="AC24" s="20">
        <f>IF(AC4,'Amazon Model'!AB99/'Amazon Model'!AB16,$H$24)</f>
        <v>0.15</v>
      </c>
    </row>
    <row r="25" spans="2:29">
      <c r="C25" s="18" t="s">
        <v>160</v>
      </c>
      <c r="E25" s="28" t="b">
        <v>0</v>
      </c>
      <c r="F25" s="20">
        <f>AVERAGEIF($4:$4,TRUE,25:25)</f>
        <v>1.4830577835979702E-3</v>
      </c>
      <c r="G25" s="20">
        <f>LOOKUP($E$4,$2:$2,25:25)</f>
        <v>0</v>
      </c>
      <c r="H25" s="29">
        <v>0</v>
      </c>
      <c r="I25" s="20">
        <f>IF(I4,('Amazon Model'!H100+'Amazon Model'!H101)/'Amazon Model'!H15,$H$25)</f>
        <v>7.4152889179898507E-3</v>
      </c>
      <c r="J25" s="20">
        <f>IF(J4,('Amazon Model'!I100+'Amazon Model'!I101)/'Amazon Model'!I15,$H$25)</f>
        <v>0</v>
      </c>
      <c r="K25" s="20">
        <f>IF(K4,('Amazon Model'!J100+'Amazon Model'!J101)/'Amazon Model'!J15,$H$25)</f>
        <v>0</v>
      </c>
      <c r="L25" s="20">
        <f>IF(L4,('Amazon Model'!K100+'Amazon Model'!K101)/'Amazon Model'!K15,$H$25)</f>
        <v>0</v>
      </c>
      <c r="M25" s="20">
        <f>IF(M4,('Amazon Model'!L100+'Amazon Model'!L101)/'Amazon Model'!L15,$H$25)</f>
        <v>0</v>
      </c>
      <c r="N25" s="20">
        <f>IF(N4,('Amazon Model'!M100+'Amazon Model'!M101)/'Amazon Model'!M15,$H$25)</f>
        <v>0</v>
      </c>
      <c r="O25" s="20">
        <f>IF(O4,('Amazon Model'!N100+'Amazon Model'!N101)/'Amazon Model'!N15,$H$25)</f>
        <v>0</v>
      </c>
      <c r="P25" s="20">
        <f>IF(P4,('Amazon Model'!O100+'Amazon Model'!O101)/'Amazon Model'!O15,$H$25)</f>
        <v>0</v>
      </c>
      <c r="Q25" s="20">
        <f>IF(Q4,('Amazon Model'!P100+'Amazon Model'!P101)/'Amazon Model'!P15,$H$25)</f>
        <v>0</v>
      </c>
      <c r="R25" s="20">
        <f>IF(R4,('Amazon Model'!Q100+'Amazon Model'!Q101)/'Amazon Model'!Q15,$H$25)</f>
        <v>0</v>
      </c>
      <c r="S25" s="20">
        <f>IF(S4,('Amazon Model'!R100+'Amazon Model'!R101)/'Amazon Model'!R15,$H$25)</f>
        <v>0</v>
      </c>
      <c r="T25" s="20">
        <f>IF(T4,('Amazon Model'!S100+'Amazon Model'!S101)/'Amazon Model'!S15,$H$25)</f>
        <v>0</v>
      </c>
      <c r="U25" s="20">
        <f>IF(U4,('Amazon Model'!T100+'Amazon Model'!T101)/'Amazon Model'!T15,$H$25)</f>
        <v>0</v>
      </c>
      <c r="V25" s="20">
        <f>IF(V4,('Amazon Model'!U100+'Amazon Model'!U101)/'Amazon Model'!U15,$H$25)</f>
        <v>0</v>
      </c>
      <c r="W25" s="20">
        <f>IF(W4,('Amazon Model'!V100+'Amazon Model'!V101)/'Amazon Model'!V15,$H$25)</f>
        <v>0</v>
      </c>
      <c r="X25" s="20">
        <f>IF(X4,('Amazon Model'!W100+'Amazon Model'!W101)/'Amazon Model'!W15,$H$25)</f>
        <v>0</v>
      </c>
      <c r="Y25" s="20">
        <f>IF(Y4,('Amazon Model'!X100+'Amazon Model'!X101)/'Amazon Model'!X15,$H$25)</f>
        <v>0</v>
      </c>
      <c r="Z25" s="20">
        <f>IF(Z4,('Amazon Model'!Y100+'Amazon Model'!Y101)/'Amazon Model'!Y15,$H$25)</f>
        <v>0</v>
      </c>
      <c r="AA25" s="20">
        <f>IF(AA4,('Amazon Model'!Z100+'Amazon Model'!Z101)/'Amazon Model'!Z15,$H$25)</f>
        <v>0</v>
      </c>
      <c r="AB25" s="20">
        <f>IF(AB4,('Amazon Model'!AA100+'Amazon Model'!AA101)/'Amazon Model'!AA15,$H$25)</f>
        <v>0</v>
      </c>
      <c r="AC25" s="20">
        <f>IF(AC4,('Amazon Model'!AB100+'Amazon Model'!AB101)/'Amazon Model'!AB15,$H$25)</f>
        <v>0</v>
      </c>
    </row>
    <row r="26" spans="2:29">
      <c r="C26" s="18" t="s">
        <v>161</v>
      </c>
      <c r="E26" s="28" t="b">
        <v>0</v>
      </c>
      <c r="F26" s="20">
        <f>AVERAGEIF($4:$4,TRUE,26:26)</f>
        <v>0.20930571623331523</v>
      </c>
      <c r="G26" s="20">
        <f>LOOKUP($E$4,$2:$2,26:26)</f>
        <v>0.20386629077728555</v>
      </c>
      <c r="H26" s="29">
        <v>0.18</v>
      </c>
      <c r="I26" s="20">
        <f>IF(I4,'Amazon Model'!H113/I22,$H$26)</f>
        <v>0.22800410818212941</v>
      </c>
      <c r="J26" s="20">
        <f>IF(J4,'Amazon Model'!I113/J22,$H$26)</f>
        <v>0.21370056497175141</v>
      </c>
      <c r="K26" s="20">
        <f>IF(K4,'Amazon Model'!J113/K22,$H$26)</f>
        <v>0.19479288757396448</v>
      </c>
      <c r="L26" s="20">
        <f>IF(L4,'Amazon Model'!K113/L22,$H$26)</f>
        <v>0.20616472966144517</v>
      </c>
      <c r="M26" s="20">
        <f>IF(M4,'Amazon Model'!L113/M22,$H$26)</f>
        <v>0.20386629077728555</v>
      </c>
      <c r="N26" s="20">
        <f>IF(N4,'Amazon Model'!M113/N22,$H$26)</f>
        <v>0.18</v>
      </c>
      <c r="O26" s="20">
        <f>IF(O4,'Amazon Model'!N113/O22,$H$26)</f>
        <v>0.18</v>
      </c>
      <c r="P26" s="20">
        <f>IF(P4,'Amazon Model'!O113/P22,$H$26)</f>
        <v>0.18</v>
      </c>
      <c r="Q26" s="20">
        <f>IF(Q4,'Amazon Model'!P113/Q22,$H$26)</f>
        <v>0.18</v>
      </c>
      <c r="R26" s="20">
        <f>IF(R4,'Amazon Model'!Q113/R22,$H$26)</f>
        <v>0.18</v>
      </c>
      <c r="S26" s="20">
        <f>IF(S4,'Amazon Model'!R113/S22,$H$26)</f>
        <v>0.18</v>
      </c>
      <c r="T26" s="20">
        <f>IF(T4,'Amazon Model'!S113/T22,$H$26)</f>
        <v>0.18</v>
      </c>
      <c r="U26" s="20">
        <f>IF(U4,'Amazon Model'!T113/U22,$H$26)</f>
        <v>0.18</v>
      </c>
      <c r="V26" s="20">
        <f>IF(V4,'Amazon Model'!U113/V22,$H$26)</f>
        <v>0.18</v>
      </c>
      <c r="W26" s="20">
        <f>IF(W4,'Amazon Model'!V113/W22,$H$26)</f>
        <v>0.18</v>
      </c>
      <c r="X26" s="20">
        <f>IF(X4,'Amazon Model'!W113/X22,$H$26)</f>
        <v>0.18</v>
      </c>
      <c r="Y26" s="20">
        <f>IF(Y4,'Amazon Model'!X113/Y22,$H$26)</f>
        <v>0.18</v>
      </c>
      <c r="Z26" s="20">
        <f>IF(Z4,'Amazon Model'!Y113/Z22,$H$26)</f>
        <v>0.18</v>
      </c>
      <c r="AA26" s="20">
        <f>IF(AA4,'Amazon Model'!Z113/AA22,$H$26)</f>
        <v>0.18</v>
      </c>
      <c r="AB26" s="20">
        <f>IF(AB4,'Amazon Model'!AA113/AB22,$H$26)</f>
        <v>0.18</v>
      </c>
      <c r="AC26" s="20">
        <f>IF(AC4,'Amazon Model'!AB113/AC22,$H$26)</f>
        <v>0.18</v>
      </c>
    </row>
    <row r="27" spans="2:29">
      <c r="C27" s="18" t="s">
        <v>162</v>
      </c>
      <c r="I27" s="20">
        <f>IF('Amazon Model'!H5,'Amazon Model'!H114/'Amazon Model'!H31)</f>
        <v>0</v>
      </c>
      <c r="J27" s="20">
        <f>IF('Amazon Model'!I5,'Amazon Model'!I114/'Amazon Model'!I31)</f>
        <v>0</v>
      </c>
      <c r="K27" s="20">
        <f>IF('Amazon Model'!J5,'Amazon Model'!J114/'Amazon Model'!J31)</f>
        <v>0</v>
      </c>
      <c r="L27" s="20">
        <f>IF('Amazon Model'!K5,'Amazon Model'!K114/'Amazon Model'!K31)</f>
        <v>0</v>
      </c>
      <c r="M27" s="20">
        <f>IF('Amazon Model'!L5,'Amazon Model'!L114/'Amazon Model'!L31)</f>
        <v>0</v>
      </c>
      <c r="N27" s="20" t="b">
        <f>IF('Amazon Model'!M5,'Amazon Model'!M114/'Amazon Model'!M31)</f>
        <v>0</v>
      </c>
    </row>
    <row r="28" spans="2:29">
      <c r="C28" s="18" t="s">
        <v>163</v>
      </c>
      <c r="E28" s="28" t="b">
        <v>0</v>
      </c>
      <c r="F28" s="20">
        <f>AVERAGEIF($4:$4,TRUE,28:28)</f>
        <v>8.7901884366649224E-2</v>
      </c>
      <c r="G28" s="20">
        <f>LOOKUP($E$4,$2:$2,28:28)</f>
        <v>9.7874843738510187E-2</v>
      </c>
      <c r="H28" s="29">
        <v>7.0000000000000007E-2</v>
      </c>
      <c r="I28" s="20">
        <f>IF(I$4,'Amazon Model'!H115/'Amazon Model'!H15,$H$28)</f>
        <v>7.4480275004092322E-2</v>
      </c>
      <c r="J28" s="20">
        <f>IF(J$4,'Amazon Model'!I115/'Amazon Model'!I15,$H$28)</f>
        <v>8.2068502350570852E-2</v>
      </c>
      <c r="K28" s="20">
        <f>IF(K$4,'Amazon Model'!J115/'Amazon Model'!J15,$H$28)</f>
        <v>9.0234852230587706E-2</v>
      </c>
      <c r="L28" s="20">
        <f>IF(L$4,'Amazon Model'!K115/'Amazon Model'!K15,$H$28)</f>
        <v>9.4850948509485097E-2</v>
      </c>
      <c r="M28" s="20">
        <f>IF(M$4,'Amazon Model'!L115/'Amazon Model'!L15,$H$28)</f>
        <v>9.7874843738510187E-2</v>
      </c>
      <c r="N28" s="20">
        <f>IF(N$4,'Amazon Model'!M115/'Amazon Model'!M15,$H$28)</f>
        <v>7.0000000000000007E-2</v>
      </c>
      <c r="O28" s="20">
        <f>IF(O$4,'Amazon Model'!N115/'Amazon Model'!N15,$H$28)</f>
        <v>7.0000000000000007E-2</v>
      </c>
      <c r="P28" s="20">
        <f>IF(P$4,'Amazon Model'!O115/'Amazon Model'!O15,$H$28)</f>
        <v>7.0000000000000007E-2</v>
      </c>
      <c r="Q28" s="20">
        <f>IF(Q$4,'Amazon Model'!P115/'Amazon Model'!P15,$H$28)</f>
        <v>7.0000000000000007E-2</v>
      </c>
      <c r="R28" s="20">
        <f>IF(R$4,'Amazon Model'!Q115/'Amazon Model'!Q15,$H$28)</f>
        <v>7.0000000000000007E-2</v>
      </c>
      <c r="S28" s="20">
        <f>IF(S$4,'Amazon Model'!R115/'Amazon Model'!R15,$H$28)</f>
        <v>7.0000000000000007E-2</v>
      </c>
      <c r="T28" s="20">
        <f>IF(T$4,'Amazon Model'!S115/'Amazon Model'!S15,$H$28)</f>
        <v>7.0000000000000007E-2</v>
      </c>
      <c r="U28" s="20">
        <f>IF(U$4,'Amazon Model'!T115/'Amazon Model'!T15,$H$28)</f>
        <v>7.0000000000000007E-2</v>
      </c>
      <c r="V28" s="20">
        <f>IF(V$4,'Amazon Model'!U115/'Amazon Model'!U15,$H$28)</f>
        <v>7.0000000000000007E-2</v>
      </c>
      <c r="W28" s="20">
        <f>IF(W$4,'Amazon Model'!V115/'Amazon Model'!V15,$H$28)</f>
        <v>7.0000000000000007E-2</v>
      </c>
      <c r="X28" s="20">
        <f>IF(X$4,'Amazon Model'!W115/'Amazon Model'!W15,$H$28)</f>
        <v>7.0000000000000007E-2</v>
      </c>
      <c r="Y28" s="20">
        <f>IF(Y$4,'Amazon Model'!X115/'Amazon Model'!X15,$H$28)</f>
        <v>7.0000000000000007E-2</v>
      </c>
      <c r="Z28" s="20">
        <f>IF(Z$4,'Amazon Model'!Y115/'Amazon Model'!Y15,$H$28)</f>
        <v>7.0000000000000007E-2</v>
      </c>
      <c r="AA28" s="20">
        <f>IF(AA$4,'Amazon Model'!Z115/'Amazon Model'!Z15,$H$28)</f>
        <v>7.0000000000000007E-2</v>
      </c>
      <c r="AB28" s="20">
        <f>IF(AB$4,'Amazon Model'!AA115/'Amazon Model'!AA15,$H$28)</f>
        <v>7.0000000000000007E-2</v>
      </c>
      <c r="AC28" s="20">
        <f>IF(AC$4,'Amazon Model'!AB115/'Amazon Model'!AB15,$H$28)</f>
        <v>7.0000000000000007E-2</v>
      </c>
    </row>
    <row r="29" spans="2:29">
      <c r="C29" s="18" t="s">
        <v>164</v>
      </c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</row>
    <row r="30" spans="2:29">
      <c r="B30" s="18" t="s">
        <v>104</v>
      </c>
    </row>
    <row r="31" spans="2:29">
      <c r="C31" s="18" t="s">
        <v>165</v>
      </c>
      <c r="I31" s="20">
        <f>IF('Amazon Model'!H5,'Amazon Model'!H23/'Amazon Model'!H103)</f>
        <v>0.174321503131524</v>
      </c>
      <c r="J31" s="20">
        <f>IF('Amazon Model'!I5,'Amazon Model'!I23/'Amazon Model'!H103)</f>
        <v>0.27453027139874742</v>
      </c>
      <c r="K31" s="20">
        <f>IF('Amazon Model'!J5,'Amazon Model'!J23/'Amazon Model'!I103)</f>
        <v>0.27076301485482784</v>
      </c>
      <c r="L31" s="20">
        <f>IF('Amazon Model'!K5,'Amazon Model'!K23/'Amazon Model'!J103)</f>
        <v>0.23669159700835898</v>
      </c>
      <c r="M31" s="20">
        <f>IF('Amazon Model'!L5,'Amazon Model'!L23/'Amazon Model'!K103)</f>
        <v>0.23960066555740434</v>
      </c>
      <c r="N31" s="20" t="b">
        <f>IF('Amazon Model'!M5,'Amazon Model'!M23/'Amazon Model'!L103)</f>
        <v>0</v>
      </c>
    </row>
    <row r="32" spans="2:29">
      <c r="C32" s="18" t="s">
        <v>166</v>
      </c>
      <c r="E32" s="28" t="b">
        <v>0</v>
      </c>
      <c r="F32" s="28">
        <v>2</v>
      </c>
      <c r="G32" s="20">
        <f>AVERAGEIF($4:$4,TRUE,32:32)</f>
        <v>0.32439512140112259</v>
      </c>
      <c r="H32" s="29">
        <v>0.25</v>
      </c>
      <c r="I32" s="20">
        <f>IF(I4,'Amazon Model'!H23/'Amazon Model'!H105,CHOOSE($F$32,$G$32,$H$32))</f>
        <v>0.23654390934844194</v>
      </c>
      <c r="J32" s="20">
        <f>IF(J4,'Amazon Model'!I23/'Amazon Model'!H105,CHOOSE($F$32,$G$32,$H$32))</f>
        <v>0.37252124645892354</v>
      </c>
      <c r="K32" s="20">
        <f>IF(K4,'Amazon Model'!J23/'Amazon Model'!I105,CHOOSE($F$32,$G$32,$H$32))</f>
        <v>0.36621006849315069</v>
      </c>
      <c r="L32" s="20">
        <f>IF(L4,'Amazon Model'!K23/'Amazon Model'!J105,CHOOSE($F$32,$G$32,$H$32))</f>
        <v>0.31703005303476722</v>
      </c>
      <c r="M32" s="20">
        <f>IF(M4,'Amazon Model'!L23/'Amazon Model'!K105,CHOOSE($F$32,$G$32,$H$32))</f>
        <v>0.32967032967032966</v>
      </c>
      <c r="N32" s="29">
        <v>0.3</v>
      </c>
      <c r="O32" s="29">
        <v>0.28999999999999998</v>
      </c>
      <c r="P32" s="20">
        <f>IF(P4,'Amazon Model'!O23/'Amazon Model'!N105,CHOOSE($F$32,$G$32,$H$32))</f>
        <v>0.25</v>
      </c>
      <c r="Q32" s="20">
        <f>IF(Q4,'Amazon Model'!P23/'Amazon Model'!O105,CHOOSE($F$32,$G$32,$H$32))</f>
        <v>0.25</v>
      </c>
      <c r="R32" s="20">
        <f>IF(R4,'Amazon Model'!Q23/'Amazon Model'!P105,CHOOSE($F$32,$G$32,$H$32))</f>
        <v>0.25</v>
      </c>
      <c r="S32" s="20">
        <f>IF(S4,'Amazon Model'!R23/'Amazon Model'!Q105,CHOOSE($F$32,$G$32,$H$32))</f>
        <v>0.25</v>
      </c>
      <c r="T32" s="20">
        <f>IF(T4,'Amazon Model'!S23/'Amazon Model'!R105,CHOOSE($F$32,$G$32,$H$32))</f>
        <v>0.25</v>
      </c>
      <c r="U32" s="20">
        <f>IF(U4,'Amazon Model'!T23/'Amazon Model'!S105,CHOOSE($F$32,$G$32,$H$32))</f>
        <v>0.25</v>
      </c>
      <c r="V32" s="20">
        <f>IF(V4,'Amazon Model'!U23/'Amazon Model'!T105,CHOOSE($F$32,$G$32,$H$32))</f>
        <v>0.25</v>
      </c>
      <c r="W32" s="20">
        <f>IF(W4,'Amazon Model'!V23/'Amazon Model'!U105,CHOOSE($F$32,$G$32,$H$32))</f>
        <v>0.25</v>
      </c>
      <c r="X32" s="20">
        <f>IF(X4,'Amazon Model'!W23/'Amazon Model'!V105,CHOOSE($F$32,$G$32,$H$32))</f>
        <v>0.25</v>
      </c>
      <c r="Y32" s="20">
        <f>IF(Y4,'Amazon Model'!X23/'Amazon Model'!W105,CHOOSE($F$32,$G$32,$H$32))</f>
        <v>0.25</v>
      </c>
      <c r="Z32" s="20">
        <f>IF(Z4,'Amazon Model'!Y23/'Amazon Model'!X105,CHOOSE($F$32,$G$32,$H$32))</f>
        <v>0.25</v>
      </c>
      <c r="AA32" s="20">
        <f>IF(AA4,'Amazon Model'!Z23/'Amazon Model'!Y105,CHOOSE($F$32,$G$32,$H$32))</f>
        <v>0.25</v>
      </c>
      <c r="AB32" s="20">
        <f>IF(AB4,'Amazon Model'!AA23/'Amazon Model'!Z105,CHOOSE($F$32,$G$32,$H$32))</f>
        <v>0.25</v>
      </c>
      <c r="AC32" s="20">
        <f>IF(AC4,'Amazon Model'!AB23/'Amazon Model'!AA105,CHOOSE($F$32,$G$32,$H$32))</f>
        <v>0.25</v>
      </c>
    </row>
    <row r="33" spans="2:29">
      <c r="C33" s="18" t="s">
        <v>167</v>
      </c>
      <c r="E33" s="28" t="b">
        <v>0</v>
      </c>
      <c r="F33" s="28">
        <v>1</v>
      </c>
      <c r="G33" s="20">
        <f>AVERAGEIF($4:$4,TRUE,33:33)</f>
        <v>5.6472128442928107E-2</v>
      </c>
      <c r="H33" s="20">
        <f>LOOKUP($E$4,$2:$2,33:33)</f>
        <v>6.0421052631578945E-2</v>
      </c>
      <c r="I33" s="20">
        <f>IF(I4,'Amazon Model'!H24/'Amazon Model'!H107,CHOOSE($F$33,$G$33,$H$33))</f>
        <v>4.9695121951219515E-2</v>
      </c>
      <c r="J33" s="20">
        <f>IF(J4,'Amazon Model'!I24/'Amazon Model'!H107,CHOOSE($F$33,$G$33,$H$33))</f>
        <v>5.1219512195121948E-2</v>
      </c>
      <c r="K33" s="20">
        <f>IF(K4,'Amazon Model'!J24/'Amazon Model'!I107,CHOOSE($F$33,$G$33,$H$33))</f>
        <v>5.4848484848484848E-2</v>
      </c>
      <c r="L33" s="20">
        <f>IF(L4,'Amazon Model'!K24/'Amazon Model'!J107,CHOOSE($F$33,$G$33,$H$33))</f>
        <v>6.6176470588235295E-2</v>
      </c>
      <c r="M33" s="20">
        <f>IF(M4,'Amazon Model'!L24/'Amazon Model'!K107,CHOOSE($F$33,$G$33,$H$33))</f>
        <v>6.0421052631578945E-2</v>
      </c>
      <c r="N33" s="20">
        <f>IF(N4,'Amazon Model'!M24/'Amazon Model'!L107,CHOOSE($F$33,$G$33,$H$33))</f>
        <v>5.6472128442928107E-2</v>
      </c>
      <c r="O33" s="20">
        <f>IF(O4,'Amazon Model'!N24/'Amazon Model'!M107,CHOOSE($F$33,$G$33,$H$33))</f>
        <v>5.6472128442928107E-2</v>
      </c>
      <c r="P33" s="20">
        <f>IF(P4,'Amazon Model'!O24/'Amazon Model'!N107,CHOOSE($F$33,$G$33,$H$33))</f>
        <v>5.6472128442928107E-2</v>
      </c>
      <c r="Q33" s="20">
        <f>IF(Q4,'Amazon Model'!P24/'Amazon Model'!O107,CHOOSE($F$33,$G$33,$H$33))</f>
        <v>5.6472128442928107E-2</v>
      </c>
      <c r="R33" s="20">
        <f>IF(R4,'Amazon Model'!Q24/'Amazon Model'!P107,CHOOSE($F$33,$G$33,$H$33))</f>
        <v>5.6472128442928107E-2</v>
      </c>
      <c r="S33" s="20">
        <f>IF(S4,'Amazon Model'!R24/'Amazon Model'!Q107,CHOOSE($F$33,$G$33,$H$33))</f>
        <v>5.6472128442928107E-2</v>
      </c>
      <c r="T33" s="20">
        <f>IF(T4,'Amazon Model'!S24/'Amazon Model'!R107,CHOOSE($F$33,$G$33,$H$33))</f>
        <v>5.6472128442928107E-2</v>
      </c>
      <c r="U33" s="20">
        <f>IF(U4,'Amazon Model'!T24/'Amazon Model'!S107,CHOOSE($F$33,$G$33,$H$33))</f>
        <v>5.6472128442928107E-2</v>
      </c>
      <c r="V33" s="20">
        <f>IF(V4,'Amazon Model'!U24/'Amazon Model'!T107,CHOOSE($F$33,$G$33,$H$33))</f>
        <v>5.6472128442928107E-2</v>
      </c>
      <c r="W33" s="20">
        <f>IF(W4,'Amazon Model'!V24/'Amazon Model'!U107,CHOOSE($F$33,$G$33,$H$33))</f>
        <v>5.6472128442928107E-2</v>
      </c>
      <c r="X33" s="20">
        <f>IF(X4,'Amazon Model'!W24/'Amazon Model'!V107,CHOOSE($F$33,$G$33,$H$33))</f>
        <v>5.6472128442928107E-2</v>
      </c>
      <c r="Y33" s="20">
        <f>IF(Y4,'Amazon Model'!X24/'Amazon Model'!W107,CHOOSE($F$33,$G$33,$H$33))</f>
        <v>5.6472128442928107E-2</v>
      </c>
      <c r="Z33" s="20">
        <f>IF(Z4,'Amazon Model'!Y24/'Amazon Model'!X107,CHOOSE($F$33,$G$33,$H$33))</f>
        <v>5.6472128442928107E-2</v>
      </c>
      <c r="AA33" s="20">
        <f>IF(AA4,'Amazon Model'!Z24/'Amazon Model'!Y107,CHOOSE($F$33,$G$33,$H$33))</f>
        <v>5.6472128442928107E-2</v>
      </c>
      <c r="AB33" s="20">
        <f>IF(AB4,'Amazon Model'!AA24/'Amazon Model'!Z107,CHOOSE($F$33,$G$33,$H$33))</f>
        <v>5.6472128442928107E-2</v>
      </c>
      <c r="AC33" s="20">
        <f>IF(AC4,'Amazon Model'!AB24/'Amazon Model'!AA107,CHOOSE($F$33,$G$33,$H$33))</f>
        <v>5.6472128442928107E-2</v>
      </c>
    </row>
    <row r="34" spans="2:29">
      <c r="B34" s="18" t="s">
        <v>168</v>
      </c>
    </row>
    <row r="35" spans="2:29">
      <c r="C35" s="18" t="s">
        <v>169</v>
      </c>
      <c r="I35" s="21">
        <f>'Amazon Model'!H97+'Amazon Model'!H106</f>
        <v>11601000</v>
      </c>
      <c r="J35" s="21">
        <f>'Amazon Model'!I97+'Amazon Model'!I106</f>
        <v>12970000</v>
      </c>
      <c r="K35" s="21">
        <f>'Amazon Model'!J97+'Amazon Model'!J106</f>
        <v>18306000</v>
      </c>
      <c r="L35" s="21">
        <f>'Amazon Model'!K97+'Amazon Model'!K106</f>
        <v>20228000</v>
      </c>
      <c r="M35" s="21">
        <f>'Amazon Model'!L97+'Amazon Model'!L106</f>
        <v>26695000</v>
      </c>
      <c r="N35" s="21">
        <f>'Amazon Model'!M97+'Amazon Model'!M106</f>
        <v>0</v>
      </c>
    </row>
    <row r="36" spans="2:29">
      <c r="C36" s="18" t="s">
        <v>170</v>
      </c>
      <c r="E36" s="28" t="b">
        <v>0</v>
      </c>
      <c r="F36" s="28">
        <v>1</v>
      </c>
      <c r="G36" s="19">
        <f>AVERAGEIF($4:$4,TRUE,36:36)</f>
        <v>-262200</v>
      </c>
      <c r="H36" s="19">
        <f>LOOKUP($E$4,$2:$2,36:36)</f>
        <v>-144000</v>
      </c>
      <c r="I36" s="21">
        <f>IF(I3,'Amazon Model'!H26,CHOOSE($F$36,$G$36,$H$36))</f>
        <v>-239000</v>
      </c>
      <c r="J36" s="21">
        <f>IF(J3,'Amazon Model'!I26,CHOOSE($F$36,$G$36,$H$36))</f>
        <v>-250000</v>
      </c>
      <c r="K36" s="21">
        <f>IF(K3,'Amazon Model'!J26,CHOOSE($F$36,$G$36,$H$36))</f>
        <v>-251000</v>
      </c>
      <c r="L36" s="21">
        <f>IF(L3,'Amazon Model'!K26,CHOOSE($F$36,$G$36,$H$36))</f>
        <v>-427000</v>
      </c>
      <c r="M36" s="21">
        <f>IF(M3,'Amazon Model'!L26,CHOOSE($F$36,$G$36,$H$36))</f>
        <v>-144000</v>
      </c>
      <c r="N36" s="21">
        <f>IF(N3,'Amazon Model'!M26,CHOOSE($F$36,$G$36,$H$36))</f>
        <v>93333.333333333343</v>
      </c>
      <c r="O36" s="21">
        <f>IF(O3,'Amazon Model'!N26,CHOOSE($F$36,$G$36,$H$36))</f>
        <v>-262200</v>
      </c>
      <c r="P36" s="21">
        <f>IF(P3,'Amazon Model'!O26,CHOOSE($F$36,$G$36,$H$36))</f>
        <v>-262200</v>
      </c>
      <c r="Q36" s="21">
        <f>IF(Q3,'Amazon Model'!P26,CHOOSE($F$36,$G$36,$H$36))</f>
        <v>-262200</v>
      </c>
      <c r="R36" s="21">
        <f>IF(R3,'Amazon Model'!Q26,CHOOSE($F$36,$G$36,$H$36))</f>
        <v>-262200</v>
      </c>
      <c r="S36" s="21">
        <f>IF(S3,'Amazon Model'!R26,CHOOSE($F$36,$G$36,$H$36))</f>
        <v>-262200</v>
      </c>
      <c r="T36" s="21">
        <f>IF(T3,'Amazon Model'!S26,CHOOSE($F$36,$G$36,$H$36))</f>
        <v>-262200</v>
      </c>
      <c r="U36" s="21">
        <f>IF(U3,'Amazon Model'!T26,CHOOSE($F$36,$G$36,$H$36))</f>
        <v>-262200</v>
      </c>
      <c r="V36" s="21">
        <f>IF(V3,'Amazon Model'!U26,CHOOSE($F$36,$G$36,$H$36))</f>
        <v>-262200</v>
      </c>
      <c r="W36" s="21">
        <f>IF(W3,'Amazon Model'!V26,CHOOSE($F$36,$G$36,$H$36))</f>
        <v>-262200</v>
      </c>
      <c r="X36" s="21">
        <f>IF(X3,'Amazon Model'!W26,CHOOSE($F$36,$G$36,$H$36))</f>
        <v>-262200</v>
      </c>
      <c r="Y36" s="21">
        <f>IF(Y3,'Amazon Model'!X26,CHOOSE($F$36,$G$36,$H$36))</f>
        <v>-262200</v>
      </c>
      <c r="Z36" s="21">
        <f>IF(Z3,'Amazon Model'!Y26,CHOOSE($F$36,$G$36,$H$36))</f>
        <v>-262200</v>
      </c>
      <c r="AA36" s="21">
        <f>IF(AA3,'Amazon Model'!Z26,CHOOSE($F$36,$G$36,$H$36))</f>
        <v>-262200</v>
      </c>
      <c r="AB36" s="21">
        <f>IF(AB3,'Amazon Model'!AA26,CHOOSE($F$36,$G$36,$H$36))</f>
        <v>-262200</v>
      </c>
      <c r="AC36" s="21">
        <f>IF(AC3,'Amazon Model'!AB26,CHOOSE($F$36,$G$36,$H$36))</f>
        <v>-262200</v>
      </c>
    </row>
    <row r="37" spans="2:29">
      <c r="C37" s="18" t="s">
        <v>171</v>
      </c>
      <c r="I37" s="20">
        <f>IF('Amazon Model'!H5,('Amazon Model'!H26/I35))</f>
        <v>-2.0601672269631929E-2</v>
      </c>
      <c r="J37" s="20">
        <f>IF('Amazon Model'!I5,('Amazon Model'!I26/J35))</f>
        <v>-1.9275250578257519E-2</v>
      </c>
      <c r="K37" s="20">
        <f>IF('Amazon Model'!J5,('Amazon Model'!J26/K35))</f>
        <v>-1.3711351469463564E-2</v>
      </c>
      <c r="L37" s="20">
        <f>IF('Amazon Model'!K5,('Amazon Model'!K26/L35))</f>
        <v>-2.1109353371564169E-2</v>
      </c>
      <c r="M37" s="20">
        <f>IF('Amazon Model'!L5,('Amazon Model'!L26/M35))</f>
        <v>-5.3942685896235252E-3</v>
      </c>
      <c r="N37" s="20" t="b">
        <f>IF('Amazon Model'!M5,('Amazon Model'!M26/N35))</f>
        <v>0</v>
      </c>
    </row>
    <row r="38" spans="2:29">
      <c r="C38" s="18" t="s">
        <v>172</v>
      </c>
      <c r="E38" s="28" t="b">
        <v>0</v>
      </c>
      <c r="F38" s="28">
        <v>1</v>
      </c>
      <c r="G38" s="19">
        <f>AVERAGEIF($4:$4,TRUE,38:38)</f>
        <v>1361400</v>
      </c>
      <c r="H38" s="19">
        <f>LOOKUP($E$4,$2:$2,38:38)</f>
        <v>2700000</v>
      </c>
      <c r="I38" s="21">
        <f>IF(I4,'Amazon Model'!H108,CHOOSE($F$38,$G$38,$H$38))</f>
        <v>648000</v>
      </c>
      <c r="J38" s="21">
        <f>IF(J4,'Amazon Model'!I108,CHOOSE($F$38,$G$38,$H$38))</f>
        <v>538000</v>
      </c>
      <c r="K38" s="21">
        <f>IF(K4,'Amazon Model'!J108,CHOOSE($F$38,$G$38,$H$38))</f>
        <v>971000</v>
      </c>
      <c r="L38" s="21">
        <f>IF(L4,'Amazon Model'!K108,CHOOSE($F$38,$G$38,$H$38))</f>
        <v>1950000</v>
      </c>
      <c r="M38" s="21">
        <f>IF(M4,'Amazon Model'!L108,CHOOSE($F$38,$G$38,$H$38))</f>
        <v>2700000</v>
      </c>
      <c r="N38" s="21">
        <f>IF(N4,'Amazon Model'!M108,CHOOSE($F$38,$G$38,$H$38))</f>
        <v>1361400</v>
      </c>
      <c r="O38" s="21">
        <f>IF(O4,'Amazon Model'!N108,CHOOSE($F$38,$G$38,$H$38))</f>
        <v>1361400</v>
      </c>
      <c r="P38" s="21">
        <f>IF(P4,'Amazon Model'!O108,CHOOSE($F$38,$G$38,$H$38))</f>
        <v>1361400</v>
      </c>
      <c r="Q38" s="21">
        <f>IF(Q4,'Amazon Model'!P108,CHOOSE($F$38,$G$38,$H$38))</f>
        <v>1361400</v>
      </c>
      <c r="R38" s="21">
        <f>IF(R4,'Amazon Model'!Q108,CHOOSE($F$38,$G$38,$H$38))</f>
        <v>1361400</v>
      </c>
      <c r="S38" s="21">
        <f>IF(S4,'Amazon Model'!R108,CHOOSE($F$38,$G$38,$H$38))</f>
        <v>1361400</v>
      </c>
      <c r="T38" s="21">
        <f>IF(T4,'Amazon Model'!S108,CHOOSE($F$38,$G$38,$H$38))</f>
        <v>1361400</v>
      </c>
      <c r="U38" s="21">
        <f>IF(U4,'Amazon Model'!T108,CHOOSE($F$38,$G$38,$H$38))</f>
        <v>1361400</v>
      </c>
      <c r="V38" s="21">
        <f>IF(V4,'Amazon Model'!U108,CHOOSE($F$38,$G$38,$H$38))</f>
        <v>1361400</v>
      </c>
      <c r="W38" s="21">
        <f>IF(W4,'Amazon Model'!V108,CHOOSE($F$38,$G$38,$H$38))</f>
        <v>1361400</v>
      </c>
      <c r="X38" s="21">
        <f>IF(X4,'Amazon Model'!W108,CHOOSE($F$38,$G$38,$H$38))</f>
        <v>1361400</v>
      </c>
      <c r="Y38" s="21">
        <f>IF(Y4,'Amazon Model'!X108,CHOOSE($F$38,$G$38,$H$38))</f>
        <v>1361400</v>
      </c>
      <c r="Z38" s="21">
        <f>IF(Z4,'Amazon Model'!Y108,CHOOSE($F$38,$G$38,$H$38))</f>
        <v>1361400</v>
      </c>
      <c r="AA38" s="21">
        <f>IF(AA4,'Amazon Model'!Z108,CHOOSE($F$38,$G$38,$H$38))</f>
        <v>1361400</v>
      </c>
      <c r="AB38" s="21">
        <f>IF(AB4,'Amazon Model'!AA108,CHOOSE($F$38,$G$38,$H$38))</f>
        <v>1361400</v>
      </c>
      <c r="AC38" s="21">
        <f>IF(AC4,'Amazon Model'!AB108,CHOOSE($F$38,$G$38,$H$38))</f>
        <v>1361400</v>
      </c>
    </row>
    <row r="39" spans="2:29">
      <c r="C39" s="18" t="s">
        <v>173</v>
      </c>
      <c r="E39" s="28" t="b">
        <v>0</v>
      </c>
      <c r="F39" s="28">
        <v>1</v>
      </c>
      <c r="G39" s="19">
        <f>AVERAGEIF($4:$4,TRUE,39:39)</f>
        <v>-58399.95</v>
      </c>
      <c r="H39" s="19">
        <f>LOOKUP($E$4,$2:$2,39:39)</f>
        <v>-92000</v>
      </c>
      <c r="I39" s="21">
        <f>IF(I4,('Amazon Model'!H28+'Amazon Model'!H32+'Amazon Model'!H33+'Amazon Model'!H35),CHOOSE($F$39,$G$39,$H$39))</f>
        <v>-157000</v>
      </c>
      <c r="J39" s="21">
        <f>IF(J4,('Amazon Model'!I28+'Amazon Model'!I32+'Amazon Model'!I33+'Amazon Model'!I35),CHOOSE($F$39,$G$39,$H$39))</f>
        <v>-64000</v>
      </c>
      <c r="K39" s="21">
        <f>IF(K4,('Amazon Model'!J28+'Amazon Model'!J32+'Amazon Model'!J33+'Amazon Model'!J35),CHOOSE($F$39,$G$39,$H$39))</f>
        <v>49000.25</v>
      </c>
      <c r="L39" s="21">
        <f>IF(L4,('Amazon Model'!K28+'Amazon Model'!K32+'Amazon Model'!K33+'Amazon Model'!K35),CHOOSE($F$39,$G$39,$H$39))</f>
        <v>-28000</v>
      </c>
      <c r="M39" s="21">
        <f>IF(M4,('Amazon Model'!L28+'Amazon Model'!L32+'Amazon Model'!L33+'Amazon Model'!L35),CHOOSE($F$39,$G$39,$H$39))</f>
        <v>-92000</v>
      </c>
      <c r="N39" s="21">
        <f>IF(N4,('Amazon Model'!M28+'Amazon Model'!M32+'Amazon Model'!M33+'Amazon Model'!M35),CHOOSE($F$39,$G$39,$H$39))</f>
        <v>-58399.95</v>
      </c>
      <c r="O39" s="21">
        <f>IF(O4,('Amazon Model'!N28+'Amazon Model'!N32+'Amazon Model'!N33+'Amazon Model'!N35),CHOOSE($F$39,$G$39,$H$39))</f>
        <v>-58399.95</v>
      </c>
      <c r="P39" s="21">
        <f>IF(P4,('Amazon Model'!O28+'Amazon Model'!O32+'Amazon Model'!O33+'Amazon Model'!O35),CHOOSE($F$39,$G$39,$H$39))</f>
        <v>-58399.95</v>
      </c>
      <c r="Q39" s="21">
        <f>IF(Q4,('Amazon Model'!P28+'Amazon Model'!P32+'Amazon Model'!P33+'Amazon Model'!P35),CHOOSE($F$39,$G$39,$H$39))</f>
        <v>-58399.95</v>
      </c>
      <c r="R39" s="21">
        <f>IF(R4,('Amazon Model'!Q28+'Amazon Model'!Q32+'Amazon Model'!Q33+'Amazon Model'!Q35),CHOOSE($F$39,$G$39,$H$39))</f>
        <v>-58399.95</v>
      </c>
      <c r="S39" s="21">
        <f>IF(S4,('Amazon Model'!R28+'Amazon Model'!R32+'Amazon Model'!R33+'Amazon Model'!R35),CHOOSE($F$39,$G$39,$H$39))</f>
        <v>-58399.95</v>
      </c>
      <c r="T39" s="21">
        <f>IF(T4,('Amazon Model'!S28+'Amazon Model'!S32+'Amazon Model'!S33+'Amazon Model'!S35),CHOOSE($F$39,$G$39,$H$39))</f>
        <v>-58399.95</v>
      </c>
      <c r="U39" s="21">
        <f>IF(U4,('Amazon Model'!T28+'Amazon Model'!T32+'Amazon Model'!T33+'Amazon Model'!T35),CHOOSE($F$39,$G$39,$H$39))</f>
        <v>-58399.95</v>
      </c>
      <c r="V39" s="21">
        <f>IF(V4,('Amazon Model'!U28+'Amazon Model'!U32+'Amazon Model'!U33+'Amazon Model'!U35),CHOOSE($F$39,$G$39,$H$39))</f>
        <v>-58399.95</v>
      </c>
      <c r="W39" s="21">
        <f>IF(W4,('Amazon Model'!V28+'Amazon Model'!V32+'Amazon Model'!V33+'Amazon Model'!V35),CHOOSE($F$39,$G$39,$H$39))</f>
        <v>-58399.95</v>
      </c>
      <c r="X39" s="21">
        <f>IF(X4,('Amazon Model'!W28+'Amazon Model'!W32+'Amazon Model'!W33+'Amazon Model'!W35),CHOOSE($F$39,$G$39,$H$39))</f>
        <v>-58399.95</v>
      </c>
      <c r="Y39" s="21">
        <f>IF(Y4,('Amazon Model'!X28+'Amazon Model'!X32+'Amazon Model'!X33+'Amazon Model'!X35),CHOOSE($F$39,$G$39,$H$39))</f>
        <v>-58399.95</v>
      </c>
      <c r="Z39" s="21">
        <f>IF(Z4,('Amazon Model'!Y28+'Amazon Model'!Y32+'Amazon Model'!Y33+'Amazon Model'!Y35),CHOOSE($F$39,$G$39,$H$39))</f>
        <v>-58399.95</v>
      </c>
      <c r="AA39" s="21">
        <f>IF(AA4,('Amazon Model'!Z28+'Amazon Model'!Z32+'Amazon Model'!Z33+'Amazon Model'!Z35),CHOOSE($F$39,$G$39,$H$39))</f>
        <v>-58399.95</v>
      </c>
      <c r="AB39" s="21">
        <f>IF(AB4,('Amazon Model'!AA28+'Amazon Model'!AA32+'Amazon Model'!AA33+'Amazon Model'!AA35),CHOOSE($F$39,$G$39,$H$39))</f>
        <v>-58399.95</v>
      </c>
      <c r="AC39" s="21">
        <f>IF(AC4,('Amazon Model'!AB28+'Amazon Model'!AB32+'Amazon Model'!AB33+'Amazon Model'!AB35),CHOOSE($F$39,$G$39,$H$39))</f>
        <v>-58399.95</v>
      </c>
    </row>
    <row r="40" spans="2:29">
      <c r="C40" s="18" t="s">
        <v>174</v>
      </c>
      <c r="I40" s="20">
        <f>IF('Amazon Model'!H5,I39/I38)</f>
        <v>-0.24228395061728394</v>
      </c>
      <c r="J40" s="20">
        <f>IF('Amazon Model'!I5,J39/J38)</f>
        <v>-0.11895910780669144</v>
      </c>
      <c r="K40" s="20">
        <f>IF('Amazon Model'!J5,K39/K38)</f>
        <v>5.0463697219361482E-2</v>
      </c>
      <c r="L40" s="20">
        <f>IF('Amazon Model'!K5,L39/L38)</f>
        <v>-1.4358974358974359E-2</v>
      </c>
      <c r="M40" s="20">
        <f>IF('Amazon Model'!L5,M39/M38)</f>
        <v>-3.4074074074074076E-2</v>
      </c>
      <c r="N40" s="20" t="b">
        <f>IF('Amazon Model'!M5,N39/N38)</f>
        <v>0</v>
      </c>
    </row>
    <row r="41" spans="2:29">
      <c r="C41" s="18" t="s">
        <v>175</v>
      </c>
      <c r="I41" s="21">
        <f>'Amazon Model'!H112+'Amazon Model'!H117</f>
        <v>4970000</v>
      </c>
      <c r="J41" s="21">
        <f>'Amazon Model'!I112+'Amazon Model'!I117</f>
        <v>6920000</v>
      </c>
      <c r="K41" s="21">
        <f>'Amazon Model'!J112+'Amazon Model'!J117</f>
        <v>16090000</v>
      </c>
      <c r="L41" s="21">
        <f>'Amazon Model'!K112+'Amazon Model'!K117</f>
        <v>17520000</v>
      </c>
      <c r="M41" s="21">
        <f>'Amazon Model'!L112+'Amazon Model'!L117</f>
        <v>20410000</v>
      </c>
      <c r="N41" s="21">
        <f>'Amazon Model'!M112+'Amazon Model'!M117</f>
        <v>0</v>
      </c>
    </row>
    <row r="42" spans="2:29">
      <c r="C42" s="18" t="s">
        <v>176</v>
      </c>
      <c r="E42" s="28" t="b">
        <v>0</v>
      </c>
      <c r="F42" s="28">
        <v>1</v>
      </c>
      <c r="G42" s="20">
        <f>AVERAGEIF($4:$4,TRUE,42:42)</f>
        <v>2.0370173933222595E-2</v>
      </c>
      <c r="H42" s="20">
        <f>LOOKUP($E$4,$2:$2,42:42)</f>
        <v>2.3713865752082314E-2</v>
      </c>
      <c r="I42" s="20">
        <f>IF(I4,'Amazon Model'!H29/I41,CHOOSE($F$42,$G$42,$H$42))</f>
        <v>1.8511066398390341E-2</v>
      </c>
      <c r="J42" s="20">
        <f>IF(J4,'Amazon Model'!I29/J41,CHOOSE($F$42,$G$42,$H$42))</f>
        <v>2.0375722543352601E-2</v>
      </c>
      <c r="K42" s="20">
        <f>IF(K4,'Amazon Model'!J29/K41,CHOOSE($F$42,$G$42,$H$42))</f>
        <v>1.305158483530143E-2</v>
      </c>
      <c r="L42" s="20">
        <f>IF(L4,'Amazon Model'!K29/L41,CHOOSE($F$42,$G$42,$H$42))</f>
        <v>2.6198630136986301E-2</v>
      </c>
      <c r="M42" s="20">
        <f>IF(M4,'Amazon Model'!L29/M41,CHOOSE($F$42,$G$42,$H$42))</f>
        <v>2.3713865752082314E-2</v>
      </c>
      <c r="N42" s="20">
        <f>IF(N4,'Amazon Model'!M29/N41,CHOOSE($F$42,$G$42,$H$42))</f>
        <v>2.0370173933222595E-2</v>
      </c>
      <c r="O42" s="20">
        <f>IF(O4,'Amazon Model'!N29/O41,CHOOSE($F$42,$G$42,$H$42))</f>
        <v>2.0370173933222595E-2</v>
      </c>
      <c r="P42" s="20">
        <f>IF(P4,'Amazon Model'!O29/P41,CHOOSE($F$42,$G$42,$H$42))</f>
        <v>2.0370173933222595E-2</v>
      </c>
      <c r="Q42" s="20">
        <f>IF(Q4,'Amazon Model'!P29/Q41,CHOOSE($F$42,$G$42,$H$42))</f>
        <v>2.0370173933222595E-2</v>
      </c>
      <c r="R42" s="20">
        <f>IF(R4,'Amazon Model'!Q29/R41,CHOOSE($F$42,$G$42,$H$42))</f>
        <v>2.0370173933222595E-2</v>
      </c>
      <c r="S42" s="20">
        <f>IF(S4,'Amazon Model'!R29/S41,CHOOSE($F$42,$G$42,$H$42))</f>
        <v>2.0370173933222595E-2</v>
      </c>
      <c r="T42" s="20">
        <f>IF(T4,'Amazon Model'!S29/T41,CHOOSE($F$42,$G$42,$H$42))</f>
        <v>2.0370173933222595E-2</v>
      </c>
      <c r="U42" s="20">
        <f>IF(U4,'Amazon Model'!T29/U41,CHOOSE($F$42,$G$42,$H$42))</f>
        <v>2.0370173933222595E-2</v>
      </c>
      <c r="V42" s="20">
        <f>IF(V4,'Amazon Model'!U29/V41,CHOOSE($F$42,$G$42,$H$42))</f>
        <v>2.0370173933222595E-2</v>
      </c>
      <c r="W42" s="20">
        <f>IF(W4,'Amazon Model'!V29/W41,CHOOSE($F$42,$G$42,$H$42))</f>
        <v>2.0370173933222595E-2</v>
      </c>
      <c r="X42" s="20">
        <f>IF(X4,'Amazon Model'!W29/X41,CHOOSE($F$42,$G$42,$H$42))</f>
        <v>2.0370173933222595E-2</v>
      </c>
      <c r="Y42" s="20">
        <f>IF(Y4,'Amazon Model'!X29/Y41,CHOOSE($F$42,$G$42,$H$42))</f>
        <v>2.0370173933222595E-2</v>
      </c>
      <c r="Z42" s="20">
        <f>IF(Z4,'Amazon Model'!Y29/Z41,CHOOSE($F$42,$G$42,$H$42))</f>
        <v>2.0370173933222595E-2</v>
      </c>
      <c r="AA42" s="20">
        <f>IF(AA4,'Amazon Model'!Z29/AA41,CHOOSE($F$42,$G$42,$H$42))</f>
        <v>2.0370173933222595E-2</v>
      </c>
      <c r="AB42" s="20">
        <f>IF(AB4,'Amazon Model'!AA29/AB41,CHOOSE($F$42,$G$42,$H$42))</f>
        <v>2.0370173933222595E-2</v>
      </c>
      <c r="AC42" s="20">
        <f>IF(AC4,'Amazon Model'!AB29/AC41,CHOOSE($F$42,$G$42,$H$42))</f>
        <v>2.0370173933222595E-2</v>
      </c>
    </row>
    <row r="43" spans="2:29">
      <c r="C43" s="18" t="s">
        <v>177</v>
      </c>
      <c r="G43" s="20"/>
      <c r="H43" s="20"/>
      <c r="I43" s="19">
        <f>'Amazon Model'!H27</f>
        <v>40000</v>
      </c>
      <c r="J43" s="19">
        <f>'Amazon Model'!I27</f>
        <v>38000</v>
      </c>
      <c r="K43" s="19">
        <f>'Amazon Model'!J27</f>
        <v>39000</v>
      </c>
      <c r="L43" s="19">
        <f>'Amazon Model'!K27</f>
        <v>50000</v>
      </c>
      <c r="M43" s="19">
        <f>'Amazon Model'!L27</f>
        <v>100000</v>
      </c>
      <c r="N43" s="19">
        <f>'Amazon Model'!M27</f>
        <v>0</v>
      </c>
      <c r="O43" s="19">
        <f>'Amazon Model'!N27</f>
        <v>0</v>
      </c>
      <c r="P43" s="19">
        <f>'Amazon Model'!O27</f>
        <v>0</v>
      </c>
      <c r="Q43" s="19">
        <f>'Amazon Model'!P27</f>
        <v>0</v>
      </c>
      <c r="R43" s="19">
        <f>'Amazon Model'!Q27</f>
        <v>0</v>
      </c>
      <c r="S43" s="19">
        <f>'Amazon Model'!R27</f>
        <v>0</v>
      </c>
      <c r="T43" s="19">
        <f>'Amazon Model'!S27</f>
        <v>0</v>
      </c>
      <c r="U43" s="19">
        <f>'Amazon Model'!T27</f>
        <v>0</v>
      </c>
      <c r="V43" s="19">
        <f>'Amazon Model'!U27</f>
        <v>0</v>
      </c>
      <c r="W43" s="19">
        <f>'Amazon Model'!V27</f>
        <v>0</v>
      </c>
      <c r="X43" s="19">
        <f>'Amazon Model'!W27</f>
        <v>0</v>
      </c>
      <c r="Y43" s="19">
        <f>'Amazon Model'!X27</f>
        <v>0</v>
      </c>
      <c r="Z43" s="19">
        <f>'Amazon Model'!Y27</f>
        <v>0</v>
      </c>
      <c r="AA43" s="19">
        <f>'Amazon Model'!Z27</f>
        <v>0</v>
      </c>
      <c r="AB43" s="19">
        <f>'Amazon Model'!AA27</f>
        <v>0</v>
      </c>
      <c r="AC43" s="19">
        <f>'Amazon Model'!AB27</f>
        <v>0</v>
      </c>
    </row>
    <row r="44" spans="2:29">
      <c r="C44" s="18" t="s">
        <v>178</v>
      </c>
      <c r="G44" s="20"/>
      <c r="H44" s="20"/>
      <c r="I44" s="19">
        <f>'Amazon Model'!H97+'Amazon Model'!H106</f>
        <v>11601000</v>
      </c>
      <c r="J44" s="19">
        <f>'Amazon Model'!I97+'Amazon Model'!I106</f>
        <v>12970000</v>
      </c>
      <c r="K44" s="19">
        <f>'Amazon Model'!J97+'Amazon Model'!J106</f>
        <v>18306000</v>
      </c>
      <c r="L44" s="19">
        <f>'Amazon Model'!K97+'Amazon Model'!K106</f>
        <v>20228000</v>
      </c>
      <c r="M44" s="19">
        <f>'Amazon Model'!L97+'Amazon Model'!L106</f>
        <v>26695000</v>
      </c>
      <c r="N44" s="19">
        <f>'Amazon Model'!M97+'Amazon Model'!M106</f>
        <v>0</v>
      </c>
      <c r="O44" s="19">
        <f>'Amazon Model'!N97+'Amazon Model'!N106</f>
        <v>0</v>
      </c>
      <c r="P44" s="19">
        <f>'Amazon Model'!O97+'Amazon Model'!O106</f>
        <v>0</v>
      </c>
      <c r="Q44" s="19">
        <f>'Amazon Model'!P97+'Amazon Model'!P106</f>
        <v>0</v>
      </c>
      <c r="R44" s="19">
        <f>'Amazon Model'!Q97+'Amazon Model'!Q106</f>
        <v>0</v>
      </c>
      <c r="S44" s="19">
        <f>'Amazon Model'!R97+'Amazon Model'!R106</f>
        <v>0</v>
      </c>
      <c r="T44" s="19">
        <f>'Amazon Model'!S97+'Amazon Model'!S106</f>
        <v>0</v>
      </c>
      <c r="U44" s="19">
        <f>'Amazon Model'!T97+'Amazon Model'!T106</f>
        <v>0</v>
      </c>
      <c r="V44" s="19">
        <f>'Amazon Model'!U97+'Amazon Model'!U106</f>
        <v>0</v>
      </c>
      <c r="W44" s="19">
        <f>'Amazon Model'!V97+'Amazon Model'!V106</f>
        <v>0</v>
      </c>
      <c r="X44" s="19">
        <f>'Amazon Model'!W97+'Amazon Model'!W106</f>
        <v>0</v>
      </c>
      <c r="Y44" s="19">
        <f>'Amazon Model'!X97+'Amazon Model'!X106</f>
        <v>0</v>
      </c>
      <c r="Z44" s="19">
        <f>'Amazon Model'!Y97+'Amazon Model'!Y106</f>
        <v>0</v>
      </c>
      <c r="AA44" s="19">
        <f>'Amazon Model'!Z97+'Amazon Model'!Z106</f>
        <v>0</v>
      </c>
      <c r="AB44" s="19">
        <f>'Amazon Model'!AA97+'Amazon Model'!AA106</f>
        <v>0</v>
      </c>
      <c r="AC44" s="19">
        <f>'Amazon Model'!AB97+'Amazon Model'!AB106</f>
        <v>0</v>
      </c>
    </row>
    <row r="45" spans="2:29">
      <c r="C45" s="18" t="s">
        <v>179</v>
      </c>
      <c r="E45" s="28" t="b">
        <v>0</v>
      </c>
      <c r="F45" s="28">
        <v>1</v>
      </c>
      <c r="G45" s="20">
        <f>AVERAGEIF($4:$4,TRUE,45:45)</f>
        <v>2.9452213670649774E-3</v>
      </c>
      <c r="H45" s="20">
        <f>LOOKUP($E$4,$2:$2,45:45)</f>
        <v>3.7460198539052258E-3</v>
      </c>
      <c r="I45" s="20">
        <f>IF(I4,I43/I44,$H$45)</f>
        <v>3.4479786225325403E-3</v>
      </c>
      <c r="J45" s="20">
        <f t="shared" ref="J45:AC45" si="3">IF(J4,J43/J44,$H$45)</f>
        <v>2.9298380878951427E-3</v>
      </c>
      <c r="K45" s="20">
        <f t="shared" si="3"/>
        <v>2.1304490331039002E-3</v>
      </c>
      <c r="L45" s="20">
        <f t="shared" si="3"/>
        <v>2.4718212378880759E-3</v>
      </c>
      <c r="M45" s="20">
        <f t="shared" si="3"/>
        <v>3.7460198539052258E-3</v>
      </c>
      <c r="N45" s="20">
        <f t="shared" si="3"/>
        <v>3.7460198539052258E-3</v>
      </c>
      <c r="O45" s="20">
        <f t="shared" si="3"/>
        <v>3.7460198539052258E-3</v>
      </c>
      <c r="P45" s="20">
        <f t="shared" si="3"/>
        <v>3.7460198539052258E-3</v>
      </c>
      <c r="Q45" s="20">
        <f t="shared" si="3"/>
        <v>3.7460198539052258E-3</v>
      </c>
      <c r="R45" s="20">
        <f t="shared" si="3"/>
        <v>3.7460198539052258E-3</v>
      </c>
      <c r="S45" s="20">
        <f t="shared" si="3"/>
        <v>3.7460198539052258E-3</v>
      </c>
      <c r="T45" s="20">
        <f t="shared" si="3"/>
        <v>3.7460198539052258E-3</v>
      </c>
      <c r="U45" s="20">
        <f t="shared" si="3"/>
        <v>3.7460198539052258E-3</v>
      </c>
      <c r="V45" s="20">
        <f t="shared" si="3"/>
        <v>3.7460198539052258E-3</v>
      </c>
      <c r="W45" s="20">
        <f t="shared" si="3"/>
        <v>3.7460198539052258E-3</v>
      </c>
      <c r="X45" s="20">
        <f t="shared" si="3"/>
        <v>3.7460198539052258E-3</v>
      </c>
      <c r="Y45" s="20">
        <f t="shared" si="3"/>
        <v>3.7460198539052258E-3</v>
      </c>
      <c r="Z45" s="20">
        <f t="shared" si="3"/>
        <v>3.7460198539052258E-3</v>
      </c>
      <c r="AA45" s="20">
        <f t="shared" si="3"/>
        <v>3.7460198539052258E-3</v>
      </c>
      <c r="AB45" s="20">
        <f t="shared" si="3"/>
        <v>3.7460198539052258E-3</v>
      </c>
      <c r="AC45" s="20">
        <f t="shared" si="3"/>
        <v>3.7460198539052258E-3</v>
      </c>
    </row>
    <row r="46" spans="2:29">
      <c r="B46" s="18" t="s">
        <v>180</v>
      </c>
    </row>
    <row r="47" spans="2:29">
      <c r="C47" s="18" t="s">
        <v>181</v>
      </c>
      <c r="E47" s="28" t="b">
        <v>0</v>
      </c>
      <c r="F47" s="28">
        <v>2</v>
      </c>
      <c r="G47" s="20">
        <f>AVERAGEIF($4:$4,TRUE,47:47)</f>
        <v>0.14395708414869141</v>
      </c>
      <c r="H47" s="20">
        <f>LOOKUP($E$4,$2:$2,47:47)</f>
        <v>0.36742034943473795</v>
      </c>
      <c r="I47" s="20">
        <f>IF(I4,'Amazon Model'!H31/'Amazon Model'!H30,CHOOSE($F$47,$G$47,$H$47))</f>
        <v>0.78388278388278387</v>
      </c>
      <c r="J47" s="20">
        <f>IF(J4,'Amazon Model'!I31/'Amazon Model'!I30,CHOOSE($F$47,$G$47,$H$47))</f>
        <v>0.32264529058116231</v>
      </c>
      <c r="K47" s="20">
        <f>IF(K4,'Amazon Model'!J31/'Amazon Model'!J30,CHOOSE($F$47,$G$47,$H$47))</f>
        <v>-1.3577208176406146</v>
      </c>
      <c r="L47" s="20">
        <f>IF(L4,'Amazon Model'!K31/'Amazon Model'!K30,CHOOSE($F$47,$G$47,$H$47))</f>
        <v>0.60355781448538759</v>
      </c>
      <c r="M47" s="20">
        <f>IF(M4,'Amazon Model'!L31/'Amazon Model'!L30,CHOOSE($F$47,$G$47,$H$47))</f>
        <v>0.36742034943473795</v>
      </c>
      <c r="N47" s="20">
        <f>IF(N4,'Amazon Model'!M31/'Amazon Model'!M30,CHOOSE($F$47,$G$47,$H$47))</f>
        <v>0.36742034943473795</v>
      </c>
      <c r="O47" s="20">
        <f>IF(O4,'Amazon Model'!N31/'Amazon Model'!N30,CHOOSE($F$47,$G$47,$H$47))</f>
        <v>0.36742034943473795</v>
      </c>
      <c r="P47" s="20">
        <f>IF(P4,'Amazon Model'!O31/'Amazon Model'!O30,CHOOSE($F$47,$G$47,$H$47))</f>
        <v>0.36742034943473795</v>
      </c>
      <c r="Q47" s="20">
        <f>IF(Q4,'Amazon Model'!P31/'Amazon Model'!P30,CHOOSE($F$47,$G$47,$H$47))</f>
        <v>0.36742034943473795</v>
      </c>
      <c r="R47" s="20">
        <f>IF(R4,'Amazon Model'!Q31/'Amazon Model'!Q30,CHOOSE($F$47,$G$47,$H$47))</f>
        <v>0.36742034943473795</v>
      </c>
      <c r="S47" s="20">
        <f>IF(S4,'Amazon Model'!R31/'Amazon Model'!R30,CHOOSE($F$47,$G$47,$H$47))</f>
        <v>0.36742034943473795</v>
      </c>
      <c r="T47" s="20">
        <f>IF(T4,'Amazon Model'!S31/'Amazon Model'!S30,CHOOSE($F$47,$G$47,$H$47))</f>
        <v>0.36742034943473795</v>
      </c>
      <c r="U47" s="20">
        <f>IF(U4,'Amazon Model'!T31/'Amazon Model'!T30,CHOOSE($F$47,$G$47,$H$47))</f>
        <v>0.36742034943473795</v>
      </c>
      <c r="V47" s="20">
        <f>IF(V4,'Amazon Model'!U31/'Amazon Model'!U30,CHOOSE($F$47,$G$47,$H$47))</f>
        <v>0.36742034943473795</v>
      </c>
      <c r="W47" s="20">
        <f>IF(W4,'Amazon Model'!V31/'Amazon Model'!V30,CHOOSE($F$47,$G$47,$H$47))</f>
        <v>0.36742034943473795</v>
      </c>
      <c r="X47" s="20">
        <f>IF(X4,'Amazon Model'!W31/'Amazon Model'!W30,CHOOSE($F$47,$G$47,$H$47))</f>
        <v>0.36742034943473795</v>
      </c>
      <c r="Y47" s="20">
        <f>IF(Y4,'Amazon Model'!X31/'Amazon Model'!X30,CHOOSE($F$47,$G$47,$H$47))</f>
        <v>0.36742034943473795</v>
      </c>
      <c r="Z47" s="20">
        <f>IF(Z4,'Amazon Model'!Y31/'Amazon Model'!Y30,CHOOSE($F$47,$G$47,$H$47))</f>
        <v>0.36742034943473795</v>
      </c>
      <c r="AA47" s="20">
        <f>IF(AA4,'Amazon Model'!Z31/'Amazon Model'!Z30,CHOOSE($F$47,$G$47,$H$47))</f>
        <v>0.36742034943473795</v>
      </c>
      <c r="AB47" s="20">
        <f>IF(AB4,'Amazon Model'!AA31/'Amazon Model'!AA30,CHOOSE($F$47,$G$47,$H$47))</f>
        <v>0.36742034943473795</v>
      </c>
      <c r="AC47" s="20">
        <f>IF(AC4,'Amazon Model'!AB31/'Amazon Model'!AB30,CHOOSE($F$47,$G$47,$H$47))</f>
        <v>0.36742034943473795</v>
      </c>
    </row>
    <row r="48" spans="2:29">
      <c r="C48" s="18" t="s">
        <v>182</v>
      </c>
      <c r="I48" s="20">
        <f>IF('Amazon Model'!H5,'Amazon Model'!H37/'Amazon Model'!H36)</f>
        <v>0</v>
      </c>
      <c r="J48" s="20">
        <f>IF('Amazon Model'!I5,'Amazon Model'!I37/'Amazon Model'!I36)</f>
        <v>0</v>
      </c>
      <c r="K48" s="20">
        <f>IF('Amazon Model'!J5,'Amazon Model'!J37/'Amazon Model'!J36)</f>
        <v>0</v>
      </c>
      <c r="L48" s="20">
        <f>IF('Amazon Model'!K5,'Amazon Model'!K37/'Amazon Model'!K36)</f>
        <v>0</v>
      </c>
      <c r="M48" s="20">
        <f>IF('Amazon Model'!L5,'Amazon Model'!L37/'Amazon Model'!L36)</f>
        <v>0</v>
      </c>
      <c r="N48" s="20" t="b">
        <f>IF('Amazon Model'!M5,'Amazon Model'!M37/'Amazon Model'!M36)</f>
        <v>0</v>
      </c>
    </row>
    <row r="49" spans="1:29">
      <c r="C49" s="18" t="s">
        <v>183</v>
      </c>
      <c r="I49" s="20">
        <f>IF('Amazon Model'!H5,-'Amazon Model'!H72/'Amazon Model'!H38)</f>
        <v>0</v>
      </c>
      <c r="J49" s="20">
        <f>IF('Amazon Model'!I5,-'Amazon Model'!I72/'Amazon Model'!I38)</f>
        <v>0</v>
      </c>
      <c r="K49" s="20">
        <f>IF('Amazon Model'!J5,-'Amazon Model'!J72/'Amazon Model'!J38)</f>
        <v>0</v>
      </c>
      <c r="L49" s="20">
        <f>IF('Amazon Model'!K5,-'Amazon Model'!K72/'Amazon Model'!K38)</f>
        <v>0</v>
      </c>
      <c r="M49" s="20">
        <f>IF('Amazon Model'!L5,-'Amazon Model'!L72/'Amazon Model'!L38)</f>
        <v>0</v>
      </c>
      <c r="N49" s="20" t="b">
        <f>IF('Amazon Model'!M5,-'Amazon Model'!M72/'Amazon Model'!M38)</f>
        <v>0</v>
      </c>
    </row>
    <row r="50" spans="1:29">
      <c r="C50" s="18" t="s">
        <v>184</v>
      </c>
      <c r="E50" s="28" t="b">
        <v>0</v>
      </c>
      <c r="F50" s="28">
        <v>1</v>
      </c>
      <c r="G50" s="19">
        <f>AVERAGEIF($4:$4,TRUE,50:50)</f>
        <v>2224000</v>
      </c>
      <c r="H50" s="19">
        <f>LOOKUP($E$4,$2:$2,50:50)</f>
        <v>2920000</v>
      </c>
      <c r="I50" s="21">
        <f>IF(I4,'Amazon Model'!H56,CHOOSE($F$50,$G$50,$H$50))</f>
        <v>1130000</v>
      </c>
      <c r="J50" s="21">
        <f>IF(J4,'Amazon Model'!I56,CHOOSE($F$50,$G$50,$H$50))</f>
        <v>1790000</v>
      </c>
      <c r="K50" s="21">
        <f>IF(K4,'Amazon Model'!J56,CHOOSE($F$50,$G$50,$H$50))</f>
        <v>2240000</v>
      </c>
      <c r="L50" s="21">
        <f>IF(L4,'Amazon Model'!K56,CHOOSE($F$50,$G$50,$H$50))</f>
        <v>3040000</v>
      </c>
      <c r="M50" s="21">
        <f>IF(M4,'Amazon Model'!L56,CHOOSE($F$50,$G$50,$H$50))</f>
        <v>2920000</v>
      </c>
      <c r="N50" s="21">
        <f>IF(N4,'Amazon Model'!M56,CHOOSE($F$50,$G$50,$H$50))</f>
        <v>2224000</v>
      </c>
      <c r="O50" s="21">
        <f>IF(O4,'Amazon Model'!N56,CHOOSE($F$50,$G$50,$H$50))</f>
        <v>2224000</v>
      </c>
      <c r="P50" s="21">
        <f>IF(P4,'Amazon Model'!O56,CHOOSE($F$50,$G$50,$H$50))</f>
        <v>2224000</v>
      </c>
      <c r="Q50" s="21">
        <f>IF(Q4,'Amazon Model'!P56,CHOOSE($F$50,$G$50,$H$50))</f>
        <v>2224000</v>
      </c>
      <c r="R50" s="21">
        <f>IF(R4,'Amazon Model'!Q56,CHOOSE($F$50,$G$50,$H$50))</f>
        <v>2224000</v>
      </c>
      <c r="S50" s="21">
        <f>IF(S4,'Amazon Model'!R56,CHOOSE($F$50,$G$50,$H$50))</f>
        <v>2224000</v>
      </c>
      <c r="T50" s="21">
        <f>IF(T4,'Amazon Model'!S56,CHOOSE($F$50,$G$50,$H$50))</f>
        <v>2224000</v>
      </c>
      <c r="U50" s="21">
        <f>IF(U4,'Amazon Model'!T56,CHOOSE($F$50,$G$50,$H$50))</f>
        <v>2224000</v>
      </c>
      <c r="V50" s="21">
        <f>IF(V4,'Amazon Model'!U56,CHOOSE($F$50,$G$50,$H$50))</f>
        <v>2224000</v>
      </c>
      <c r="W50" s="21">
        <f>IF(W4,'Amazon Model'!V56,CHOOSE($F$50,$G$50,$H$50))</f>
        <v>2224000</v>
      </c>
      <c r="X50" s="21">
        <f>IF(X4,'Amazon Model'!W56,CHOOSE($F$50,$G$50,$H$50))</f>
        <v>2224000</v>
      </c>
      <c r="Y50" s="21">
        <f>IF(Y4,'Amazon Model'!X56,CHOOSE($F$50,$G$50,$H$50))</f>
        <v>2224000</v>
      </c>
      <c r="Z50" s="21">
        <f>IF(Z4,'Amazon Model'!Y56,CHOOSE($F$50,$G$50,$H$50))</f>
        <v>2224000</v>
      </c>
      <c r="AA50" s="21">
        <f>IF(AA4,'Amazon Model'!Z56,CHOOSE($F$50,$G$50,$H$50))</f>
        <v>2224000</v>
      </c>
      <c r="AB50" s="21">
        <f>IF(AB4,'Amazon Model'!AA56,CHOOSE($F$50,$G$50,$H$50))</f>
        <v>2224000</v>
      </c>
      <c r="AC50" s="21">
        <f>IF(AC4,'Amazon Model'!AB56,CHOOSE($F$50,$G$50,$H$50))</f>
        <v>2224000</v>
      </c>
    </row>
    <row r="51" spans="1:29">
      <c r="C51" s="18" t="s">
        <v>185</v>
      </c>
      <c r="I51" s="21">
        <f>'Amazon Model'!H22</f>
        <v>0</v>
      </c>
      <c r="J51" s="21">
        <f>'Amazon Model'!I22</f>
        <v>0</v>
      </c>
      <c r="K51" s="21">
        <f>'Amazon Model'!J22</f>
        <v>0</v>
      </c>
      <c r="L51" s="21">
        <f>'Amazon Model'!K22</f>
        <v>0</v>
      </c>
      <c r="M51" s="21">
        <f>'Amazon Model'!L22</f>
        <v>-67000</v>
      </c>
      <c r="N51" s="21">
        <f>'Amazon Model'!M22</f>
        <v>-193333.33333333331</v>
      </c>
    </row>
    <row r="52" spans="1:29">
      <c r="C52" s="18" t="s">
        <v>186</v>
      </c>
      <c r="I52" s="20">
        <f>IFERROR(IF('Amazon Model'!H5,I50/I51),0)</f>
        <v>0</v>
      </c>
      <c r="J52" s="20">
        <f>IFERROR(IF('Amazon Model'!I5,J50/J51),0)</f>
        <v>0</v>
      </c>
      <c r="K52" s="20">
        <f>IFERROR(IF('Amazon Model'!J5,K50/K51),0)</f>
        <v>0</v>
      </c>
      <c r="L52" s="20">
        <f>IFERROR(IF('Amazon Model'!K5,L50/L51),0)</f>
        <v>0</v>
      </c>
      <c r="M52" s="20">
        <f>IFERROR(IF('Amazon Model'!L5,M50/M51),0)</f>
        <v>-43.582089552238806</v>
      </c>
      <c r="N52" s="20" t="b">
        <f>IFERROR(IF('Amazon Model'!M5,N50/N51),0)</f>
        <v>0</v>
      </c>
    </row>
    <row r="53" spans="1:29">
      <c r="I53" s="20"/>
      <c r="J53" s="20"/>
      <c r="K53" s="20"/>
      <c r="L53" s="20"/>
      <c r="M53" s="20"/>
      <c r="N53" s="20"/>
    </row>
    <row r="54" spans="1:29">
      <c r="C54" s="18" t="s">
        <v>187</v>
      </c>
      <c r="I54" s="21">
        <f>'Amazon Model'!H39</f>
        <v>0</v>
      </c>
      <c r="J54" s="21">
        <f>'Amazon Model'!I39</f>
        <v>0</v>
      </c>
      <c r="K54" s="21">
        <f>'Amazon Model'!J39</f>
        <v>0</v>
      </c>
      <c r="L54" s="21">
        <f>'Amazon Model'!K39</f>
        <v>0</v>
      </c>
      <c r="M54" s="21">
        <f>'Amazon Model'!L39</f>
        <v>0</v>
      </c>
      <c r="N54" s="21">
        <f>'Amazon Model'!M39</f>
        <v>0</v>
      </c>
    </row>
    <row r="58" spans="1:29" s="72" customFormat="1">
      <c r="A58" s="72" t="s">
        <v>188</v>
      </c>
    </row>
    <row r="59" spans="1:29">
      <c r="B59" s="18" t="s">
        <v>38</v>
      </c>
      <c r="E59" s="18">
        <f>F9</f>
        <v>1</v>
      </c>
      <c r="H59" s="28">
        <v>2018</v>
      </c>
      <c r="I59" s="28">
        <v>2019</v>
      </c>
      <c r="J59" s="18">
        <f t="shared" ref="J59:K59" si="4">I59+4</f>
        <v>2023</v>
      </c>
      <c r="K59" s="18">
        <f t="shared" si="4"/>
        <v>2027</v>
      </c>
    </row>
    <row r="60" spans="1:29">
      <c r="C60" s="18" t="s">
        <v>189</v>
      </c>
      <c r="G60" s="22"/>
      <c r="H60" s="30">
        <v>0.28999999999999998</v>
      </c>
      <c r="I60" s="30">
        <v>0.2</v>
      </c>
      <c r="J60" s="30">
        <v>0.15</v>
      </c>
      <c r="K60" s="30">
        <v>0.05</v>
      </c>
      <c r="O60" s="20">
        <f>interpolate_look_up(O2,59:59,60:60)</f>
        <v>0.28999999999999998</v>
      </c>
      <c r="P60" s="20">
        <f t="shared" ref="P60:AC60" si="5">interpolate_look_up(P2,59:59,60:60)</f>
        <v>0.2</v>
      </c>
      <c r="Q60" s="20">
        <f t="shared" si="5"/>
        <v>0.18612097182041992</v>
      </c>
      <c r="R60" s="20">
        <f t="shared" si="5"/>
        <v>0.17320508075688773</v>
      </c>
      <c r="S60" s="20">
        <f t="shared" si="5"/>
        <v>0.16118548977353128</v>
      </c>
      <c r="T60" s="20">
        <f t="shared" si="5"/>
        <v>0.15</v>
      </c>
      <c r="U60" s="20">
        <f t="shared" si="5"/>
        <v>0.11397535284773888</v>
      </c>
      <c r="V60" s="20">
        <f t="shared" si="5"/>
        <v>8.6602540378443879E-2</v>
      </c>
      <c r="W60" s="20">
        <f t="shared" si="5"/>
        <v>6.5803700647624627E-2</v>
      </c>
      <c r="X60" s="20">
        <f t="shared" si="5"/>
        <v>0.05</v>
      </c>
      <c r="Y60" s="20">
        <f t="shared" si="5"/>
        <v>0.05</v>
      </c>
      <c r="Z60" s="20">
        <f t="shared" si="5"/>
        <v>0.05</v>
      </c>
      <c r="AA60" s="20">
        <f t="shared" si="5"/>
        <v>0.05</v>
      </c>
      <c r="AB60" s="20">
        <f t="shared" si="5"/>
        <v>0.05</v>
      </c>
      <c r="AC60" s="20">
        <f t="shared" si="5"/>
        <v>0.05</v>
      </c>
    </row>
    <row r="61" spans="1:29">
      <c r="C61" s="18" t="s">
        <v>190</v>
      </c>
      <c r="G61" s="22"/>
      <c r="H61" s="30">
        <v>0.32</v>
      </c>
      <c r="I61" s="30">
        <v>0.2</v>
      </c>
      <c r="J61" s="30">
        <v>0.18</v>
      </c>
      <c r="K61" s="30">
        <v>7.0000000000000007E-2</v>
      </c>
      <c r="O61" s="20">
        <f t="shared" ref="O61:AC63" si="6">interpolate_look_up(O$2,$59:$59,61:61)</f>
        <v>0.32</v>
      </c>
      <c r="P61" s="20">
        <f t="shared" si="6"/>
        <v>0.2</v>
      </c>
      <c r="Q61" s="20">
        <f t="shared" si="6"/>
        <v>0.19480074928505936</v>
      </c>
      <c r="R61" s="20">
        <f t="shared" si="6"/>
        <v>0.18973665961010278</v>
      </c>
      <c r="S61" s="20">
        <f t="shared" si="6"/>
        <v>0.18480421729446139</v>
      </c>
      <c r="T61" s="20">
        <f t="shared" si="6"/>
        <v>0.18</v>
      </c>
      <c r="U61" s="20">
        <f t="shared" si="6"/>
        <v>0.14214411661612761</v>
      </c>
      <c r="V61" s="20">
        <f t="shared" si="6"/>
        <v>0.11224972160321825</v>
      </c>
      <c r="W61" s="20">
        <f t="shared" si="6"/>
        <v>8.8642430653865067E-2</v>
      </c>
      <c r="X61" s="20">
        <f t="shared" si="6"/>
        <v>7.0000000000000007E-2</v>
      </c>
      <c r="Y61" s="20">
        <f t="shared" si="6"/>
        <v>7.0000000000000007E-2</v>
      </c>
      <c r="Z61" s="20">
        <f t="shared" si="6"/>
        <v>7.0000000000000007E-2</v>
      </c>
      <c r="AA61" s="20">
        <f t="shared" si="6"/>
        <v>7.0000000000000007E-2</v>
      </c>
      <c r="AB61" s="20">
        <f t="shared" si="6"/>
        <v>7.0000000000000007E-2</v>
      </c>
      <c r="AC61" s="20">
        <f t="shared" si="6"/>
        <v>7.0000000000000007E-2</v>
      </c>
    </row>
    <row r="62" spans="1:29">
      <c r="C62" s="18" t="s">
        <v>191</v>
      </c>
      <c r="G62" s="22"/>
      <c r="H62" s="30">
        <v>0.25</v>
      </c>
      <c r="I62" s="30">
        <v>0.1</v>
      </c>
      <c r="J62" s="30">
        <v>0.08</v>
      </c>
      <c r="K62" s="30">
        <v>0.03</v>
      </c>
      <c r="O62" s="20">
        <f t="shared" si="6"/>
        <v>0.25</v>
      </c>
      <c r="P62" s="20">
        <f t="shared" si="6"/>
        <v>0.1</v>
      </c>
      <c r="Q62" s="20">
        <f t="shared" si="6"/>
        <v>9.4574160900317589E-2</v>
      </c>
      <c r="R62" s="20">
        <f t="shared" si="6"/>
        <v>8.9442719099991588E-2</v>
      </c>
      <c r="S62" s="20">
        <f t="shared" si="6"/>
        <v>8.4589701075245133E-2</v>
      </c>
      <c r="T62" s="20">
        <f t="shared" si="6"/>
        <v>0.08</v>
      </c>
      <c r="U62" s="20">
        <f t="shared" si="6"/>
        <v>6.260338320293149E-2</v>
      </c>
      <c r="V62" s="20">
        <f t="shared" si="6"/>
        <v>4.8989794855663557E-2</v>
      </c>
      <c r="W62" s="20">
        <f t="shared" si="6"/>
        <v>3.8336586254776352E-2</v>
      </c>
      <c r="X62" s="20">
        <f t="shared" si="6"/>
        <v>0.03</v>
      </c>
      <c r="Y62" s="20">
        <f t="shared" si="6"/>
        <v>0.03</v>
      </c>
      <c r="Z62" s="20">
        <f t="shared" si="6"/>
        <v>0.03</v>
      </c>
      <c r="AA62" s="20">
        <f t="shared" si="6"/>
        <v>0.03</v>
      </c>
      <c r="AB62" s="20">
        <f t="shared" si="6"/>
        <v>0.03</v>
      </c>
      <c r="AC62" s="20">
        <f t="shared" si="6"/>
        <v>0.03</v>
      </c>
    </row>
    <row r="63" spans="1:29">
      <c r="C63" s="18" t="s">
        <v>192</v>
      </c>
      <c r="G63" s="22"/>
      <c r="H63" s="30">
        <v>0.28999999999999998</v>
      </c>
      <c r="I63" s="30">
        <v>0.12</v>
      </c>
      <c r="J63" s="30">
        <v>0.15</v>
      </c>
      <c r="K63" s="30">
        <v>0.04</v>
      </c>
      <c r="O63" s="20">
        <f t="shared" si="6"/>
        <v>0.28999999999999998</v>
      </c>
      <c r="P63" s="20">
        <f t="shared" si="6"/>
        <v>0.12</v>
      </c>
      <c r="Q63" s="20">
        <f t="shared" si="6"/>
        <v>0.12688455161286769</v>
      </c>
      <c r="R63" s="20">
        <f t="shared" si="6"/>
        <v>0.13416407864998739</v>
      </c>
      <c r="S63" s="20">
        <f t="shared" si="6"/>
        <v>0.14186124135047637</v>
      </c>
      <c r="T63" s="20">
        <f t="shared" si="6"/>
        <v>0.15</v>
      </c>
      <c r="U63" s="20">
        <f t="shared" si="6"/>
        <v>0.10779123358892526</v>
      </c>
      <c r="V63" s="20">
        <f t="shared" si="6"/>
        <v>7.7459666924148324E-2</v>
      </c>
      <c r="W63" s="20">
        <f t="shared" si="6"/>
        <v>5.5663153674274816E-2</v>
      </c>
      <c r="X63" s="20">
        <f t="shared" si="6"/>
        <v>0.04</v>
      </c>
      <c r="Y63" s="20">
        <f t="shared" si="6"/>
        <v>0.04</v>
      </c>
      <c r="Z63" s="20">
        <f t="shared" si="6"/>
        <v>0.04</v>
      </c>
      <c r="AA63" s="20">
        <f t="shared" si="6"/>
        <v>0.04</v>
      </c>
      <c r="AB63" s="20">
        <f t="shared" si="6"/>
        <v>0.04</v>
      </c>
      <c r="AC63" s="20">
        <f t="shared" si="6"/>
        <v>0.04</v>
      </c>
    </row>
    <row r="65" spans="2:29">
      <c r="C65" s="23" t="str">
        <f>INDEX(C60:C63,$F$9)</f>
        <v>Base Case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>
        <f t="shared" ref="O65:AC65" si="7">INDEX(O60:O63,$F$9)</f>
        <v>0.28999999999999998</v>
      </c>
      <c r="P65" s="24">
        <f t="shared" si="7"/>
        <v>0.2</v>
      </c>
      <c r="Q65" s="24">
        <f t="shared" si="7"/>
        <v>0.18612097182041992</v>
      </c>
      <c r="R65" s="24">
        <f t="shared" si="7"/>
        <v>0.17320508075688773</v>
      </c>
      <c r="S65" s="24">
        <f t="shared" si="7"/>
        <v>0.16118548977353128</v>
      </c>
      <c r="T65" s="24">
        <f t="shared" si="7"/>
        <v>0.15</v>
      </c>
      <c r="U65" s="24">
        <f t="shared" si="7"/>
        <v>0.11397535284773888</v>
      </c>
      <c r="V65" s="24">
        <f t="shared" si="7"/>
        <v>8.6602540378443879E-2</v>
      </c>
      <c r="W65" s="24">
        <f t="shared" si="7"/>
        <v>6.5803700647624627E-2</v>
      </c>
      <c r="X65" s="24">
        <f t="shared" si="7"/>
        <v>0.05</v>
      </c>
      <c r="Y65" s="24">
        <f t="shared" si="7"/>
        <v>0.05</v>
      </c>
      <c r="Z65" s="24">
        <f t="shared" si="7"/>
        <v>0.05</v>
      </c>
      <c r="AA65" s="24">
        <f t="shared" si="7"/>
        <v>0.05</v>
      </c>
      <c r="AB65" s="24">
        <f t="shared" si="7"/>
        <v>0.05</v>
      </c>
      <c r="AC65" s="25">
        <f t="shared" si="7"/>
        <v>0.05</v>
      </c>
    </row>
    <row r="67" spans="2:29">
      <c r="B67" s="18" t="s">
        <v>193</v>
      </c>
      <c r="E67" s="18">
        <f>F10</f>
        <v>1</v>
      </c>
      <c r="H67" s="28">
        <v>2017</v>
      </c>
      <c r="I67" s="28">
        <v>2018</v>
      </c>
      <c r="J67" s="18">
        <f t="shared" ref="J67:K67" si="8">I67+4</f>
        <v>2022</v>
      </c>
      <c r="K67" s="18">
        <f t="shared" si="8"/>
        <v>2026</v>
      </c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</row>
    <row r="68" spans="2:29">
      <c r="C68" s="18" t="s">
        <v>189</v>
      </c>
      <c r="H68" s="30">
        <v>0.56999999999999995</v>
      </c>
      <c r="I68" s="30">
        <v>0.61</v>
      </c>
      <c r="J68" s="30">
        <v>0.57999999999999996</v>
      </c>
      <c r="K68" s="30">
        <v>0.57999999999999996</v>
      </c>
      <c r="O68" s="20">
        <f>interpolate_look_up(O$2,$67:$67,68:68)</f>
        <v>0.61</v>
      </c>
      <c r="P68" s="20">
        <f t="shared" ref="P68:AC68" si="9">interpolate_look_up(P$2,$67:$67,68:68)</f>
        <v>0.60235757282057845</v>
      </c>
      <c r="Q68" s="20">
        <f t="shared" si="9"/>
        <v>0.59481089431852208</v>
      </c>
      <c r="R68" s="20">
        <f t="shared" si="9"/>
        <v>0.58735876489990568</v>
      </c>
      <c r="S68" s="20">
        <f t="shared" si="9"/>
        <v>0.57999999999999996</v>
      </c>
      <c r="T68" s="20">
        <f t="shared" si="9"/>
        <v>0.57999999999999996</v>
      </c>
      <c r="U68" s="20">
        <f t="shared" si="9"/>
        <v>0.57999999999999996</v>
      </c>
      <c r="V68" s="20">
        <f t="shared" si="9"/>
        <v>0.57999999999999996</v>
      </c>
      <c r="W68" s="20">
        <f t="shared" si="9"/>
        <v>0.57999999999999996</v>
      </c>
      <c r="X68" s="20">
        <f t="shared" si="9"/>
        <v>0.57999999999999996</v>
      </c>
      <c r="Y68" s="20">
        <f t="shared" si="9"/>
        <v>0.57999999999999996</v>
      </c>
      <c r="Z68" s="20">
        <f t="shared" si="9"/>
        <v>0.57999999999999996</v>
      </c>
      <c r="AA68" s="20">
        <f t="shared" si="9"/>
        <v>0.57999999999999996</v>
      </c>
      <c r="AB68" s="20">
        <f t="shared" si="9"/>
        <v>0.57999999999999996</v>
      </c>
      <c r="AC68" s="20">
        <f t="shared" si="9"/>
        <v>0.57999999999999996</v>
      </c>
    </row>
    <row r="69" spans="2:29">
      <c r="C69" s="18" t="s">
        <v>444</v>
      </c>
      <c r="H69" s="30">
        <v>0.56999999999999995</v>
      </c>
      <c r="I69" s="30">
        <v>0.56999999999999995</v>
      </c>
      <c r="J69" s="30">
        <v>0.56999999999999995</v>
      </c>
      <c r="K69" s="30">
        <v>0.52</v>
      </c>
      <c r="O69" s="20">
        <f t="shared" ref="O69:AC71" si="10">interpolate_look_up(O$2,$67:$67,69:69)</f>
        <v>0.56999999999999995</v>
      </c>
      <c r="P69" s="20">
        <f t="shared" si="10"/>
        <v>0.56999999999999995</v>
      </c>
      <c r="Q69" s="20">
        <f t="shared" si="10"/>
        <v>0.56999999999999995</v>
      </c>
      <c r="R69" s="20">
        <f t="shared" si="10"/>
        <v>0.56999999999999995</v>
      </c>
      <c r="S69" s="20">
        <f t="shared" si="10"/>
        <v>0.56999999999999995</v>
      </c>
      <c r="T69" s="20">
        <f t="shared" si="10"/>
        <v>0.55706641706802729</v>
      </c>
      <c r="U69" s="20">
        <f t="shared" si="10"/>
        <v>0.54442630355264798</v>
      </c>
      <c r="V69" s="20">
        <f t="shared" si="10"/>
        <v>0.53207300048712947</v>
      </c>
      <c r="W69" s="20">
        <f t="shared" si="10"/>
        <v>0.52</v>
      </c>
      <c r="X69" s="20">
        <f t="shared" si="10"/>
        <v>0.52</v>
      </c>
      <c r="Y69" s="20">
        <f t="shared" si="10"/>
        <v>0.52</v>
      </c>
      <c r="Z69" s="20">
        <f t="shared" si="10"/>
        <v>0.52</v>
      </c>
      <c r="AA69" s="20">
        <f t="shared" si="10"/>
        <v>0.52</v>
      </c>
      <c r="AB69" s="20">
        <f t="shared" si="10"/>
        <v>0.52</v>
      </c>
      <c r="AC69" s="20">
        <f t="shared" si="10"/>
        <v>0.52</v>
      </c>
    </row>
    <row r="70" spans="2:29">
      <c r="C70" s="18" t="s">
        <v>445</v>
      </c>
      <c r="H70" s="30">
        <v>0.56999999999999995</v>
      </c>
      <c r="I70" s="30">
        <v>0.61</v>
      </c>
      <c r="J70" s="30">
        <v>0.61</v>
      </c>
      <c r="K70" s="30">
        <v>0.61</v>
      </c>
      <c r="O70" s="20">
        <f t="shared" si="10"/>
        <v>0.61</v>
      </c>
      <c r="P70" s="20">
        <f t="shared" si="10"/>
        <v>0.61</v>
      </c>
      <c r="Q70" s="20">
        <f t="shared" si="10"/>
        <v>0.61</v>
      </c>
      <c r="R70" s="20">
        <f t="shared" si="10"/>
        <v>0.61</v>
      </c>
      <c r="S70" s="20">
        <f t="shared" si="10"/>
        <v>0.61</v>
      </c>
      <c r="T70" s="20">
        <f t="shared" si="10"/>
        <v>0.61</v>
      </c>
      <c r="U70" s="20">
        <f t="shared" si="10"/>
        <v>0.61</v>
      </c>
      <c r="V70" s="20">
        <f t="shared" si="10"/>
        <v>0.61</v>
      </c>
      <c r="W70" s="20">
        <f t="shared" si="10"/>
        <v>0.61</v>
      </c>
      <c r="X70" s="20">
        <f t="shared" si="10"/>
        <v>0.61</v>
      </c>
      <c r="Y70" s="20">
        <f t="shared" si="10"/>
        <v>0.61</v>
      </c>
      <c r="Z70" s="20">
        <f t="shared" si="10"/>
        <v>0.61</v>
      </c>
      <c r="AA70" s="20">
        <f t="shared" si="10"/>
        <v>0.61</v>
      </c>
      <c r="AB70" s="20">
        <f t="shared" si="10"/>
        <v>0.61</v>
      </c>
      <c r="AC70" s="20">
        <f t="shared" si="10"/>
        <v>0.61</v>
      </c>
    </row>
    <row r="71" spans="2:29">
      <c r="C71" s="18" t="s">
        <v>196</v>
      </c>
      <c r="H71" s="30">
        <v>0.56999999999999995</v>
      </c>
      <c r="I71" s="30">
        <v>0.65</v>
      </c>
      <c r="J71" s="30">
        <v>0.6</v>
      </c>
      <c r="K71" s="30">
        <v>0.63</v>
      </c>
      <c r="O71" s="20">
        <f t="shared" si="10"/>
        <v>0.65</v>
      </c>
      <c r="P71" s="20">
        <f t="shared" si="10"/>
        <v>0.63712233510990324</v>
      </c>
      <c r="Q71" s="20">
        <f t="shared" si="10"/>
        <v>0.62449979983983983</v>
      </c>
      <c r="R71" s="20">
        <f t="shared" si="10"/>
        <v>0.61212733961480914</v>
      </c>
      <c r="S71" s="20">
        <f t="shared" si="10"/>
        <v>0.6</v>
      </c>
      <c r="T71" s="20">
        <f t="shared" si="10"/>
        <v>0.60736334065742359</v>
      </c>
      <c r="U71" s="20">
        <f t="shared" si="10"/>
        <v>0.61481704595757591</v>
      </c>
      <c r="V71" s="20">
        <f t="shared" si="10"/>
        <v>0.6223622248765367</v>
      </c>
      <c r="W71" s="20">
        <f t="shared" si="10"/>
        <v>0.63</v>
      </c>
      <c r="X71" s="20">
        <f t="shared" si="10"/>
        <v>0.63</v>
      </c>
      <c r="Y71" s="20">
        <f t="shared" si="10"/>
        <v>0.63</v>
      </c>
      <c r="Z71" s="20">
        <f t="shared" si="10"/>
        <v>0.63</v>
      </c>
      <c r="AA71" s="20">
        <f t="shared" si="10"/>
        <v>0.63</v>
      </c>
      <c r="AB71" s="20">
        <f t="shared" si="10"/>
        <v>0.63</v>
      </c>
      <c r="AC71" s="20">
        <f t="shared" si="10"/>
        <v>0.63</v>
      </c>
    </row>
    <row r="73" spans="2:29">
      <c r="C73" s="26" t="str">
        <f>INDEX(C68:C71,$E$67)</f>
        <v>Base Case</v>
      </c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4">
        <f t="shared" ref="O73:AC73" si="11">INDEX(O68:O71,$E$67)</f>
        <v>0.61</v>
      </c>
      <c r="P73" s="24">
        <f t="shared" si="11"/>
        <v>0.60235757282057845</v>
      </c>
      <c r="Q73" s="24">
        <f t="shared" si="11"/>
        <v>0.59481089431852208</v>
      </c>
      <c r="R73" s="24">
        <f t="shared" si="11"/>
        <v>0.58735876489990568</v>
      </c>
      <c r="S73" s="24">
        <f t="shared" si="11"/>
        <v>0.57999999999999996</v>
      </c>
      <c r="T73" s="24">
        <f t="shared" si="11"/>
        <v>0.57999999999999996</v>
      </c>
      <c r="U73" s="24">
        <f t="shared" si="11"/>
        <v>0.57999999999999996</v>
      </c>
      <c r="V73" s="24">
        <f t="shared" si="11"/>
        <v>0.57999999999999996</v>
      </c>
      <c r="W73" s="24">
        <f t="shared" si="11"/>
        <v>0.57999999999999996</v>
      </c>
      <c r="X73" s="24">
        <f t="shared" si="11"/>
        <v>0.57999999999999996</v>
      </c>
      <c r="Y73" s="24">
        <f t="shared" si="11"/>
        <v>0.57999999999999996</v>
      </c>
      <c r="Z73" s="24">
        <f t="shared" si="11"/>
        <v>0.57999999999999996</v>
      </c>
      <c r="AA73" s="24">
        <f t="shared" si="11"/>
        <v>0.57999999999999996</v>
      </c>
      <c r="AB73" s="24">
        <f t="shared" si="11"/>
        <v>0.57999999999999996</v>
      </c>
      <c r="AC73" s="25">
        <f t="shared" si="11"/>
        <v>0.57999999999999996</v>
      </c>
    </row>
    <row r="75" spans="2:29">
      <c r="B75" s="18" t="s">
        <v>742</v>
      </c>
      <c r="E75" s="18">
        <f>F11</f>
        <v>3</v>
      </c>
      <c r="H75" s="28">
        <v>2017</v>
      </c>
      <c r="I75" s="28">
        <v>2018</v>
      </c>
      <c r="J75" s="18">
        <f t="shared" ref="J75:K75" si="12">I75+4</f>
        <v>2022</v>
      </c>
      <c r="K75" s="18">
        <f t="shared" si="12"/>
        <v>2026</v>
      </c>
    </row>
    <row r="76" spans="2:29">
      <c r="C76" s="18" t="s">
        <v>189</v>
      </c>
      <c r="H76" s="30">
        <v>0.11</v>
      </c>
      <c r="I76" s="22">
        <v>0.1</v>
      </c>
      <c r="J76" s="22">
        <v>0.09</v>
      </c>
      <c r="K76" s="22">
        <v>0.08</v>
      </c>
      <c r="N76" s="20">
        <f t="shared" ref="N76:AC79" si="13">LOOKUP(N$2,$75:$75,76:76)</f>
        <v>0.11</v>
      </c>
      <c r="O76" s="20">
        <f t="shared" si="13"/>
        <v>0.1</v>
      </c>
      <c r="P76" s="20">
        <f t="shared" si="13"/>
        <v>0.1</v>
      </c>
      <c r="Q76" s="20">
        <f t="shared" si="13"/>
        <v>0.1</v>
      </c>
      <c r="R76" s="20">
        <f t="shared" si="13"/>
        <v>0.1</v>
      </c>
      <c r="S76" s="20">
        <f t="shared" si="13"/>
        <v>0.09</v>
      </c>
      <c r="T76" s="20">
        <f t="shared" si="13"/>
        <v>0.09</v>
      </c>
      <c r="U76" s="20">
        <f t="shared" si="13"/>
        <v>0.09</v>
      </c>
      <c r="V76" s="20">
        <f t="shared" si="13"/>
        <v>0.09</v>
      </c>
      <c r="W76" s="20">
        <f t="shared" si="13"/>
        <v>0.08</v>
      </c>
      <c r="X76" s="20">
        <f t="shared" si="13"/>
        <v>0.08</v>
      </c>
      <c r="Y76" s="20">
        <f t="shared" si="13"/>
        <v>0.08</v>
      </c>
      <c r="Z76" s="20">
        <f t="shared" si="13"/>
        <v>0.08</v>
      </c>
      <c r="AA76" s="20">
        <f t="shared" si="13"/>
        <v>0.08</v>
      </c>
      <c r="AB76" s="20">
        <f t="shared" si="13"/>
        <v>0.08</v>
      </c>
      <c r="AC76" s="20">
        <f t="shared" si="13"/>
        <v>0.08</v>
      </c>
    </row>
    <row r="77" spans="2:29">
      <c r="C77" s="18" t="s">
        <v>743</v>
      </c>
      <c r="H77" s="30">
        <v>0.11</v>
      </c>
      <c r="I77" s="30">
        <v>0.09</v>
      </c>
      <c r="J77" s="30">
        <v>0.08</v>
      </c>
      <c r="K77" s="30">
        <v>7.0000000000000007E-2</v>
      </c>
      <c r="N77" s="20">
        <f t="shared" si="13"/>
        <v>0.11</v>
      </c>
      <c r="O77" s="20">
        <f t="shared" si="13"/>
        <v>0.09</v>
      </c>
      <c r="P77" s="20">
        <f t="shared" si="13"/>
        <v>0.09</v>
      </c>
      <c r="Q77" s="20">
        <f t="shared" si="13"/>
        <v>0.09</v>
      </c>
      <c r="R77" s="20">
        <f t="shared" si="13"/>
        <v>0.09</v>
      </c>
      <c r="S77" s="20">
        <f t="shared" si="13"/>
        <v>0.08</v>
      </c>
      <c r="T77" s="20">
        <f t="shared" si="13"/>
        <v>0.08</v>
      </c>
      <c r="U77" s="20">
        <f t="shared" si="13"/>
        <v>0.08</v>
      </c>
      <c r="V77" s="20">
        <f t="shared" si="13"/>
        <v>0.08</v>
      </c>
      <c r="W77" s="20">
        <f t="shared" si="13"/>
        <v>7.0000000000000007E-2</v>
      </c>
      <c r="X77" s="20">
        <f t="shared" si="13"/>
        <v>7.0000000000000007E-2</v>
      </c>
      <c r="Y77" s="20">
        <f t="shared" si="13"/>
        <v>7.0000000000000007E-2</v>
      </c>
      <c r="Z77" s="20">
        <f t="shared" si="13"/>
        <v>7.0000000000000007E-2</v>
      </c>
      <c r="AA77" s="20">
        <f t="shared" si="13"/>
        <v>7.0000000000000007E-2</v>
      </c>
      <c r="AB77" s="20">
        <f t="shared" si="13"/>
        <v>7.0000000000000007E-2</v>
      </c>
      <c r="AC77" s="20">
        <f t="shared" si="13"/>
        <v>7.0000000000000007E-2</v>
      </c>
    </row>
    <row r="78" spans="2:29">
      <c r="C78" s="18" t="s">
        <v>744</v>
      </c>
      <c r="H78" s="30">
        <v>0.11</v>
      </c>
      <c r="I78" s="30">
        <v>0.11</v>
      </c>
      <c r="J78" s="30">
        <v>0.11</v>
      </c>
      <c r="K78" s="30">
        <v>0.09</v>
      </c>
      <c r="N78" s="20">
        <f t="shared" si="13"/>
        <v>0.11</v>
      </c>
      <c r="O78" s="20">
        <f t="shared" si="13"/>
        <v>0.11</v>
      </c>
      <c r="P78" s="20">
        <f t="shared" si="13"/>
        <v>0.11</v>
      </c>
      <c r="Q78" s="20">
        <f t="shared" si="13"/>
        <v>0.11</v>
      </c>
      <c r="R78" s="20">
        <f t="shared" si="13"/>
        <v>0.11</v>
      </c>
      <c r="S78" s="20">
        <f t="shared" si="13"/>
        <v>0.11</v>
      </c>
      <c r="T78" s="20">
        <f t="shared" si="13"/>
        <v>0.11</v>
      </c>
      <c r="U78" s="20">
        <f t="shared" si="13"/>
        <v>0.11</v>
      </c>
      <c r="V78" s="20">
        <f t="shared" si="13"/>
        <v>0.11</v>
      </c>
      <c r="W78" s="20">
        <f t="shared" si="13"/>
        <v>0.09</v>
      </c>
      <c r="X78" s="20">
        <f t="shared" si="13"/>
        <v>0.09</v>
      </c>
      <c r="Y78" s="20">
        <f t="shared" si="13"/>
        <v>0.09</v>
      </c>
      <c r="Z78" s="20">
        <f t="shared" si="13"/>
        <v>0.09</v>
      </c>
      <c r="AA78" s="20">
        <f t="shared" si="13"/>
        <v>0.09</v>
      </c>
      <c r="AB78" s="20">
        <f t="shared" si="13"/>
        <v>0.09</v>
      </c>
      <c r="AC78" s="20">
        <f t="shared" si="13"/>
        <v>0.09</v>
      </c>
    </row>
    <row r="79" spans="2:29">
      <c r="C79" s="18" t="s">
        <v>196</v>
      </c>
      <c r="H79" s="30">
        <v>0.11</v>
      </c>
      <c r="I79" s="30">
        <v>0.11</v>
      </c>
      <c r="J79" s="30">
        <v>0.11</v>
      </c>
      <c r="K79" s="30">
        <v>0.11</v>
      </c>
      <c r="N79" s="20">
        <f t="shared" si="13"/>
        <v>0.11</v>
      </c>
      <c r="O79" s="20">
        <f t="shared" si="13"/>
        <v>0.11</v>
      </c>
      <c r="P79" s="20">
        <f t="shared" si="13"/>
        <v>0.11</v>
      </c>
      <c r="Q79" s="20">
        <f t="shared" si="13"/>
        <v>0.11</v>
      </c>
      <c r="R79" s="20">
        <f t="shared" si="13"/>
        <v>0.11</v>
      </c>
      <c r="S79" s="20">
        <f t="shared" si="13"/>
        <v>0.11</v>
      </c>
      <c r="T79" s="20">
        <f t="shared" si="13"/>
        <v>0.11</v>
      </c>
      <c r="U79" s="20">
        <f t="shared" si="13"/>
        <v>0.11</v>
      </c>
      <c r="V79" s="20">
        <f t="shared" si="13"/>
        <v>0.11</v>
      </c>
      <c r="W79" s="20">
        <f t="shared" si="13"/>
        <v>0.11</v>
      </c>
      <c r="X79" s="20">
        <f t="shared" si="13"/>
        <v>0.11</v>
      </c>
      <c r="Y79" s="20">
        <f t="shared" si="13"/>
        <v>0.11</v>
      </c>
      <c r="Z79" s="20">
        <f t="shared" si="13"/>
        <v>0.11</v>
      </c>
      <c r="AA79" s="20">
        <f t="shared" si="13"/>
        <v>0.11</v>
      </c>
      <c r="AB79" s="20">
        <f t="shared" si="13"/>
        <v>0.11</v>
      </c>
      <c r="AC79" s="20">
        <f t="shared" si="13"/>
        <v>0.11</v>
      </c>
    </row>
    <row r="81" spans="2:29">
      <c r="C81" s="26" t="str">
        <f>INDEX(C76:C79,$E$75)</f>
        <v>Case 3 - Higher Spending</v>
      </c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4">
        <f>INDEX(N76:N79,$E$75)</f>
        <v>0.11</v>
      </c>
      <c r="O81" s="24">
        <f>INDEX(O76:O79,$E$75)</f>
        <v>0.11</v>
      </c>
      <c r="P81" s="24">
        <f t="shared" ref="P81:AC81" si="14">INDEX(P76:P79,$E$75)</f>
        <v>0.11</v>
      </c>
      <c r="Q81" s="24">
        <f t="shared" si="14"/>
        <v>0.11</v>
      </c>
      <c r="R81" s="24">
        <f t="shared" si="14"/>
        <v>0.11</v>
      </c>
      <c r="S81" s="24">
        <f t="shared" si="14"/>
        <v>0.11</v>
      </c>
      <c r="T81" s="24">
        <f t="shared" si="14"/>
        <v>0.11</v>
      </c>
      <c r="U81" s="24">
        <f t="shared" si="14"/>
        <v>0.11</v>
      </c>
      <c r="V81" s="24">
        <f t="shared" si="14"/>
        <v>0.11</v>
      </c>
      <c r="W81" s="24">
        <f t="shared" si="14"/>
        <v>0.09</v>
      </c>
      <c r="X81" s="24">
        <f t="shared" si="14"/>
        <v>0.09</v>
      </c>
      <c r="Y81" s="24">
        <f t="shared" si="14"/>
        <v>0.09</v>
      </c>
      <c r="Z81" s="24">
        <f t="shared" si="14"/>
        <v>0.09</v>
      </c>
      <c r="AA81" s="24">
        <f t="shared" si="14"/>
        <v>0.09</v>
      </c>
      <c r="AB81" s="24">
        <f t="shared" si="14"/>
        <v>0.09</v>
      </c>
      <c r="AC81" s="25">
        <f t="shared" si="14"/>
        <v>0.09</v>
      </c>
    </row>
    <row r="83" spans="2:29">
      <c r="B83" s="18" t="s">
        <v>148</v>
      </c>
      <c r="E83" s="18">
        <f>F12</f>
        <v>1</v>
      </c>
      <c r="H83" s="28">
        <v>2017</v>
      </c>
      <c r="I83" s="28">
        <v>2018</v>
      </c>
      <c r="J83" s="18">
        <f t="shared" ref="J83:K83" si="15">I83+4</f>
        <v>2022</v>
      </c>
      <c r="K83" s="18">
        <f t="shared" si="15"/>
        <v>2026</v>
      </c>
    </row>
    <row r="84" spans="2:29">
      <c r="C84" s="18" t="s">
        <v>189</v>
      </c>
      <c r="H84" s="30">
        <v>0.2147</v>
      </c>
      <c r="I84" s="30">
        <v>0.2</v>
      </c>
      <c r="J84" s="30">
        <v>0.2</v>
      </c>
      <c r="K84" s="30">
        <v>0.2</v>
      </c>
      <c r="N84" s="20">
        <f>LOOKUP(N$2,$83:$83,84:84)</f>
        <v>0.2147</v>
      </c>
      <c r="O84" s="20">
        <f>LOOKUP(O$2,$83:$83,84:84)</f>
        <v>0.2</v>
      </c>
      <c r="P84" s="20">
        <f t="shared" ref="P84:AC87" si="16">LOOKUP(P$2,$67:$67,84:84)</f>
        <v>0.2</v>
      </c>
      <c r="Q84" s="20">
        <f t="shared" si="16"/>
        <v>0.2</v>
      </c>
      <c r="R84" s="20">
        <f t="shared" si="16"/>
        <v>0.2</v>
      </c>
      <c r="S84" s="20">
        <f t="shared" si="16"/>
        <v>0.2</v>
      </c>
      <c r="T84" s="20">
        <f t="shared" si="16"/>
        <v>0.2</v>
      </c>
      <c r="U84" s="20">
        <f t="shared" si="16"/>
        <v>0.2</v>
      </c>
      <c r="V84" s="20">
        <f t="shared" si="16"/>
        <v>0.2</v>
      </c>
      <c r="W84" s="20">
        <f t="shared" si="16"/>
        <v>0.2</v>
      </c>
      <c r="X84" s="20">
        <f t="shared" si="16"/>
        <v>0.2</v>
      </c>
      <c r="Y84" s="20">
        <f t="shared" si="16"/>
        <v>0.2</v>
      </c>
      <c r="Z84" s="20">
        <f t="shared" si="16"/>
        <v>0.2</v>
      </c>
      <c r="AA84" s="20">
        <f t="shared" si="16"/>
        <v>0.2</v>
      </c>
      <c r="AB84" s="20">
        <f t="shared" si="16"/>
        <v>0.2</v>
      </c>
      <c r="AC84" s="20">
        <f t="shared" si="16"/>
        <v>0.2</v>
      </c>
    </row>
    <row r="85" spans="2:29">
      <c r="C85" s="18" t="s">
        <v>194</v>
      </c>
      <c r="H85" s="30">
        <v>0.2147</v>
      </c>
      <c r="I85" s="30">
        <v>0.17</v>
      </c>
      <c r="J85" s="30">
        <v>0.17</v>
      </c>
      <c r="K85" s="30">
        <v>0.17</v>
      </c>
      <c r="N85" s="20">
        <f>LOOKUP(N$2,$83:$83,85:85)</f>
        <v>0.2147</v>
      </c>
      <c r="O85" s="20">
        <f>LOOKUP(O$2,$67:$67,85:85)</f>
        <v>0.17</v>
      </c>
      <c r="P85" s="20">
        <f t="shared" si="16"/>
        <v>0.17</v>
      </c>
      <c r="Q85" s="20">
        <f t="shared" si="16"/>
        <v>0.17</v>
      </c>
      <c r="R85" s="20">
        <f t="shared" si="16"/>
        <v>0.17</v>
      </c>
      <c r="S85" s="20">
        <f t="shared" si="16"/>
        <v>0.17</v>
      </c>
      <c r="T85" s="20">
        <f t="shared" si="16"/>
        <v>0.17</v>
      </c>
      <c r="U85" s="20">
        <f t="shared" si="16"/>
        <v>0.17</v>
      </c>
      <c r="V85" s="20">
        <f t="shared" si="16"/>
        <v>0.17</v>
      </c>
      <c r="W85" s="20">
        <f t="shared" si="16"/>
        <v>0.17</v>
      </c>
      <c r="X85" s="20">
        <f t="shared" si="16"/>
        <v>0.17</v>
      </c>
      <c r="Y85" s="20">
        <f t="shared" si="16"/>
        <v>0.17</v>
      </c>
      <c r="Z85" s="20">
        <f t="shared" si="16"/>
        <v>0.17</v>
      </c>
      <c r="AA85" s="20">
        <f t="shared" si="16"/>
        <v>0.17</v>
      </c>
      <c r="AB85" s="20">
        <f t="shared" si="16"/>
        <v>0.17</v>
      </c>
      <c r="AC85" s="20">
        <f t="shared" si="16"/>
        <v>0.17</v>
      </c>
    </row>
    <row r="86" spans="2:29">
      <c r="C86" s="18" t="s">
        <v>195</v>
      </c>
      <c r="H86" s="30">
        <v>0.2147</v>
      </c>
      <c r="I86" s="30">
        <v>0.2147</v>
      </c>
      <c r="J86" s="30">
        <v>0.2147</v>
      </c>
      <c r="K86" s="30">
        <v>0.2147</v>
      </c>
      <c r="N86" s="20">
        <f>LOOKUP(N$2,$83:$83,86:86)</f>
        <v>0.2147</v>
      </c>
      <c r="O86" s="20">
        <f>LOOKUP(O$2,$67:$67,86:86)</f>
        <v>0.2147</v>
      </c>
      <c r="P86" s="20">
        <f t="shared" si="16"/>
        <v>0.2147</v>
      </c>
      <c r="Q86" s="20">
        <f t="shared" si="16"/>
        <v>0.2147</v>
      </c>
      <c r="R86" s="20">
        <f t="shared" si="16"/>
        <v>0.2147</v>
      </c>
      <c r="S86" s="20">
        <f t="shared" si="16"/>
        <v>0.2147</v>
      </c>
      <c r="T86" s="20">
        <f t="shared" si="16"/>
        <v>0.2147</v>
      </c>
      <c r="U86" s="20">
        <f t="shared" si="16"/>
        <v>0.2147</v>
      </c>
      <c r="V86" s="20">
        <f t="shared" si="16"/>
        <v>0.2147</v>
      </c>
      <c r="W86" s="20">
        <f t="shared" si="16"/>
        <v>0.2147</v>
      </c>
      <c r="X86" s="20">
        <f t="shared" si="16"/>
        <v>0.2147</v>
      </c>
      <c r="Y86" s="20">
        <f t="shared" si="16"/>
        <v>0.2147</v>
      </c>
      <c r="Z86" s="20">
        <f t="shared" si="16"/>
        <v>0.2147</v>
      </c>
      <c r="AA86" s="20">
        <f t="shared" si="16"/>
        <v>0.2147</v>
      </c>
      <c r="AB86" s="20">
        <f t="shared" si="16"/>
        <v>0.2147</v>
      </c>
      <c r="AC86" s="20">
        <f t="shared" si="16"/>
        <v>0.2147</v>
      </c>
    </row>
    <row r="87" spans="2:29">
      <c r="C87" s="18" t="s">
        <v>196</v>
      </c>
      <c r="H87" s="30">
        <v>0.2147</v>
      </c>
      <c r="I87" s="30">
        <v>0.2</v>
      </c>
      <c r="J87" s="30">
        <v>0.2</v>
      </c>
      <c r="K87" s="30">
        <v>0.2</v>
      </c>
      <c r="N87" s="20">
        <f>LOOKUP(N$2,$83:$83,87:87)</f>
        <v>0.2147</v>
      </c>
      <c r="O87" s="20">
        <f>LOOKUP(O$2,$67:$67,87:87)</f>
        <v>0.2</v>
      </c>
      <c r="P87" s="20">
        <f t="shared" si="16"/>
        <v>0.2</v>
      </c>
      <c r="Q87" s="20">
        <f t="shared" si="16"/>
        <v>0.2</v>
      </c>
      <c r="R87" s="20">
        <f t="shared" si="16"/>
        <v>0.2</v>
      </c>
      <c r="S87" s="20">
        <f t="shared" si="16"/>
        <v>0.2</v>
      </c>
      <c r="T87" s="20">
        <f t="shared" si="16"/>
        <v>0.2</v>
      </c>
      <c r="U87" s="20">
        <f t="shared" si="16"/>
        <v>0.2</v>
      </c>
      <c r="V87" s="20">
        <f t="shared" si="16"/>
        <v>0.2</v>
      </c>
      <c r="W87" s="20">
        <f t="shared" si="16"/>
        <v>0.2</v>
      </c>
      <c r="X87" s="20">
        <f t="shared" si="16"/>
        <v>0.2</v>
      </c>
      <c r="Y87" s="20">
        <f t="shared" si="16"/>
        <v>0.2</v>
      </c>
      <c r="Z87" s="20">
        <f t="shared" si="16"/>
        <v>0.2</v>
      </c>
      <c r="AA87" s="20">
        <f t="shared" si="16"/>
        <v>0.2</v>
      </c>
      <c r="AB87" s="20">
        <f t="shared" si="16"/>
        <v>0.2</v>
      </c>
      <c r="AC87" s="20">
        <f t="shared" si="16"/>
        <v>0.2</v>
      </c>
    </row>
    <row r="89" spans="2:29">
      <c r="C89" s="26" t="str">
        <f>INDEX(C84:C87,$E$83)</f>
        <v>Base Case</v>
      </c>
      <c r="D89" s="27"/>
      <c r="E89" s="27"/>
      <c r="F89" s="27"/>
      <c r="G89" s="27"/>
      <c r="H89" s="24"/>
      <c r="I89" s="24"/>
      <c r="J89" s="24"/>
      <c r="K89" s="24"/>
      <c r="L89" s="27"/>
      <c r="M89" s="27"/>
      <c r="N89" s="24">
        <f>INDEX(N84:N87,$E$83)</f>
        <v>0.2147</v>
      </c>
      <c r="O89" s="24">
        <f t="shared" ref="O89:AC89" si="17">INDEX(O84:O87,$E$83)</f>
        <v>0.2</v>
      </c>
      <c r="P89" s="24">
        <f t="shared" si="17"/>
        <v>0.2</v>
      </c>
      <c r="Q89" s="24">
        <f t="shared" si="17"/>
        <v>0.2</v>
      </c>
      <c r="R89" s="24">
        <f t="shared" si="17"/>
        <v>0.2</v>
      </c>
      <c r="S89" s="24">
        <f t="shared" si="17"/>
        <v>0.2</v>
      </c>
      <c r="T89" s="24">
        <f t="shared" si="17"/>
        <v>0.2</v>
      </c>
      <c r="U89" s="24">
        <f t="shared" si="17"/>
        <v>0.2</v>
      </c>
      <c r="V89" s="24">
        <f t="shared" si="17"/>
        <v>0.2</v>
      </c>
      <c r="W89" s="24">
        <f t="shared" si="17"/>
        <v>0.2</v>
      </c>
      <c r="X89" s="24">
        <f t="shared" si="17"/>
        <v>0.2</v>
      </c>
      <c r="Y89" s="24">
        <f t="shared" si="17"/>
        <v>0.2</v>
      </c>
      <c r="Z89" s="24">
        <f t="shared" si="17"/>
        <v>0.2</v>
      </c>
      <c r="AA89" s="24">
        <f t="shared" si="17"/>
        <v>0.2</v>
      </c>
      <c r="AB89" s="24">
        <f t="shared" si="17"/>
        <v>0.2</v>
      </c>
      <c r="AC89" s="25">
        <f t="shared" si="17"/>
        <v>0.2</v>
      </c>
    </row>
    <row r="91" spans="2:29">
      <c r="B91" s="18" t="s">
        <v>152</v>
      </c>
      <c r="E91" s="34">
        <f>F16</f>
        <v>1</v>
      </c>
      <c r="H91" s="28">
        <v>2017</v>
      </c>
      <c r="I91" s="28">
        <v>2018</v>
      </c>
      <c r="J91" s="18">
        <f t="shared" ref="J91" si="18">I91+4</f>
        <v>2022</v>
      </c>
      <c r="K91" s="18">
        <f t="shared" ref="K91" si="19">J91+4</f>
        <v>2026</v>
      </c>
    </row>
    <row r="92" spans="2:29">
      <c r="C92" s="18" t="s">
        <v>189</v>
      </c>
      <c r="H92" s="30">
        <v>0.05</v>
      </c>
      <c r="I92" s="30">
        <v>0.06</v>
      </c>
      <c r="J92" s="30">
        <v>0.08</v>
      </c>
      <c r="K92" s="30">
        <v>7.0000000000000007E-2</v>
      </c>
      <c r="N92" s="20">
        <f>LOOKUP(N$2,$91:$91,92:92)</f>
        <v>0.05</v>
      </c>
      <c r="O92" s="20">
        <f t="shared" ref="O92:AC92" si="20">LOOKUP(O$2,$91:$91,92:92)</f>
        <v>0.06</v>
      </c>
      <c r="P92" s="20">
        <f t="shared" si="20"/>
        <v>0.06</v>
      </c>
      <c r="Q92" s="20">
        <f t="shared" si="20"/>
        <v>0.06</v>
      </c>
      <c r="R92" s="20">
        <f t="shared" si="20"/>
        <v>0.06</v>
      </c>
      <c r="S92" s="20">
        <f t="shared" si="20"/>
        <v>0.08</v>
      </c>
      <c r="T92" s="20">
        <f t="shared" si="20"/>
        <v>0.08</v>
      </c>
      <c r="U92" s="20">
        <f t="shared" si="20"/>
        <v>0.08</v>
      </c>
      <c r="V92" s="20">
        <f t="shared" si="20"/>
        <v>0.08</v>
      </c>
      <c r="W92" s="20">
        <f t="shared" si="20"/>
        <v>7.0000000000000007E-2</v>
      </c>
      <c r="X92" s="20">
        <f t="shared" si="20"/>
        <v>7.0000000000000007E-2</v>
      </c>
      <c r="Y92" s="20">
        <f t="shared" si="20"/>
        <v>7.0000000000000007E-2</v>
      </c>
      <c r="Z92" s="20">
        <f t="shared" si="20"/>
        <v>7.0000000000000007E-2</v>
      </c>
      <c r="AA92" s="20">
        <f t="shared" si="20"/>
        <v>7.0000000000000007E-2</v>
      </c>
      <c r="AB92" s="20">
        <f t="shared" si="20"/>
        <v>7.0000000000000007E-2</v>
      </c>
      <c r="AC92" s="20">
        <f t="shared" si="20"/>
        <v>7.0000000000000007E-2</v>
      </c>
    </row>
    <row r="93" spans="2:29">
      <c r="C93" s="18" t="s">
        <v>778</v>
      </c>
      <c r="H93" s="30">
        <v>0.05</v>
      </c>
      <c r="I93" s="30">
        <v>7.0000000000000007E-2</v>
      </c>
      <c r="J93" s="30">
        <v>0.04</v>
      </c>
      <c r="K93" s="30">
        <v>0.03</v>
      </c>
      <c r="N93" s="20">
        <f t="shared" ref="N93:AC95" si="21">LOOKUP(N$2,$91:$91,93:93)</f>
        <v>0.05</v>
      </c>
      <c r="O93" s="20">
        <f t="shared" si="21"/>
        <v>7.0000000000000007E-2</v>
      </c>
      <c r="P93" s="20">
        <f t="shared" si="21"/>
        <v>7.0000000000000007E-2</v>
      </c>
      <c r="Q93" s="20">
        <f t="shared" si="21"/>
        <v>7.0000000000000007E-2</v>
      </c>
      <c r="R93" s="20">
        <f t="shared" si="21"/>
        <v>7.0000000000000007E-2</v>
      </c>
      <c r="S93" s="20">
        <f t="shared" si="21"/>
        <v>0.04</v>
      </c>
      <c r="T93" s="20">
        <f t="shared" si="21"/>
        <v>0.04</v>
      </c>
      <c r="U93" s="20">
        <f t="shared" si="21"/>
        <v>0.04</v>
      </c>
      <c r="V93" s="20">
        <f t="shared" si="21"/>
        <v>0.04</v>
      </c>
      <c r="W93" s="20">
        <f t="shared" si="21"/>
        <v>0.03</v>
      </c>
      <c r="X93" s="20">
        <f t="shared" si="21"/>
        <v>0.03</v>
      </c>
      <c r="Y93" s="20">
        <f t="shared" si="21"/>
        <v>0.03</v>
      </c>
      <c r="Z93" s="20">
        <f t="shared" si="21"/>
        <v>0.03</v>
      </c>
      <c r="AA93" s="20">
        <f t="shared" si="21"/>
        <v>0.03</v>
      </c>
      <c r="AB93" s="20">
        <f t="shared" si="21"/>
        <v>0.03</v>
      </c>
      <c r="AC93" s="20">
        <f t="shared" si="21"/>
        <v>0.03</v>
      </c>
    </row>
    <row r="94" spans="2:29">
      <c r="C94" s="18" t="s">
        <v>197</v>
      </c>
      <c r="H94" s="30">
        <v>0.06</v>
      </c>
      <c r="I94" s="30">
        <v>0.08</v>
      </c>
      <c r="J94" s="30">
        <v>0.08</v>
      </c>
      <c r="K94" s="30">
        <v>0.08</v>
      </c>
      <c r="N94" s="20">
        <f t="shared" si="21"/>
        <v>0.06</v>
      </c>
      <c r="O94" s="20">
        <f t="shared" si="21"/>
        <v>0.08</v>
      </c>
      <c r="P94" s="20">
        <f t="shared" si="21"/>
        <v>0.08</v>
      </c>
      <c r="Q94" s="20">
        <f t="shared" si="21"/>
        <v>0.08</v>
      </c>
      <c r="R94" s="20">
        <f t="shared" si="21"/>
        <v>0.08</v>
      </c>
      <c r="S94" s="20">
        <f t="shared" si="21"/>
        <v>0.08</v>
      </c>
      <c r="T94" s="20">
        <f t="shared" si="21"/>
        <v>0.08</v>
      </c>
      <c r="U94" s="20">
        <f t="shared" si="21"/>
        <v>0.08</v>
      </c>
      <c r="V94" s="20">
        <f t="shared" si="21"/>
        <v>0.08</v>
      </c>
      <c r="W94" s="20">
        <f t="shared" si="21"/>
        <v>0.08</v>
      </c>
      <c r="X94" s="20">
        <f t="shared" si="21"/>
        <v>0.08</v>
      </c>
      <c r="Y94" s="20">
        <f t="shared" si="21"/>
        <v>0.08</v>
      </c>
      <c r="Z94" s="20">
        <f t="shared" si="21"/>
        <v>0.08</v>
      </c>
      <c r="AA94" s="20">
        <f t="shared" si="21"/>
        <v>0.08</v>
      </c>
      <c r="AB94" s="20">
        <f t="shared" si="21"/>
        <v>0.08</v>
      </c>
      <c r="AC94" s="20">
        <f t="shared" si="21"/>
        <v>0.08</v>
      </c>
    </row>
    <row r="95" spans="2:29">
      <c r="C95" s="18" t="s">
        <v>198</v>
      </c>
      <c r="H95" s="30">
        <v>0.05</v>
      </c>
      <c r="I95" s="30">
        <v>7.0000000000000007E-2</v>
      </c>
      <c r="J95" s="30">
        <v>0.04</v>
      </c>
      <c r="K95" s="30">
        <v>0.03</v>
      </c>
      <c r="N95" s="20">
        <f t="shared" si="21"/>
        <v>0.05</v>
      </c>
      <c r="O95" s="20">
        <f t="shared" si="21"/>
        <v>7.0000000000000007E-2</v>
      </c>
      <c r="P95" s="20">
        <f t="shared" si="21"/>
        <v>7.0000000000000007E-2</v>
      </c>
      <c r="Q95" s="20">
        <f t="shared" si="21"/>
        <v>7.0000000000000007E-2</v>
      </c>
      <c r="R95" s="20">
        <f t="shared" si="21"/>
        <v>7.0000000000000007E-2</v>
      </c>
      <c r="S95" s="20">
        <f t="shared" si="21"/>
        <v>0.04</v>
      </c>
      <c r="T95" s="20">
        <f t="shared" si="21"/>
        <v>0.04</v>
      </c>
      <c r="U95" s="20">
        <f t="shared" si="21"/>
        <v>0.04</v>
      </c>
      <c r="V95" s="20">
        <f t="shared" si="21"/>
        <v>0.04</v>
      </c>
      <c r="W95" s="20">
        <f t="shared" si="21"/>
        <v>0.03</v>
      </c>
      <c r="X95" s="20">
        <f t="shared" si="21"/>
        <v>0.03</v>
      </c>
      <c r="Y95" s="20">
        <f t="shared" si="21"/>
        <v>0.03</v>
      </c>
      <c r="Z95" s="20">
        <f t="shared" si="21"/>
        <v>0.03</v>
      </c>
      <c r="AA95" s="20">
        <f t="shared" si="21"/>
        <v>0.03</v>
      </c>
      <c r="AB95" s="20">
        <f t="shared" si="21"/>
        <v>0.03</v>
      </c>
      <c r="AC95" s="20">
        <f t="shared" si="21"/>
        <v>0.03</v>
      </c>
    </row>
    <row r="97" spans="3:29">
      <c r="C97" s="26" t="str">
        <f>INDEX(C92:C95,$E$91)</f>
        <v>Base Case</v>
      </c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4">
        <f>INDEX(N92:N95,$E$91)</f>
        <v>0.05</v>
      </c>
      <c r="O97" s="24">
        <f t="shared" ref="O97:AC97" si="22">INDEX(O92:O95,$E$91)</f>
        <v>0.06</v>
      </c>
      <c r="P97" s="24">
        <f t="shared" si="22"/>
        <v>0.06</v>
      </c>
      <c r="Q97" s="24">
        <f t="shared" si="22"/>
        <v>0.06</v>
      </c>
      <c r="R97" s="24">
        <f t="shared" si="22"/>
        <v>0.06</v>
      </c>
      <c r="S97" s="24">
        <f t="shared" si="22"/>
        <v>0.08</v>
      </c>
      <c r="T97" s="24">
        <f t="shared" si="22"/>
        <v>0.08</v>
      </c>
      <c r="U97" s="24">
        <f t="shared" si="22"/>
        <v>0.08</v>
      </c>
      <c r="V97" s="24">
        <f t="shared" si="22"/>
        <v>0.08</v>
      </c>
      <c r="W97" s="24">
        <f t="shared" si="22"/>
        <v>7.0000000000000007E-2</v>
      </c>
      <c r="X97" s="24">
        <f t="shared" si="22"/>
        <v>7.0000000000000007E-2</v>
      </c>
      <c r="Y97" s="24">
        <f t="shared" si="22"/>
        <v>7.0000000000000007E-2</v>
      </c>
      <c r="Z97" s="24">
        <f t="shared" si="22"/>
        <v>7.0000000000000007E-2</v>
      </c>
      <c r="AA97" s="24">
        <f t="shared" si="22"/>
        <v>7.0000000000000007E-2</v>
      </c>
      <c r="AB97" s="24">
        <f t="shared" si="22"/>
        <v>7.0000000000000007E-2</v>
      </c>
      <c r="AC97" s="25">
        <f t="shared" si="22"/>
        <v>7.0000000000000007E-2</v>
      </c>
    </row>
  </sheetData>
  <conditionalFormatting sqref="A16:G16 A17:XFD19 A20:G20 I20:XFD20 A21:XFD22 A23:G26 A27:XFD27 I28:XFD28 A28:G28 I16:XFD16 I23:XFD26 A1:XFD15 A29:XFD1048576">
    <cfRule type="containsText" dxfId="14" priority="3" operator="containsText" text="FALSE">
      <formula>NOT(ISERROR(SEARCH("FALSE",A1)))</formula>
    </cfRule>
    <cfRule type="cellIs" dxfId="13" priority="4" operator="equal">
      <formula>TRUE</formula>
    </cfRule>
  </conditionalFormatting>
  <conditionalFormatting sqref="A1:XFD1048576">
    <cfRule type="cellIs" priority="1" stopIfTrue="1" operator="equal">
      <formula>TRUE</formula>
    </cfRule>
    <cfRule type="cellIs" priority="2" stopIfTrue="1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rop Down 1">
              <controlPr defaultSize="0" autoLine="0" autoPict="0">
                <anchor moveWithCells="1">
                  <from>
                    <xdr:col>3</xdr:col>
                    <xdr:colOff>717550</xdr:colOff>
                    <xdr:row>0</xdr:row>
                    <xdr:rowOff>0</xdr:rowOff>
                  </from>
                  <to>
                    <xdr:col>3</xdr:col>
                    <xdr:colOff>1936750</xdr:colOff>
                    <xdr:row>1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AF30964F-5415-4885-A333-0E777A50135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'Amazon Assumptions'!J9:AA9</xm:f>
              <xm:sqref>H9</xm:sqref>
            </x14:sparkline>
          </x14:sparklines>
        </x14:sparklineGroup>
      </x14:sparklineGroup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B341"/>
  <sheetViews>
    <sheetView zoomScale="80" zoomScaleNormal="80" workbookViewId="0">
      <pane xSplit="7" ySplit="7" topLeftCell="H115" activePane="bottomRight" state="frozen"/>
      <selection pane="topRight" activeCell="H29" sqref="H29"/>
      <selection pane="bottomLeft" activeCell="H29" sqref="H29"/>
      <selection pane="bottomRight" activeCell="D120" sqref="D120"/>
    </sheetView>
  </sheetViews>
  <sheetFormatPr defaultColWidth="8.81640625" defaultRowHeight="14.5"/>
  <cols>
    <col min="1" max="3" width="1.1796875" style="18" customWidth="1"/>
    <col min="4" max="4" width="50.1796875" style="18" customWidth="1"/>
    <col min="5" max="7" width="13.54296875" style="18" customWidth="1"/>
    <col min="8" max="11" width="14.54296875" style="18" customWidth="1"/>
    <col min="12" max="28" width="14.81640625" style="18" customWidth="1"/>
    <col min="29" max="16384" width="8.81640625" style="18"/>
  </cols>
  <sheetData>
    <row r="1" spans="1:28">
      <c r="D1" s="28">
        <v>2</v>
      </c>
      <c r="E1" s="18" t="s">
        <v>199</v>
      </c>
      <c r="F1" s="18" t="b">
        <f>F2=1</f>
        <v>1</v>
      </c>
    </row>
    <row r="2" spans="1:28">
      <c r="B2" s="18" t="e">
        <f ca="1">INDEX(INDIRECT(#REF!&amp;"A:A"),MATCH(C10,INDIRECT(#REF!&amp;"A:A"),0)+1)</f>
        <v>#REF!</v>
      </c>
      <c r="E2" s="18" t="s">
        <v>200</v>
      </c>
      <c r="F2" s="53">
        <v>1</v>
      </c>
      <c r="H2" s="42">
        <f>DATE(F3,$F$2,1)</f>
        <v>40909</v>
      </c>
      <c r="I2" s="42">
        <f>H3+1</f>
        <v>41275</v>
      </c>
      <c r="J2" s="42">
        <f>I3+1</f>
        <v>41640</v>
      </c>
      <c r="K2" s="42">
        <f>J3+1</f>
        <v>42005</v>
      </c>
      <c r="L2" s="42">
        <f>K3+1</f>
        <v>42370</v>
      </c>
      <c r="M2" s="42">
        <f>L3+1</f>
        <v>42736</v>
      </c>
      <c r="N2" s="42">
        <f t="shared" ref="N2:AB2" si="0">M3+1</f>
        <v>43101</v>
      </c>
      <c r="O2" s="42">
        <f t="shared" si="0"/>
        <v>43466</v>
      </c>
      <c r="P2" s="42">
        <f t="shared" si="0"/>
        <v>43831</v>
      </c>
      <c r="Q2" s="42">
        <f t="shared" si="0"/>
        <v>44197</v>
      </c>
      <c r="R2" s="42">
        <f t="shared" si="0"/>
        <v>44562</v>
      </c>
      <c r="S2" s="42">
        <f t="shared" si="0"/>
        <v>44927</v>
      </c>
      <c r="T2" s="42">
        <f t="shared" si="0"/>
        <v>45292</v>
      </c>
      <c r="U2" s="42">
        <f t="shared" si="0"/>
        <v>45658</v>
      </c>
      <c r="V2" s="42">
        <f t="shared" si="0"/>
        <v>46023</v>
      </c>
      <c r="W2" s="42">
        <f t="shared" si="0"/>
        <v>46388</v>
      </c>
      <c r="X2" s="42">
        <f t="shared" si="0"/>
        <v>46753</v>
      </c>
      <c r="Y2" s="42">
        <f t="shared" si="0"/>
        <v>47119</v>
      </c>
      <c r="Z2" s="42">
        <f t="shared" si="0"/>
        <v>47484</v>
      </c>
      <c r="AA2" s="42">
        <f t="shared" si="0"/>
        <v>47849</v>
      </c>
      <c r="AB2" s="42">
        <f t="shared" si="0"/>
        <v>48214</v>
      </c>
    </row>
    <row r="3" spans="1:28">
      <c r="B3" s="18" t="s">
        <v>201</v>
      </c>
      <c r="E3" s="18" t="s">
        <v>202</v>
      </c>
      <c r="F3" s="43">
        <f>IF(F1,H13,H13-1)</f>
        <v>2012</v>
      </c>
      <c r="H3" s="42">
        <f t="shared" ref="H3:AB3" si="1">EOMONTH(H2,11)</f>
        <v>41274</v>
      </c>
      <c r="I3" s="42">
        <f t="shared" si="1"/>
        <v>41639</v>
      </c>
      <c r="J3" s="42">
        <f t="shared" si="1"/>
        <v>42004</v>
      </c>
      <c r="K3" s="42">
        <f t="shared" si="1"/>
        <v>42369</v>
      </c>
      <c r="L3" s="42">
        <f t="shared" si="1"/>
        <v>42735</v>
      </c>
      <c r="M3" s="42">
        <f t="shared" si="1"/>
        <v>43100</v>
      </c>
      <c r="N3" s="42">
        <f t="shared" si="1"/>
        <v>43465</v>
      </c>
      <c r="O3" s="42">
        <f t="shared" si="1"/>
        <v>43830</v>
      </c>
      <c r="P3" s="42">
        <f t="shared" si="1"/>
        <v>44196</v>
      </c>
      <c r="Q3" s="42">
        <f t="shared" si="1"/>
        <v>44561</v>
      </c>
      <c r="R3" s="42">
        <f t="shared" si="1"/>
        <v>44926</v>
      </c>
      <c r="S3" s="42">
        <f t="shared" si="1"/>
        <v>45291</v>
      </c>
      <c r="T3" s="42">
        <f t="shared" si="1"/>
        <v>45657</v>
      </c>
      <c r="U3" s="42">
        <f t="shared" si="1"/>
        <v>46022</v>
      </c>
      <c r="V3" s="42">
        <f t="shared" si="1"/>
        <v>46387</v>
      </c>
      <c r="W3" s="42">
        <f t="shared" si="1"/>
        <v>46752</v>
      </c>
      <c r="X3" s="42">
        <f t="shared" si="1"/>
        <v>47118</v>
      </c>
      <c r="Y3" s="42">
        <f t="shared" si="1"/>
        <v>47483</v>
      </c>
      <c r="Z3" s="42">
        <f t="shared" si="1"/>
        <v>47848</v>
      </c>
      <c r="AA3" s="42">
        <f t="shared" si="1"/>
        <v>48213</v>
      </c>
      <c r="AB3" s="42">
        <f t="shared" si="1"/>
        <v>48579</v>
      </c>
    </row>
    <row r="4" spans="1:28">
      <c r="F4" s="43"/>
      <c r="H4" s="44">
        <f>YEAR(H3)</f>
        <v>2012</v>
      </c>
      <c r="I4" s="44">
        <f t="shared" ref="I4:AB4" si="2">YEAR(I3)</f>
        <v>2013</v>
      </c>
      <c r="J4" s="44">
        <f t="shared" si="2"/>
        <v>2014</v>
      </c>
      <c r="K4" s="44">
        <f t="shared" si="2"/>
        <v>2015</v>
      </c>
      <c r="L4" s="44">
        <f t="shared" si="2"/>
        <v>2016</v>
      </c>
      <c r="M4" s="44">
        <f t="shared" si="2"/>
        <v>2017</v>
      </c>
      <c r="N4" s="44">
        <f t="shared" si="2"/>
        <v>2018</v>
      </c>
      <c r="O4" s="44">
        <f t="shared" si="2"/>
        <v>2019</v>
      </c>
      <c r="P4" s="44">
        <f t="shared" si="2"/>
        <v>2020</v>
      </c>
      <c r="Q4" s="44">
        <f t="shared" si="2"/>
        <v>2021</v>
      </c>
      <c r="R4" s="44">
        <f t="shared" si="2"/>
        <v>2022</v>
      </c>
      <c r="S4" s="44">
        <f t="shared" si="2"/>
        <v>2023</v>
      </c>
      <c r="T4" s="44">
        <f t="shared" si="2"/>
        <v>2024</v>
      </c>
      <c r="U4" s="44">
        <f t="shared" si="2"/>
        <v>2025</v>
      </c>
      <c r="V4" s="44">
        <f t="shared" si="2"/>
        <v>2026</v>
      </c>
      <c r="W4" s="44">
        <f t="shared" si="2"/>
        <v>2027</v>
      </c>
      <c r="X4" s="44">
        <f t="shared" si="2"/>
        <v>2028</v>
      </c>
      <c r="Y4" s="44">
        <f t="shared" si="2"/>
        <v>2029</v>
      </c>
      <c r="Z4" s="44">
        <f t="shared" si="2"/>
        <v>2030</v>
      </c>
      <c r="AA4" s="44">
        <f t="shared" si="2"/>
        <v>2031</v>
      </c>
      <c r="AB4" s="44">
        <f t="shared" si="2"/>
        <v>2032</v>
      </c>
    </row>
    <row r="5" spans="1:28">
      <c r="C5" s="18" t="s">
        <v>203</v>
      </c>
      <c r="E5" s="18" t="s">
        <v>204</v>
      </c>
      <c r="F5" s="44">
        <f>IF(F1,L13,L13-1)</f>
        <v>2016</v>
      </c>
      <c r="H5" s="18" t="b">
        <f t="shared" ref="H5:AB5" si="3">H3&lt;=$F$6</f>
        <v>1</v>
      </c>
      <c r="I5" s="18" t="b">
        <f t="shared" si="3"/>
        <v>1</v>
      </c>
      <c r="J5" s="18" t="b">
        <f t="shared" si="3"/>
        <v>1</v>
      </c>
      <c r="K5" s="18" t="b">
        <f t="shared" si="3"/>
        <v>1</v>
      </c>
      <c r="L5" s="18" t="b">
        <f t="shared" si="3"/>
        <v>1</v>
      </c>
      <c r="M5" s="18" t="b">
        <f t="shared" si="3"/>
        <v>0</v>
      </c>
      <c r="N5" s="18" t="b">
        <f t="shared" si="3"/>
        <v>0</v>
      </c>
      <c r="O5" s="18" t="b">
        <f t="shared" si="3"/>
        <v>0</v>
      </c>
      <c r="P5" s="18" t="b">
        <f t="shared" si="3"/>
        <v>0</v>
      </c>
      <c r="Q5" s="18" t="b">
        <f t="shared" si="3"/>
        <v>0</v>
      </c>
      <c r="R5" s="18" t="b">
        <f t="shared" si="3"/>
        <v>0</v>
      </c>
      <c r="S5" s="18" t="b">
        <f t="shared" si="3"/>
        <v>0</v>
      </c>
      <c r="T5" s="18" t="b">
        <f t="shared" si="3"/>
        <v>0</v>
      </c>
      <c r="U5" s="18" t="b">
        <f t="shared" si="3"/>
        <v>0</v>
      </c>
      <c r="V5" s="18" t="b">
        <f t="shared" si="3"/>
        <v>0</v>
      </c>
      <c r="W5" s="18" t="b">
        <f t="shared" si="3"/>
        <v>0</v>
      </c>
      <c r="X5" s="18" t="b">
        <f t="shared" si="3"/>
        <v>0</v>
      </c>
      <c r="Y5" s="18" t="b">
        <f t="shared" si="3"/>
        <v>0</v>
      </c>
      <c r="Z5" s="18" t="b">
        <f t="shared" si="3"/>
        <v>0</v>
      </c>
      <c r="AA5" s="18" t="b">
        <f t="shared" si="3"/>
        <v>0</v>
      </c>
      <c r="AB5" s="18" t="b">
        <f t="shared" si="3"/>
        <v>0</v>
      </c>
    </row>
    <row r="6" spans="1:28">
      <c r="C6" s="18" t="s">
        <v>205</v>
      </c>
      <c r="F6" s="42">
        <f>DATE(F5+1,F2,1)-1</f>
        <v>42735</v>
      </c>
      <c r="H6" s="18" t="b">
        <f t="shared" ref="H6:AB6" si="4">YEAR(H3)=$F$7</f>
        <v>0</v>
      </c>
      <c r="I6" s="18" t="b">
        <f t="shared" si="4"/>
        <v>0</v>
      </c>
      <c r="J6" s="18" t="b">
        <f t="shared" si="4"/>
        <v>0</v>
      </c>
      <c r="K6" s="18" t="b">
        <f t="shared" si="4"/>
        <v>0</v>
      </c>
      <c r="L6" s="18" t="b">
        <f t="shared" si="4"/>
        <v>0</v>
      </c>
      <c r="M6" s="18" t="b">
        <f t="shared" si="4"/>
        <v>1</v>
      </c>
      <c r="N6" s="18" t="b">
        <f t="shared" si="4"/>
        <v>0</v>
      </c>
      <c r="O6" s="18" t="b">
        <f t="shared" si="4"/>
        <v>0</v>
      </c>
      <c r="P6" s="18" t="b">
        <f t="shared" si="4"/>
        <v>0</v>
      </c>
      <c r="Q6" s="18" t="b">
        <f t="shared" si="4"/>
        <v>0</v>
      </c>
      <c r="R6" s="18" t="b">
        <f t="shared" si="4"/>
        <v>0</v>
      </c>
      <c r="S6" s="18" t="b">
        <f t="shared" si="4"/>
        <v>0</v>
      </c>
      <c r="T6" s="18" t="b">
        <f t="shared" si="4"/>
        <v>0</v>
      </c>
      <c r="U6" s="18" t="b">
        <f t="shared" si="4"/>
        <v>0</v>
      </c>
      <c r="V6" s="18" t="b">
        <f t="shared" si="4"/>
        <v>0</v>
      </c>
      <c r="W6" s="18" t="b">
        <f t="shared" si="4"/>
        <v>0</v>
      </c>
      <c r="X6" s="18" t="b">
        <f t="shared" si="4"/>
        <v>0</v>
      </c>
      <c r="Y6" s="18" t="b">
        <f t="shared" si="4"/>
        <v>0</v>
      </c>
      <c r="Z6" s="18" t="b">
        <f t="shared" si="4"/>
        <v>0</v>
      </c>
      <c r="AA6" s="18" t="b">
        <f t="shared" si="4"/>
        <v>0</v>
      </c>
      <c r="AB6" s="18" t="b">
        <f t="shared" si="4"/>
        <v>0</v>
      </c>
    </row>
    <row r="7" spans="1:28">
      <c r="C7" s="18" t="s">
        <v>206</v>
      </c>
      <c r="E7" s="18" t="s">
        <v>207</v>
      </c>
      <c r="F7" s="18">
        <f>F5+1</f>
        <v>2017</v>
      </c>
      <c r="H7" s="18" t="b">
        <f t="shared" ref="H7:AB7" si="5">OR(H5:H6)</f>
        <v>1</v>
      </c>
      <c r="I7" s="18" t="b">
        <f t="shared" si="5"/>
        <v>1</v>
      </c>
      <c r="J7" s="18" t="b">
        <f t="shared" si="5"/>
        <v>1</v>
      </c>
      <c r="K7" s="18" t="b">
        <f t="shared" si="5"/>
        <v>1</v>
      </c>
      <c r="L7" s="18" t="b">
        <f t="shared" si="5"/>
        <v>1</v>
      </c>
      <c r="M7" s="18" t="b">
        <f t="shared" si="5"/>
        <v>1</v>
      </c>
      <c r="N7" s="18" t="b">
        <f t="shared" si="5"/>
        <v>0</v>
      </c>
      <c r="O7" s="18" t="b">
        <f t="shared" si="5"/>
        <v>0</v>
      </c>
      <c r="P7" s="18" t="b">
        <f t="shared" si="5"/>
        <v>0</v>
      </c>
      <c r="Q7" s="18" t="b">
        <f t="shared" si="5"/>
        <v>0</v>
      </c>
      <c r="R7" s="18" t="b">
        <f t="shared" si="5"/>
        <v>0</v>
      </c>
      <c r="S7" s="18" t="b">
        <f t="shared" si="5"/>
        <v>0</v>
      </c>
      <c r="T7" s="18" t="b">
        <f t="shared" si="5"/>
        <v>0</v>
      </c>
      <c r="U7" s="18" t="b">
        <f t="shared" si="5"/>
        <v>0</v>
      </c>
      <c r="V7" s="18" t="b">
        <f t="shared" si="5"/>
        <v>0</v>
      </c>
      <c r="W7" s="18" t="b">
        <f t="shared" si="5"/>
        <v>0</v>
      </c>
      <c r="X7" s="18" t="b">
        <f t="shared" si="5"/>
        <v>0</v>
      </c>
      <c r="Y7" s="18" t="b">
        <f t="shared" si="5"/>
        <v>0</v>
      </c>
      <c r="Z7" s="18" t="b">
        <f t="shared" si="5"/>
        <v>0</v>
      </c>
      <c r="AA7" s="18" t="b">
        <f t="shared" si="5"/>
        <v>0</v>
      </c>
      <c r="AB7" s="18" t="b">
        <f t="shared" si="5"/>
        <v>0</v>
      </c>
    </row>
    <row r="9" spans="1:28" s="31" customFormat="1">
      <c r="A9" s="31" t="s">
        <v>208</v>
      </c>
    </row>
    <row r="10" spans="1:28">
      <c r="C10" s="18" t="s">
        <v>209</v>
      </c>
    </row>
    <row r="11" spans="1:28">
      <c r="C11" s="42" t="s">
        <v>210</v>
      </c>
    </row>
    <row r="12" spans="1:28">
      <c r="C12" s="42"/>
    </row>
    <row r="13" spans="1:28">
      <c r="C13" s="18" t="s">
        <v>211</v>
      </c>
      <c r="E13" s="45"/>
      <c r="F13" s="45"/>
      <c r="H13" s="54">
        <v>2012</v>
      </c>
      <c r="I13" s="54">
        <v>2013</v>
      </c>
      <c r="J13" s="54">
        <v>2014</v>
      </c>
      <c r="K13" s="54">
        <v>2015</v>
      </c>
      <c r="L13" s="54">
        <v>2016</v>
      </c>
      <c r="M13" s="54">
        <v>2017</v>
      </c>
    </row>
    <row r="14" spans="1:28">
      <c r="C14" s="18" t="s">
        <v>212</v>
      </c>
      <c r="E14" s="47"/>
      <c r="F14" s="47"/>
      <c r="G14" s="47"/>
      <c r="H14" s="46"/>
      <c r="I14" s="46"/>
      <c r="J14" s="46"/>
      <c r="K14" s="46"/>
      <c r="L14" s="46"/>
    </row>
    <row r="15" spans="1:28">
      <c r="D15" s="18" t="s">
        <v>213</v>
      </c>
      <c r="E15" s="19"/>
      <c r="F15" s="19"/>
      <c r="G15" s="19"/>
      <c r="H15" s="55">
        <v>61090000</v>
      </c>
      <c r="I15" s="55">
        <v>74450000</v>
      </c>
      <c r="J15" s="55">
        <v>88990000</v>
      </c>
      <c r="K15" s="55">
        <v>107010000</v>
      </c>
      <c r="L15" s="55">
        <v>135990000</v>
      </c>
      <c r="M15" s="56">
        <v>175899379.39468053</v>
      </c>
    </row>
    <row r="16" spans="1:28">
      <c r="D16" s="18" t="s">
        <v>214</v>
      </c>
      <c r="H16" s="55">
        <v>44140000</v>
      </c>
      <c r="I16" s="55">
        <v>51380000</v>
      </c>
      <c r="J16" s="55">
        <v>58570000</v>
      </c>
      <c r="K16" s="55">
        <v>66000000</v>
      </c>
      <c r="L16" s="55">
        <v>80780000</v>
      </c>
      <c r="M16" s="56">
        <v>102549947.41655236</v>
      </c>
    </row>
    <row r="17" spans="4:13" ht="15" thickBot="1">
      <c r="D17" s="35" t="s">
        <v>215</v>
      </c>
      <c r="E17" s="35"/>
      <c r="F17" s="35"/>
      <c r="G17" s="35"/>
      <c r="H17" s="57">
        <v>16950000</v>
      </c>
      <c r="I17" s="57">
        <v>23070000</v>
      </c>
      <c r="J17" s="57">
        <v>30420000</v>
      </c>
      <c r="K17" s="57">
        <v>41010000</v>
      </c>
      <c r="L17" s="57">
        <v>55210000</v>
      </c>
      <c r="M17" s="57">
        <v>75672062.952074528</v>
      </c>
    </row>
    <row r="18" spans="4:13">
      <c r="D18" s="18" t="s">
        <v>216</v>
      </c>
      <c r="H18" s="55">
        <v>4560000</v>
      </c>
      <c r="I18" s="55">
        <v>6570000</v>
      </c>
      <c r="J18" s="55">
        <v>9280000</v>
      </c>
      <c r="K18" s="55">
        <v>12540000</v>
      </c>
      <c r="L18" s="55">
        <v>16090000</v>
      </c>
      <c r="M18" s="56">
        <v>22828261.263783894</v>
      </c>
    </row>
    <row r="19" spans="4:13">
      <c r="D19" s="18" t="s">
        <v>217</v>
      </c>
      <c r="H19" s="55">
        <v>9720000</v>
      </c>
      <c r="I19" s="55">
        <v>12850000</v>
      </c>
      <c r="J19" s="55">
        <v>16650000</v>
      </c>
      <c r="K19" s="55">
        <v>20410000</v>
      </c>
      <c r="L19" s="55">
        <v>27280000</v>
      </c>
      <c r="M19" s="56">
        <v>37768214.449016921</v>
      </c>
    </row>
    <row r="20" spans="4:13">
      <c r="D20" s="18" t="s">
        <v>149</v>
      </c>
      <c r="H20" s="55">
        <v>0</v>
      </c>
      <c r="I20" s="55">
        <v>0</v>
      </c>
      <c r="J20" s="55">
        <v>0</v>
      </c>
      <c r="K20" s="55">
        <v>0</v>
      </c>
      <c r="L20" s="55">
        <v>0</v>
      </c>
      <c r="M20" s="56">
        <v>0</v>
      </c>
    </row>
    <row r="21" spans="4:13" ht="15" thickBot="1">
      <c r="D21" s="35" t="s">
        <v>218</v>
      </c>
      <c r="E21" s="35"/>
      <c r="F21" s="35"/>
      <c r="G21" s="35"/>
      <c r="H21" s="58">
        <v>2670000</v>
      </c>
      <c r="I21" s="58">
        <v>3650000</v>
      </c>
      <c r="J21" s="58">
        <v>4490000</v>
      </c>
      <c r="K21" s="58">
        <v>8060000</v>
      </c>
      <c r="L21" s="58">
        <v>11840000</v>
      </c>
      <c r="M21" s="58">
        <v>15257164.790127188</v>
      </c>
    </row>
    <row r="22" spans="4:13">
      <c r="D22" s="18" t="s">
        <v>219</v>
      </c>
      <c r="H22" s="55">
        <v>0</v>
      </c>
      <c r="I22" s="55">
        <v>0</v>
      </c>
      <c r="J22" s="55">
        <v>0</v>
      </c>
      <c r="K22" s="55">
        <v>0</v>
      </c>
      <c r="L22" s="55">
        <v>-67000</v>
      </c>
      <c r="M22" s="56">
        <v>-193333.33333333331</v>
      </c>
    </row>
    <row r="23" spans="4:13">
      <c r="D23" s="18" t="s">
        <v>104</v>
      </c>
      <c r="H23" s="55">
        <v>1670000</v>
      </c>
      <c r="I23" s="55">
        <v>2630000</v>
      </c>
      <c r="J23" s="55">
        <v>4010000.25</v>
      </c>
      <c r="K23" s="55">
        <v>5380000</v>
      </c>
      <c r="L23" s="55">
        <v>7200000</v>
      </c>
      <c r="M23" s="56">
        <v>0</v>
      </c>
    </row>
    <row r="24" spans="4:13">
      <c r="D24" s="18" t="s">
        <v>220</v>
      </c>
      <c r="H24" s="55">
        <v>163000</v>
      </c>
      <c r="I24" s="55">
        <v>168000</v>
      </c>
      <c r="J24" s="55">
        <v>181000</v>
      </c>
      <c r="K24" s="55">
        <v>270000</v>
      </c>
      <c r="L24" s="55">
        <v>287000</v>
      </c>
      <c r="M24" s="56">
        <v>0</v>
      </c>
    </row>
    <row r="25" spans="4:13" ht="15" thickBot="1">
      <c r="D25" s="35" t="s">
        <v>221</v>
      </c>
      <c r="E25" s="35"/>
      <c r="F25" s="35"/>
      <c r="G25" s="35"/>
      <c r="H25" s="58">
        <v>837000</v>
      </c>
      <c r="I25" s="58">
        <v>852000</v>
      </c>
      <c r="J25" s="58">
        <v>298999.75</v>
      </c>
      <c r="K25" s="58">
        <v>2410000</v>
      </c>
      <c r="L25" s="58">
        <v>4420000</v>
      </c>
      <c r="M25" s="58">
        <v>15450498.123460522</v>
      </c>
    </row>
    <row r="26" spans="4:13">
      <c r="D26" s="18" t="s">
        <v>222</v>
      </c>
      <c r="H26" s="55">
        <v>-239000</v>
      </c>
      <c r="I26" s="55">
        <v>-250000</v>
      </c>
      <c r="J26" s="55">
        <v>-251000</v>
      </c>
      <c r="K26" s="55">
        <v>-427000</v>
      </c>
      <c r="L26" s="55">
        <v>-144000</v>
      </c>
      <c r="M26" s="56">
        <v>93333.333333333343</v>
      </c>
    </row>
    <row r="27" spans="4:13">
      <c r="D27" s="18" t="s">
        <v>223</v>
      </c>
      <c r="H27" s="55">
        <v>40000</v>
      </c>
      <c r="I27" s="55">
        <v>38000</v>
      </c>
      <c r="J27" s="55">
        <v>39000</v>
      </c>
      <c r="K27" s="55">
        <v>50000</v>
      </c>
      <c r="L27" s="55">
        <v>100000</v>
      </c>
      <c r="M27" s="56">
        <v>0</v>
      </c>
    </row>
    <row r="28" spans="4:13">
      <c r="D28" s="18" t="s">
        <v>224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6">
        <v>0</v>
      </c>
    </row>
    <row r="29" spans="4:13">
      <c r="D29" s="18" t="s">
        <v>225</v>
      </c>
      <c r="H29" s="55">
        <v>92000</v>
      </c>
      <c r="I29" s="55">
        <v>141000</v>
      </c>
      <c r="J29" s="55">
        <v>210000</v>
      </c>
      <c r="K29" s="55">
        <v>459000</v>
      </c>
      <c r="L29" s="55">
        <v>484000</v>
      </c>
      <c r="M29" s="56">
        <v>766983.05084745772</v>
      </c>
    </row>
    <row r="30" spans="4:13" ht="15" thickBot="1">
      <c r="D30" s="35" t="s">
        <v>226</v>
      </c>
      <c r="E30" s="35"/>
      <c r="F30" s="35"/>
      <c r="G30" s="35"/>
      <c r="H30" s="58">
        <v>546000</v>
      </c>
      <c r="I30" s="58">
        <v>499000</v>
      </c>
      <c r="J30" s="58">
        <v>-123000.25</v>
      </c>
      <c r="K30" s="58">
        <v>1574000</v>
      </c>
      <c r="L30" s="58">
        <v>3892000</v>
      </c>
      <c r="M30" s="58">
        <v>14776848.405946398</v>
      </c>
    </row>
    <row r="31" spans="4:13">
      <c r="D31" s="18" t="s">
        <v>227</v>
      </c>
      <c r="H31" s="55">
        <v>428000</v>
      </c>
      <c r="I31" s="55">
        <v>161000</v>
      </c>
      <c r="J31" s="55">
        <v>167000</v>
      </c>
      <c r="K31" s="55">
        <v>950000</v>
      </c>
      <c r="L31" s="55">
        <v>1430000</v>
      </c>
      <c r="M31" s="56">
        <v>858855.89519650652</v>
      </c>
    </row>
    <row r="32" spans="4:13">
      <c r="D32" s="18" t="s">
        <v>228</v>
      </c>
      <c r="H32" s="55">
        <v>-155000</v>
      </c>
      <c r="I32" s="55">
        <v>-71000</v>
      </c>
      <c r="J32" s="55">
        <v>37000</v>
      </c>
      <c r="K32" s="55">
        <v>-22000</v>
      </c>
      <c r="L32" s="55">
        <v>-96000</v>
      </c>
      <c r="M32" s="56">
        <v>-4600</v>
      </c>
    </row>
    <row r="33" spans="4:13">
      <c r="D33" s="18" t="s">
        <v>229</v>
      </c>
      <c r="H33" s="55">
        <v>0</v>
      </c>
      <c r="I33" s="55">
        <v>0</v>
      </c>
      <c r="J33" s="55">
        <v>0</v>
      </c>
      <c r="K33" s="55">
        <v>0</v>
      </c>
      <c r="L33" s="55">
        <v>0</v>
      </c>
      <c r="M33" s="56">
        <v>0</v>
      </c>
    </row>
    <row r="34" spans="4:13">
      <c r="D34" s="18" t="s">
        <v>230</v>
      </c>
      <c r="H34" s="55">
        <v>-39000</v>
      </c>
      <c r="I34" s="55">
        <v>274000</v>
      </c>
      <c r="J34" s="55">
        <v>-241000</v>
      </c>
      <c r="K34" s="55">
        <v>596000</v>
      </c>
      <c r="L34" s="55">
        <v>2370000</v>
      </c>
    </row>
    <row r="35" spans="4:13">
      <c r="D35" s="18" t="s">
        <v>231</v>
      </c>
      <c r="H35" s="55">
        <v>-2000</v>
      </c>
      <c r="I35" s="55">
        <v>7000</v>
      </c>
      <c r="J35" s="55">
        <v>12000.25</v>
      </c>
      <c r="K35" s="55">
        <v>-6000</v>
      </c>
      <c r="L35" s="55">
        <v>4000</v>
      </c>
    </row>
    <row r="36" spans="4:13" ht="15" thickBot="1">
      <c r="D36" s="35" t="s">
        <v>232</v>
      </c>
      <c r="E36" s="35"/>
      <c r="F36" s="35"/>
      <c r="G36" s="35"/>
      <c r="H36" s="58">
        <v>-39000</v>
      </c>
      <c r="I36" s="58">
        <v>274000</v>
      </c>
      <c r="J36" s="58">
        <v>-241000</v>
      </c>
      <c r="K36" s="58">
        <v>596000</v>
      </c>
      <c r="L36" s="58">
        <v>2370000</v>
      </c>
    </row>
    <row r="37" spans="4:13">
      <c r="D37" s="18" t="s">
        <v>233</v>
      </c>
      <c r="H37" s="55">
        <v>0</v>
      </c>
      <c r="I37" s="55">
        <v>0</v>
      </c>
      <c r="J37" s="55">
        <v>0</v>
      </c>
      <c r="K37" s="55">
        <v>0</v>
      </c>
      <c r="L37" s="55">
        <v>0</v>
      </c>
    </row>
    <row r="38" spans="4:13" ht="15" thickBot="1">
      <c r="D38" s="35" t="s">
        <v>234</v>
      </c>
      <c r="E38" s="35"/>
      <c r="F38" s="35"/>
      <c r="G38" s="35"/>
      <c r="H38" s="58">
        <v>-39000</v>
      </c>
      <c r="I38" s="58">
        <v>274000</v>
      </c>
      <c r="J38" s="58">
        <v>-241000</v>
      </c>
      <c r="K38" s="58">
        <v>596000</v>
      </c>
      <c r="L38" s="58">
        <v>2370000</v>
      </c>
    </row>
    <row r="39" spans="4:13">
      <c r="D39" s="18" t="s">
        <v>187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</row>
    <row r="40" spans="4:13">
      <c r="D40" s="18" t="s">
        <v>235</v>
      </c>
      <c r="H40" s="55">
        <v>-39000</v>
      </c>
      <c r="I40" s="55">
        <v>274000</v>
      </c>
      <c r="J40" s="55">
        <v>-241000</v>
      </c>
      <c r="K40" s="55">
        <v>596000</v>
      </c>
      <c r="L40" s="55">
        <v>2370000</v>
      </c>
    </row>
    <row r="41" spans="4:13">
      <c r="D41" s="18" t="s">
        <v>236</v>
      </c>
      <c r="H41" s="55">
        <v>0</v>
      </c>
      <c r="I41" s="55">
        <v>0</v>
      </c>
      <c r="J41" s="55">
        <v>0</v>
      </c>
      <c r="K41" s="55">
        <v>0</v>
      </c>
      <c r="L41" s="55">
        <v>0</v>
      </c>
    </row>
    <row r="42" spans="4:13" ht="15" thickBot="1">
      <c r="D42" s="35" t="s">
        <v>237</v>
      </c>
      <c r="E42" s="35"/>
      <c r="F42" s="35"/>
      <c r="G42" s="35"/>
      <c r="H42" s="58">
        <v>-39000</v>
      </c>
      <c r="I42" s="58">
        <v>274000</v>
      </c>
      <c r="J42" s="58">
        <v>-241000</v>
      </c>
      <c r="K42" s="58">
        <v>596000</v>
      </c>
      <c r="L42" s="58">
        <v>2370000</v>
      </c>
    </row>
    <row r="43" spans="4:13">
      <c r="H43" s="19"/>
      <c r="I43" s="19"/>
      <c r="J43" s="19"/>
      <c r="K43" s="19"/>
      <c r="L43" s="19"/>
    </row>
    <row r="44" spans="4:13">
      <c r="D44" s="18" t="s">
        <v>238</v>
      </c>
      <c r="H44" s="59">
        <v>-0.09</v>
      </c>
      <c r="I44" s="59">
        <v>0.6</v>
      </c>
      <c r="J44" s="59">
        <v>-0.52</v>
      </c>
      <c r="K44" s="59">
        <v>1.28</v>
      </c>
      <c r="L44" s="59">
        <v>5</v>
      </c>
    </row>
    <row r="45" spans="4:13">
      <c r="D45" s="18" t="s">
        <v>239</v>
      </c>
      <c r="H45" s="55">
        <v>453000</v>
      </c>
      <c r="I45" s="55">
        <v>457000</v>
      </c>
      <c r="J45" s="55">
        <v>462000</v>
      </c>
      <c r="K45" s="55">
        <v>467000</v>
      </c>
      <c r="L45" s="55">
        <v>474000</v>
      </c>
    </row>
    <row r="46" spans="4:13">
      <c r="D46" s="18" t="s">
        <v>240</v>
      </c>
      <c r="H46" s="59">
        <v>-0.09</v>
      </c>
      <c r="I46" s="59">
        <v>0.59</v>
      </c>
      <c r="J46" s="59">
        <v>-0.52</v>
      </c>
      <c r="K46" s="59">
        <v>1.25</v>
      </c>
      <c r="L46" s="59">
        <v>4.9000000000000004</v>
      </c>
    </row>
    <row r="47" spans="4:13">
      <c r="D47" s="18" t="s">
        <v>241</v>
      </c>
      <c r="H47" s="55">
        <v>453000</v>
      </c>
      <c r="I47" s="55">
        <v>465000</v>
      </c>
      <c r="J47" s="55">
        <v>462000</v>
      </c>
      <c r="K47" s="55">
        <v>477000</v>
      </c>
      <c r="L47" s="55">
        <v>484000</v>
      </c>
    </row>
    <row r="48" spans="4:13">
      <c r="H48" s="19"/>
      <c r="I48" s="19"/>
      <c r="J48" s="19"/>
      <c r="K48" s="19"/>
      <c r="L48" s="19"/>
    </row>
    <row r="49" spans="1:13" s="31" customFormat="1">
      <c r="A49" s="31" t="s">
        <v>242</v>
      </c>
    </row>
    <row r="50" spans="1:13">
      <c r="B50" s="18" t="s">
        <v>209</v>
      </c>
    </row>
    <row r="51" spans="1:13">
      <c r="B51" s="42" t="s">
        <v>210</v>
      </c>
    </row>
    <row r="52" spans="1:13">
      <c r="B52" s="18" t="s">
        <v>211</v>
      </c>
      <c r="H52" s="46">
        <f>H13</f>
        <v>2012</v>
      </c>
      <c r="I52" s="46">
        <f t="shared" ref="I52:M52" si="6">I13</f>
        <v>2013</v>
      </c>
      <c r="J52" s="46">
        <f t="shared" si="6"/>
        <v>2014</v>
      </c>
      <c r="K52" s="46">
        <f t="shared" si="6"/>
        <v>2015</v>
      </c>
      <c r="L52" s="46">
        <f t="shared" si="6"/>
        <v>2016</v>
      </c>
      <c r="M52" s="46">
        <f t="shared" si="6"/>
        <v>2017</v>
      </c>
    </row>
    <row r="53" spans="1:13">
      <c r="D53" s="18" t="s">
        <v>243</v>
      </c>
      <c r="H53" s="55">
        <v>-39000</v>
      </c>
      <c r="I53" s="55">
        <v>274000</v>
      </c>
      <c r="J53" s="55">
        <v>-241000</v>
      </c>
      <c r="K53" s="55">
        <v>596000</v>
      </c>
      <c r="L53" s="55">
        <v>2370000</v>
      </c>
    </row>
    <row r="54" spans="1:13">
      <c r="D54" s="18" t="s">
        <v>244</v>
      </c>
      <c r="H54" s="55">
        <v>1830000</v>
      </c>
      <c r="I54" s="55">
        <v>2800000</v>
      </c>
      <c r="J54" s="55">
        <v>4190000</v>
      </c>
      <c r="K54" s="55">
        <v>5650000</v>
      </c>
      <c r="L54" s="55">
        <v>7480000</v>
      </c>
      <c r="M54" s="56">
        <v>10080000</v>
      </c>
    </row>
    <row r="55" spans="1:13">
      <c r="D55" s="18" t="s">
        <v>245</v>
      </c>
      <c r="H55" s="55">
        <v>-265000</v>
      </c>
      <c r="I55" s="55">
        <v>-156000</v>
      </c>
      <c r="J55" s="55">
        <v>-316000</v>
      </c>
      <c r="K55" s="55">
        <v>81000</v>
      </c>
      <c r="L55" s="55">
        <v>-246000</v>
      </c>
      <c r="M55" s="56">
        <v>0</v>
      </c>
    </row>
    <row r="56" spans="1:13">
      <c r="D56" s="18" t="s">
        <v>184</v>
      </c>
      <c r="H56" s="55">
        <v>1130000</v>
      </c>
      <c r="I56" s="55">
        <v>1790000</v>
      </c>
      <c r="J56" s="55">
        <v>2240000</v>
      </c>
      <c r="K56" s="55">
        <v>3040000</v>
      </c>
      <c r="L56" s="55">
        <v>2920000</v>
      </c>
      <c r="M56" s="56">
        <v>4081000</v>
      </c>
    </row>
    <row r="57" spans="1:13" ht="15" thickBot="1">
      <c r="D57" s="35" t="s">
        <v>246</v>
      </c>
      <c r="H57" s="58">
        <v>2656000</v>
      </c>
      <c r="I57" s="58">
        <v>4708000</v>
      </c>
      <c r="J57" s="58">
        <v>5873000</v>
      </c>
      <c r="K57" s="58">
        <v>9367000</v>
      </c>
      <c r="L57" s="58">
        <v>12524000</v>
      </c>
    </row>
    <row r="58" spans="1:13">
      <c r="D58" s="18" t="s">
        <v>247</v>
      </c>
      <c r="H58" s="55">
        <v>0</v>
      </c>
      <c r="I58" s="55">
        <v>0</v>
      </c>
      <c r="J58" s="55">
        <v>0</v>
      </c>
      <c r="K58" s="55">
        <v>0</v>
      </c>
      <c r="L58" s="55">
        <v>0</v>
      </c>
      <c r="M58" s="56">
        <v>0</v>
      </c>
    </row>
    <row r="59" spans="1:13">
      <c r="D59" s="18" t="s">
        <v>248</v>
      </c>
      <c r="H59" s="55">
        <v>1520000</v>
      </c>
      <c r="I59" s="55">
        <v>767000</v>
      </c>
      <c r="J59" s="55">
        <v>974000</v>
      </c>
      <c r="K59" s="55">
        <v>2560000</v>
      </c>
      <c r="L59" s="55">
        <v>3920000</v>
      </c>
      <c r="M59" s="56">
        <v>1042000</v>
      </c>
    </row>
    <row r="60" spans="1:13" ht="15" thickBot="1">
      <c r="D60" s="35" t="s">
        <v>249</v>
      </c>
      <c r="H60" s="58">
        <v>4176000</v>
      </c>
      <c r="I60" s="58">
        <v>5475000</v>
      </c>
      <c r="J60" s="58">
        <v>6847000</v>
      </c>
      <c r="K60" s="58">
        <v>11927000</v>
      </c>
      <c r="L60" s="58">
        <v>16444000</v>
      </c>
    </row>
    <row r="61" spans="1:13">
      <c r="D61" s="18" t="s">
        <v>250</v>
      </c>
      <c r="H61" s="19"/>
      <c r="I61" s="19"/>
      <c r="J61" s="19"/>
      <c r="K61" s="19"/>
      <c r="L61" s="19"/>
    </row>
    <row r="62" spans="1:13">
      <c r="D62" s="18" t="s">
        <v>151</v>
      </c>
      <c r="H62" s="55">
        <v>-3790000</v>
      </c>
      <c r="I62" s="55">
        <v>-3440000</v>
      </c>
      <c r="J62" s="55">
        <v>-4890000</v>
      </c>
      <c r="K62" s="55">
        <v>-4590000</v>
      </c>
      <c r="L62" s="55">
        <v>-6740000</v>
      </c>
      <c r="M62" s="56">
        <v>-9030000</v>
      </c>
    </row>
    <row r="63" spans="1:13">
      <c r="D63" s="18" t="s">
        <v>154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6">
        <v>0</v>
      </c>
    </row>
    <row r="64" spans="1:13">
      <c r="D64" s="18" t="s">
        <v>155</v>
      </c>
      <c r="H64" s="55">
        <v>-745000</v>
      </c>
      <c r="I64" s="55">
        <v>-312000</v>
      </c>
      <c r="J64" s="55">
        <v>-979000</v>
      </c>
      <c r="K64" s="55">
        <v>-795000</v>
      </c>
      <c r="L64" s="55">
        <v>-116000</v>
      </c>
      <c r="M64" s="56">
        <v>-18517333.333333332</v>
      </c>
    </row>
    <row r="65" spans="4:13">
      <c r="D65" s="18" t="s">
        <v>251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6">
        <v>0</v>
      </c>
    </row>
    <row r="66" spans="4:13">
      <c r="H66" s="19"/>
      <c r="I66" s="19"/>
      <c r="J66" s="19"/>
      <c r="K66" s="19"/>
      <c r="L66" s="19"/>
    </row>
    <row r="67" spans="4:13">
      <c r="D67" s="18" t="s">
        <v>252</v>
      </c>
      <c r="H67" s="55">
        <v>935000</v>
      </c>
      <c r="I67" s="55">
        <v>-520000</v>
      </c>
      <c r="J67" s="55">
        <v>807000</v>
      </c>
      <c r="K67" s="55">
        <v>-1070000</v>
      </c>
      <c r="L67" s="55">
        <v>-3020000</v>
      </c>
    </row>
    <row r="68" spans="4:13">
      <c r="D68" s="18" t="s">
        <v>253</v>
      </c>
      <c r="H68" s="55">
        <v>0</v>
      </c>
      <c r="I68" s="55">
        <v>0</v>
      </c>
      <c r="J68" s="55">
        <v>0</v>
      </c>
      <c r="K68" s="55">
        <v>0</v>
      </c>
      <c r="L68" s="55">
        <v>0</v>
      </c>
    </row>
    <row r="69" spans="4:13">
      <c r="D69" s="18" t="s">
        <v>254</v>
      </c>
      <c r="H69" s="55">
        <v>0</v>
      </c>
      <c r="I69" s="55">
        <v>0</v>
      </c>
      <c r="J69" s="55">
        <v>0</v>
      </c>
      <c r="K69" s="55">
        <v>0</v>
      </c>
      <c r="L69" s="55">
        <v>0</v>
      </c>
    </row>
    <row r="70" spans="4:13" ht="15" thickBot="1">
      <c r="D70" s="35" t="s">
        <v>255</v>
      </c>
      <c r="H70" s="58">
        <v>-3600000</v>
      </c>
      <c r="I70" s="58">
        <v>-4272000</v>
      </c>
      <c r="J70" s="58">
        <v>-5062000</v>
      </c>
      <c r="K70" s="58">
        <v>-6455000</v>
      </c>
      <c r="L70" s="58">
        <v>-9876000</v>
      </c>
    </row>
    <row r="71" spans="4:13">
      <c r="D71" s="18" t="s">
        <v>256</v>
      </c>
      <c r="H71" s="19"/>
      <c r="I71" s="19"/>
      <c r="J71" s="19"/>
      <c r="K71" s="19"/>
      <c r="L71" s="19"/>
    </row>
    <row r="72" spans="4:13">
      <c r="D72" s="18" t="s">
        <v>257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</row>
    <row r="73" spans="4:13">
      <c r="D73" s="18" t="s">
        <v>236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</row>
    <row r="74" spans="4:13">
      <c r="D74" s="18" t="s">
        <v>258</v>
      </c>
      <c r="H74" s="55">
        <v>-960000</v>
      </c>
      <c r="I74" s="55">
        <v>0</v>
      </c>
      <c r="J74" s="55">
        <v>0</v>
      </c>
      <c r="K74" s="55">
        <v>0</v>
      </c>
      <c r="L74" s="55">
        <v>0</v>
      </c>
    </row>
    <row r="75" spans="4:13">
      <c r="D75" s="18" t="s">
        <v>259</v>
      </c>
      <c r="H75" s="55">
        <v>-960000</v>
      </c>
      <c r="I75" s="55">
        <v>0</v>
      </c>
      <c r="J75" s="55">
        <v>0</v>
      </c>
      <c r="K75" s="55">
        <v>0</v>
      </c>
      <c r="L75" s="55">
        <v>0</v>
      </c>
    </row>
    <row r="76" spans="4:13">
      <c r="D76" s="18" t="s">
        <v>260</v>
      </c>
      <c r="H76" s="55">
        <v>0</v>
      </c>
      <c r="I76" s="55">
        <v>0</v>
      </c>
      <c r="J76" s="55">
        <v>0</v>
      </c>
      <c r="K76" s="55">
        <v>0</v>
      </c>
      <c r="L76" s="55">
        <v>0</v>
      </c>
    </row>
    <row r="77" spans="4:13">
      <c r="D77" s="18" t="s">
        <v>261</v>
      </c>
      <c r="H77" s="55">
        <v>2790000</v>
      </c>
      <c r="I77" s="55">
        <v>-617000</v>
      </c>
      <c r="J77" s="55">
        <v>4430000</v>
      </c>
      <c r="K77" s="55">
        <v>-3880000</v>
      </c>
      <c r="L77" s="55">
        <v>-3740000</v>
      </c>
    </row>
    <row r="78" spans="4:13">
      <c r="D78" s="18" t="s">
        <v>262</v>
      </c>
      <c r="H78" s="55">
        <v>0</v>
      </c>
      <c r="I78" s="55">
        <v>0</v>
      </c>
      <c r="J78" s="55">
        <v>0</v>
      </c>
      <c r="K78" s="55">
        <v>0</v>
      </c>
      <c r="L78" s="55">
        <v>0</v>
      </c>
    </row>
    <row r="79" spans="4:13">
      <c r="D79" s="18" t="s">
        <v>263</v>
      </c>
      <c r="H79" s="55">
        <v>2790000</v>
      </c>
      <c r="I79" s="55">
        <v>-617000</v>
      </c>
      <c r="J79" s="55">
        <v>4430000</v>
      </c>
      <c r="K79" s="55">
        <v>-3880000</v>
      </c>
      <c r="L79" s="55">
        <v>-3740000</v>
      </c>
    </row>
    <row r="80" spans="4:13">
      <c r="D80" s="18" t="s">
        <v>264</v>
      </c>
      <c r="H80" s="55">
        <v>3380000</v>
      </c>
      <c r="I80" s="55">
        <v>394000</v>
      </c>
      <c r="J80" s="55">
        <v>6360000</v>
      </c>
      <c r="K80" s="55">
        <v>353000</v>
      </c>
      <c r="L80" s="55">
        <v>621000</v>
      </c>
    </row>
    <row r="81" spans="1:13">
      <c r="D81" s="18" t="s">
        <v>265</v>
      </c>
      <c r="H81" s="55">
        <v>-588000</v>
      </c>
      <c r="I81" s="55">
        <v>-1010000</v>
      </c>
      <c r="J81" s="55">
        <v>-1930000</v>
      </c>
      <c r="K81" s="55">
        <v>-4240000</v>
      </c>
      <c r="L81" s="55">
        <v>-4360000</v>
      </c>
    </row>
    <row r="82" spans="1:13">
      <c r="D82" s="18" t="s">
        <v>184</v>
      </c>
      <c r="H82" s="55">
        <v>1130000</v>
      </c>
      <c r="I82" s="55">
        <v>1790000</v>
      </c>
      <c r="J82" s="55">
        <v>2240000</v>
      </c>
      <c r="K82" s="55">
        <v>3040000</v>
      </c>
      <c r="L82" s="55">
        <v>2920000</v>
      </c>
    </row>
    <row r="83" spans="1:13">
      <c r="D83" s="18" t="s">
        <v>253</v>
      </c>
      <c r="H83" s="55">
        <v>0</v>
      </c>
      <c r="I83" s="55">
        <v>0</v>
      </c>
      <c r="J83" s="55">
        <v>0</v>
      </c>
      <c r="K83" s="55">
        <v>0</v>
      </c>
      <c r="L83" s="55">
        <v>0</v>
      </c>
    </row>
    <row r="84" spans="1:13">
      <c r="D84" s="18" t="s">
        <v>254</v>
      </c>
      <c r="H84" s="55">
        <v>0</v>
      </c>
      <c r="I84" s="55">
        <v>0</v>
      </c>
      <c r="J84" s="55">
        <v>0</v>
      </c>
      <c r="K84" s="55">
        <v>0</v>
      </c>
      <c r="L84" s="55">
        <v>0</v>
      </c>
    </row>
    <row r="85" spans="1:13" ht="15" thickBot="1">
      <c r="D85" s="35" t="s">
        <v>266</v>
      </c>
      <c r="H85" s="58">
        <v>2260000</v>
      </c>
      <c r="I85" s="58">
        <v>-539000</v>
      </c>
      <c r="J85" s="58">
        <v>4430000</v>
      </c>
      <c r="K85" s="58">
        <v>-3760000</v>
      </c>
      <c r="L85" s="58">
        <v>-2910000</v>
      </c>
    </row>
    <row r="87" spans="1:13">
      <c r="D87" s="18" t="s">
        <v>267</v>
      </c>
      <c r="H87" s="55">
        <v>-29000</v>
      </c>
      <c r="I87" s="55">
        <v>-86000</v>
      </c>
      <c r="J87" s="55">
        <v>-310000</v>
      </c>
      <c r="K87" s="55">
        <v>-374000</v>
      </c>
      <c r="L87" s="55">
        <v>-212000</v>
      </c>
    </row>
    <row r="88" spans="1:13">
      <c r="D88" s="18" t="s">
        <v>268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</row>
    <row r="89" spans="1:13">
      <c r="D89" s="18" t="s">
        <v>269</v>
      </c>
      <c r="H89" s="55">
        <v>2820000</v>
      </c>
      <c r="I89" s="55">
        <v>574000</v>
      </c>
      <c r="J89" s="55">
        <v>5900000</v>
      </c>
      <c r="K89" s="55">
        <v>1330000</v>
      </c>
      <c r="L89" s="55">
        <v>3440000</v>
      </c>
    </row>
    <row r="90" spans="1:13">
      <c r="D90" s="18" t="s">
        <v>94</v>
      </c>
      <c r="H90" s="55">
        <v>395000</v>
      </c>
      <c r="I90" s="55">
        <v>2030000</v>
      </c>
      <c r="J90" s="55">
        <v>1950000</v>
      </c>
      <c r="K90" s="55">
        <v>7330000</v>
      </c>
      <c r="L90" s="55">
        <v>9710000</v>
      </c>
    </row>
    <row r="92" spans="1:13" s="31" customFormat="1">
      <c r="A92" s="31" t="s">
        <v>270</v>
      </c>
    </row>
    <row r="93" spans="1:13">
      <c r="B93" s="18" t="s">
        <v>209</v>
      </c>
    </row>
    <row r="94" spans="1:13">
      <c r="B94" s="42" t="s">
        <v>210</v>
      </c>
    </row>
    <row r="95" spans="1:13">
      <c r="B95" s="18" t="s">
        <v>211</v>
      </c>
      <c r="H95" s="46">
        <f>H13</f>
        <v>2012</v>
      </c>
      <c r="I95" s="46">
        <f t="shared" ref="I95:M95" si="7">I13</f>
        <v>2013</v>
      </c>
      <c r="J95" s="46">
        <f t="shared" si="7"/>
        <v>2014</v>
      </c>
      <c r="K95" s="46">
        <f t="shared" si="7"/>
        <v>2015</v>
      </c>
      <c r="L95" s="46">
        <f t="shared" si="7"/>
        <v>2016</v>
      </c>
      <c r="M95" s="46">
        <f t="shared" si="7"/>
        <v>2017</v>
      </c>
    </row>
    <row r="96" spans="1:13">
      <c r="C96" s="18" t="s">
        <v>271</v>
      </c>
      <c r="H96" s="46"/>
      <c r="I96" s="46"/>
      <c r="J96" s="46"/>
      <c r="K96" s="46"/>
      <c r="L96" s="46"/>
    </row>
    <row r="97" spans="3:12">
      <c r="D97" s="18" t="s">
        <v>272</v>
      </c>
      <c r="H97" s="55">
        <v>11450000</v>
      </c>
      <c r="I97" s="55">
        <v>12450000</v>
      </c>
      <c r="J97" s="55">
        <v>17420000</v>
      </c>
      <c r="K97" s="55">
        <v>19810000</v>
      </c>
      <c r="L97" s="55">
        <v>25980000</v>
      </c>
    </row>
    <row r="98" spans="3:12">
      <c r="D98" s="18" t="s">
        <v>273</v>
      </c>
      <c r="H98" s="55">
        <v>3360000</v>
      </c>
      <c r="I98" s="55">
        <v>4770000</v>
      </c>
      <c r="J98" s="55">
        <v>5610000</v>
      </c>
      <c r="K98" s="55">
        <v>5650000</v>
      </c>
      <c r="L98" s="55">
        <v>8340000</v>
      </c>
    </row>
    <row r="99" spans="3:12">
      <c r="D99" s="18" t="s">
        <v>274</v>
      </c>
      <c r="H99" s="55">
        <v>6030000</v>
      </c>
      <c r="I99" s="55">
        <v>7410000</v>
      </c>
      <c r="J99" s="55">
        <v>8300000</v>
      </c>
      <c r="K99" s="55">
        <v>10240000</v>
      </c>
      <c r="L99" s="55">
        <v>11460000</v>
      </c>
    </row>
    <row r="100" spans="3:12">
      <c r="D100" s="18" t="s">
        <v>275</v>
      </c>
      <c r="H100" s="55">
        <v>0</v>
      </c>
      <c r="I100" s="55">
        <v>0</v>
      </c>
      <c r="J100" s="55">
        <v>0</v>
      </c>
      <c r="K100" s="55">
        <v>0</v>
      </c>
      <c r="L100" s="55">
        <v>0</v>
      </c>
    </row>
    <row r="101" spans="3:12">
      <c r="D101" s="18" t="s">
        <v>276</v>
      </c>
      <c r="H101" s="55">
        <v>453000</v>
      </c>
      <c r="I101" s="55">
        <v>0</v>
      </c>
      <c r="J101" s="55">
        <v>0</v>
      </c>
      <c r="K101" s="55">
        <v>0</v>
      </c>
      <c r="L101" s="55">
        <v>0</v>
      </c>
    </row>
    <row r="102" spans="3:12" ht="15" thickBot="1">
      <c r="D102" s="35" t="s">
        <v>277</v>
      </c>
      <c r="H102" s="57">
        <v>21293000</v>
      </c>
      <c r="I102" s="57">
        <v>24630000</v>
      </c>
      <c r="J102" s="57">
        <v>31330000</v>
      </c>
      <c r="K102" s="57">
        <v>35700000</v>
      </c>
      <c r="L102" s="57">
        <v>45780000</v>
      </c>
    </row>
    <row r="103" spans="3:12">
      <c r="D103" s="18" t="s">
        <v>278</v>
      </c>
      <c r="H103" s="55">
        <v>9580000</v>
      </c>
      <c r="I103" s="55">
        <v>14810000</v>
      </c>
      <c r="J103" s="55">
        <v>22730000</v>
      </c>
      <c r="K103" s="55">
        <v>30050000</v>
      </c>
      <c r="L103" s="55">
        <v>42440000</v>
      </c>
    </row>
    <row r="104" spans="3:12">
      <c r="D104" s="18" t="s">
        <v>105</v>
      </c>
      <c r="H104" s="55">
        <v>2520000</v>
      </c>
      <c r="I104" s="55">
        <v>3860000</v>
      </c>
      <c r="J104" s="55">
        <v>5760000</v>
      </c>
      <c r="K104" s="55">
        <v>8220000.5</v>
      </c>
      <c r="L104" s="55">
        <v>13330000</v>
      </c>
    </row>
    <row r="105" spans="3:12">
      <c r="D105" s="18" t="s">
        <v>279</v>
      </c>
      <c r="H105" s="55">
        <v>7060000</v>
      </c>
      <c r="I105" s="55">
        <v>10950000</v>
      </c>
      <c r="J105" s="55">
        <v>16970000</v>
      </c>
      <c r="K105" s="55">
        <v>21840000</v>
      </c>
      <c r="L105" s="55">
        <v>29110000</v>
      </c>
    </row>
    <row r="106" spans="3:12">
      <c r="D106" s="18" t="s">
        <v>280</v>
      </c>
      <c r="H106" s="55">
        <v>151000</v>
      </c>
      <c r="I106" s="55">
        <v>520000</v>
      </c>
      <c r="J106" s="55">
        <v>886000</v>
      </c>
      <c r="K106" s="55">
        <v>418000</v>
      </c>
      <c r="L106" s="55">
        <v>715000</v>
      </c>
    </row>
    <row r="107" spans="3:12">
      <c r="D107" s="18" t="s">
        <v>281</v>
      </c>
      <c r="H107" s="55">
        <v>3280000</v>
      </c>
      <c r="I107" s="55">
        <v>3300000</v>
      </c>
      <c r="J107" s="55">
        <v>4080000</v>
      </c>
      <c r="K107" s="55">
        <v>4750000</v>
      </c>
      <c r="L107" s="55">
        <v>4640000</v>
      </c>
    </row>
    <row r="108" spans="3:12">
      <c r="D108" s="18" t="s">
        <v>172</v>
      </c>
      <c r="H108" s="55">
        <v>648000</v>
      </c>
      <c r="I108" s="55">
        <v>538000</v>
      </c>
      <c r="J108" s="55">
        <v>971000</v>
      </c>
      <c r="K108" s="55">
        <v>1950000</v>
      </c>
      <c r="L108" s="55">
        <v>2700000</v>
      </c>
    </row>
    <row r="109" spans="3:12" ht="15" thickBot="1">
      <c r="D109" s="35" t="s">
        <v>282</v>
      </c>
      <c r="H109" s="57">
        <v>32432000</v>
      </c>
      <c r="I109" s="57">
        <v>39938000</v>
      </c>
      <c r="J109" s="57">
        <v>54237000</v>
      </c>
      <c r="K109" s="57">
        <v>64658000</v>
      </c>
      <c r="L109" s="57">
        <v>82945000</v>
      </c>
    </row>
    <row r="110" spans="3:12">
      <c r="D110" s="50"/>
      <c r="H110" s="51"/>
      <c r="I110" s="51"/>
      <c r="J110" s="51"/>
      <c r="K110" s="51"/>
      <c r="L110" s="51"/>
    </row>
    <row r="111" spans="3:12">
      <c r="C111" s="18" t="s">
        <v>283</v>
      </c>
    </row>
    <row r="112" spans="3:12">
      <c r="D112" s="18" t="s">
        <v>284</v>
      </c>
      <c r="H112" s="55">
        <v>1140000</v>
      </c>
      <c r="I112" s="55">
        <v>1740000</v>
      </c>
      <c r="J112" s="55">
        <v>3600000</v>
      </c>
      <c r="K112" s="55">
        <v>3340000</v>
      </c>
      <c r="L112" s="55">
        <v>5200000</v>
      </c>
    </row>
    <row r="113" spans="1:12">
      <c r="D113" s="18" t="s">
        <v>285</v>
      </c>
      <c r="H113" s="55">
        <v>13320000</v>
      </c>
      <c r="I113" s="55">
        <v>15130000</v>
      </c>
      <c r="J113" s="55">
        <v>16459999</v>
      </c>
      <c r="K113" s="55">
        <v>20400000</v>
      </c>
      <c r="L113" s="55">
        <v>25310000</v>
      </c>
    </row>
    <row r="114" spans="1:12">
      <c r="D114" s="18" t="s">
        <v>286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</row>
    <row r="115" spans="1:12">
      <c r="D115" s="18" t="s">
        <v>287</v>
      </c>
      <c r="H115" s="55">
        <v>4550000</v>
      </c>
      <c r="I115" s="55">
        <v>6110000</v>
      </c>
      <c r="J115" s="55">
        <v>8029999.5</v>
      </c>
      <c r="K115" s="55">
        <v>10150000</v>
      </c>
      <c r="L115" s="55">
        <v>13310000</v>
      </c>
    </row>
    <row r="116" spans="1:12" ht="15" thickBot="1">
      <c r="D116" s="35" t="s">
        <v>288</v>
      </c>
      <c r="H116" s="58">
        <v>19010000</v>
      </c>
      <c r="I116" s="58">
        <v>22980000</v>
      </c>
      <c r="J116" s="58">
        <v>28089998.5</v>
      </c>
      <c r="K116" s="58">
        <v>33890000</v>
      </c>
      <c r="L116" s="58">
        <v>43820000</v>
      </c>
    </row>
    <row r="117" spans="1:12">
      <c r="D117" s="18" t="s">
        <v>289</v>
      </c>
      <c r="H117" s="55">
        <v>3830000</v>
      </c>
      <c r="I117" s="55">
        <v>5180000</v>
      </c>
      <c r="J117" s="55">
        <v>12490000</v>
      </c>
      <c r="K117" s="55">
        <v>14180000</v>
      </c>
      <c r="L117" s="55">
        <v>15210000</v>
      </c>
    </row>
    <row r="118" spans="1:12">
      <c r="D118" s="18" t="s">
        <v>290</v>
      </c>
      <c r="H118" s="55">
        <v>336000</v>
      </c>
      <c r="I118" s="55">
        <v>457000</v>
      </c>
      <c r="J118" s="55">
        <v>510000</v>
      </c>
      <c r="K118" s="55">
        <v>932000</v>
      </c>
      <c r="L118" s="55">
        <v>1400000</v>
      </c>
    </row>
    <row r="119" spans="1:12">
      <c r="D119" s="18" t="s">
        <v>291</v>
      </c>
      <c r="H119" s="55">
        <v>-123000</v>
      </c>
      <c r="I119" s="55">
        <v>344000</v>
      </c>
      <c r="J119" s="55">
        <v>750000</v>
      </c>
      <c r="K119" s="55">
        <v>325000</v>
      </c>
      <c r="L119" s="55">
        <v>-62000</v>
      </c>
    </row>
    <row r="120" spans="1:12">
      <c r="D120" s="18" t="s">
        <v>292</v>
      </c>
      <c r="H120" s="55">
        <v>1200000</v>
      </c>
      <c r="I120" s="55">
        <v>1220000</v>
      </c>
      <c r="J120" s="55">
        <v>1660000</v>
      </c>
      <c r="K120" s="55">
        <v>1960000</v>
      </c>
      <c r="L120" s="55">
        <v>3300000</v>
      </c>
    </row>
    <row r="121" spans="1:12">
      <c r="D121" s="18" t="s">
        <v>293</v>
      </c>
      <c r="H121" s="55">
        <v>-10999.5</v>
      </c>
      <c r="I121" s="55">
        <v>7000</v>
      </c>
      <c r="J121" s="55">
        <v>-2998.5</v>
      </c>
      <c r="K121" s="55">
        <v>-9000</v>
      </c>
      <c r="L121" s="55">
        <v>-13000</v>
      </c>
    </row>
    <row r="122" spans="1:12" ht="15" thickBot="1">
      <c r="D122" s="35" t="s">
        <v>294</v>
      </c>
      <c r="H122" s="57">
        <v>24242000.5</v>
      </c>
      <c r="I122" s="57">
        <v>30188000</v>
      </c>
      <c r="J122" s="57">
        <v>43497000</v>
      </c>
      <c r="K122" s="57">
        <v>51278000</v>
      </c>
      <c r="L122" s="57">
        <v>63655000</v>
      </c>
    </row>
    <row r="123" spans="1:12">
      <c r="D123" s="18" t="s">
        <v>295</v>
      </c>
      <c r="H123" s="55">
        <v>8189999.5</v>
      </c>
      <c r="I123" s="55">
        <v>9750000</v>
      </c>
      <c r="J123" s="55">
        <v>10740000</v>
      </c>
      <c r="K123" s="55">
        <v>13380000</v>
      </c>
      <c r="L123" s="55">
        <v>19290000</v>
      </c>
    </row>
    <row r="124" spans="1:12">
      <c r="D124" s="18" t="s">
        <v>296</v>
      </c>
      <c r="H124" s="55">
        <v>0</v>
      </c>
      <c r="I124" s="55">
        <v>0</v>
      </c>
      <c r="J124" s="55">
        <v>0</v>
      </c>
      <c r="K124" s="55">
        <v>0</v>
      </c>
      <c r="L124" s="55">
        <v>0</v>
      </c>
    </row>
    <row r="125" spans="1:12">
      <c r="D125" s="18" t="s">
        <v>297</v>
      </c>
      <c r="H125" s="55">
        <v>8189999.5</v>
      </c>
      <c r="I125" s="55">
        <v>9750000</v>
      </c>
      <c r="J125" s="55">
        <v>10740000</v>
      </c>
      <c r="K125" s="55">
        <v>13380000</v>
      </c>
      <c r="L125" s="55">
        <v>19290000</v>
      </c>
    </row>
    <row r="126" spans="1:12" ht="15" thickBot="1">
      <c r="D126" s="35" t="s">
        <v>283</v>
      </c>
      <c r="H126" s="58">
        <v>32432000</v>
      </c>
      <c r="I126" s="58">
        <v>39938000</v>
      </c>
      <c r="J126" s="58">
        <v>54237000</v>
      </c>
      <c r="K126" s="58">
        <v>64658000</v>
      </c>
      <c r="L126" s="58">
        <v>82945000</v>
      </c>
    </row>
    <row r="127" spans="1:12">
      <c r="H127" s="55">
        <v>0</v>
      </c>
      <c r="I127" s="55">
        <v>0</v>
      </c>
      <c r="J127" s="55">
        <v>0</v>
      </c>
      <c r="K127" s="55">
        <v>0</v>
      </c>
      <c r="L127" s="55">
        <v>0</v>
      </c>
    </row>
    <row r="128" spans="1:12" s="31" customFormat="1">
      <c r="A128" s="31" t="s">
        <v>298</v>
      </c>
      <c r="H128" s="32"/>
      <c r="I128" s="32"/>
      <c r="J128" s="32"/>
      <c r="K128" s="32"/>
      <c r="L128" s="32"/>
    </row>
    <row r="129" spans="1:28">
      <c r="B129" s="18" t="s">
        <v>299</v>
      </c>
      <c r="H129" s="55">
        <v>250.86999499999999</v>
      </c>
      <c r="I129" s="55">
        <v>398.790009</v>
      </c>
      <c r="J129" s="55">
        <v>310.35000600000001</v>
      </c>
      <c r="K129" s="55">
        <v>675.89001499999995</v>
      </c>
      <c r="L129" s="55">
        <v>768.65997300000004</v>
      </c>
      <c r="M129" s="55">
        <v>1169.469971</v>
      </c>
    </row>
    <row r="130" spans="1:28">
      <c r="B130" s="18" t="s">
        <v>300</v>
      </c>
      <c r="H130" s="55">
        <v>226.79166783333332</v>
      </c>
      <c r="I130" s="55">
        <v>304.02000174999995</v>
      </c>
      <c r="J130" s="55">
        <v>327.29500066666668</v>
      </c>
      <c r="K130" s="55">
        <v>493.28417466666662</v>
      </c>
      <c r="L130" s="55">
        <v>708.79083258333333</v>
      </c>
      <c r="M130" s="55">
        <v>985.32499183333323</v>
      </c>
    </row>
    <row r="131" spans="1:28">
      <c r="H131" s="19"/>
      <c r="I131" s="19"/>
      <c r="J131" s="19"/>
      <c r="K131" s="19"/>
      <c r="L131" s="19"/>
    </row>
    <row r="132" spans="1:28">
      <c r="B132" s="18" t="s">
        <v>301</v>
      </c>
      <c r="G132" s="55">
        <v>228710000</v>
      </c>
      <c r="H132" s="19"/>
      <c r="I132" s="19"/>
      <c r="J132" s="19"/>
      <c r="K132" s="19"/>
      <c r="L132" s="19"/>
    </row>
    <row r="133" spans="1:28">
      <c r="B133" s="18" t="s">
        <v>145</v>
      </c>
      <c r="G133" s="29">
        <v>0.29032440056417497</v>
      </c>
      <c r="H133" s="19"/>
      <c r="I133" s="19"/>
      <c r="J133" s="19"/>
      <c r="K133" s="19"/>
      <c r="L133" s="19"/>
    </row>
    <row r="134" spans="1:28">
      <c r="B134" s="18" t="s">
        <v>302</v>
      </c>
      <c r="G134" s="29">
        <v>0.20369999999999999</v>
      </c>
      <c r="H134" s="19"/>
      <c r="I134" s="19"/>
      <c r="J134" s="19"/>
      <c r="K134" s="19"/>
      <c r="L134" s="19"/>
    </row>
    <row r="135" spans="1:28">
      <c r="B135" s="18" t="s">
        <v>303</v>
      </c>
      <c r="G135" s="55">
        <v>642900032</v>
      </c>
      <c r="H135" s="19"/>
      <c r="I135" s="19"/>
      <c r="J135" s="19"/>
      <c r="K135" s="19"/>
      <c r="L135" s="19"/>
    </row>
    <row r="136" spans="1:28">
      <c r="B136" s="18" t="s">
        <v>0</v>
      </c>
      <c r="G136" s="37">
        <v>1294.5</v>
      </c>
      <c r="H136" s="19"/>
      <c r="I136" s="19"/>
      <c r="J136" s="19"/>
      <c r="K136" s="19"/>
      <c r="L136" s="19"/>
    </row>
    <row r="137" spans="1:28">
      <c r="H137" s="19"/>
      <c r="I137" s="19"/>
      <c r="J137" s="19"/>
      <c r="K137" s="19"/>
      <c r="L137" s="19"/>
    </row>
    <row r="138" spans="1:28" s="31" customFormat="1">
      <c r="A138" s="31" t="s">
        <v>304</v>
      </c>
    </row>
    <row r="139" spans="1:28">
      <c r="B139" s="18" t="s">
        <v>305</v>
      </c>
    </row>
    <row r="140" spans="1:28">
      <c r="C140" s="18" t="s">
        <v>38</v>
      </c>
      <c r="H140" s="38">
        <f>LOOKUP(H4,'Amazon Assumptions'!$2:$2,'Amazon Assumptions'!9:9)</f>
        <v>0</v>
      </c>
      <c r="I140" s="38">
        <f>LOOKUP(I4,'Amazon Assumptions'!$2:$2,'Amazon Assumptions'!9:9)</f>
        <v>0.21869373056146668</v>
      </c>
      <c r="J140" s="38">
        <f>LOOKUP(J4,'Amazon Assumptions'!$2:$2,'Amazon Assumptions'!9:9)</f>
        <v>0.19529885829415705</v>
      </c>
      <c r="K140" s="38">
        <f>LOOKUP(K4,'Amazon Assumptions'!$2:$2,'Amazon Assumptions'!9:9)</f>
        <v>0.20249466232160906</v>
      </c>
      <c r="L140" s="38">
        <f>LOOKUP(L4,'Amazon Assumptions'!$2:$2,'Amazon Assumptions'!9:9)</f>
        <v>0.2708158116063919</v>
      </c>
      <c r="M140" s="38">
        <f>LOOKUP(M4,'Amazon Assumptions'!$2:$2,'Amazon Assumptions'!9:9)</f>
        <v>0.29347289796808984</v>
      </c>
      <c r="N140" s="38">
        <f>LOOKUP(N4,'Amazon Assumptions'!$2:$2,'Amazon Assumptions'!9:9)</f>
        <v>0.28999999999999998</v>
      </c>
      <c r="O140" s="38">
        <f>LOOKUP(O4,'Amazon Assumptions'!$2:$2,'Amazon Assumptions'!9:9)</f>
        <v>0.2</v>
      </c>
      <c r="P140" s="38">
        <f>LOOKUP(P4,'Amazon Assumptions'!$2:$2,'Amazon Assumptions'!9:9)</f>
        <v>0.18612097182041992</v>
      </c>
      <c r="Q140" s="38">
        <f>LOOKUP(Q4,'Amazon Assumptions'!$2:$2,'Amazon Assumptions'!9:9)</f>
        <v>0.17320508075688773</v>
      </c>
      <c r="R140" s="38">
        <f>LOOKUP(R4,'Amazon Assumptions'!$2:$2,'Amazon Assumptions'!9:9)</f>
        <v>0.16118548977353128</v>
      </c>
      <c r="S140" s="38">
        <f>LOOKUP(S4,'Amazon Assumptions'!$2:$2,'Amazon Assumptions'!9:9)</f>
        <v>0.15</v>
      </c>
      <c r="T140" s="38">
        <f>LOOKUP(T4,'Amazon Assumptions'!$2:$2,'Amazon Assumptions'!9:9)</f>
        <v>0.11397535284773888</v>
      </c>
      <c r="U140" s="38">
        <f>LOOKUP(U4,'Amazon Assumptions'!$2:$2,'Amazon Assumptions'!9:9)</f>
        <v>8.6602540378443879E-2</v>
      </c>
      <c r="V140" s="38">
        <f>LOOKUP(V4,'Amazon Assumptions'!$2:$2,'Amazon Assumptions'!9:9)</f>
        <v>6.5803700647624627E-2</v>
      </c>
      <c r="W140" s="38">
        <f>LOOKUP(W4,'Amazon Assumptions'!$2:$2,'Amazon Assumptions'!9:9)</f>
        <v>0.05</v>
      </c>
      <c r="X140" s="38">
        <f>LOOKUP(X4,'Amazon Assumptions'!$2:$2,'Amazon Assumptions'!9:9)</f>
        <v>0.05</v>
      </c>
      <c r="Y140" s="38">
        <f>LOOKUP(Y4,'Amazon Assumptions'!$2:$2,'Amazon Assumptions'!9:9)</f>
        <v>0.05</v>
      </c>
      <c r="Z140" s="38">
        <f>LOOKUP(Z4,'Amazon Assumptions'!$2:$2,'Amazon Assumptions'!9:9)</f>
        <v>0.05</v>
      </c>
      <c r="AA140" s="38">
        <f>LOOKUP(AA4,'Amazon Assumptions'!$2:$2,'Amazon Assumptions'!9:9)</f>
        <v>0.05</v>
      </c>
      <c r="AB140" s="38">
        <f>LOOKUP(AB4,'Amazon Assumptions'!$2:$2,'Amazon Assumptions'!9:9)</f>
        <v>0.05</v>
      </c>
    </row>
    <row r="141" spans="1:28">
      <c r="C141" s="18" t="s">
        <v>306</v>
      </c>
      <c r="H141" s="60">
        <f>IF(H5,H15,G141*(1+H140))</f>
        <v>61090000</v>
      </c>
      <c r="I141" s="60">
        <f t="shared" ref="I141:M141" si="8">IF(I5,I15,H141*(1+I140))</f>
        <v>74450000</v>
      </c>
      <c r="J141" s="60">
        <f t="shared" si="8"/>
        <v>88990000</v>
      </c>
      <c r="K141" s="60">
        <f t="shared" si="8"/>
        <v>107010000</v>
      </c>
      <c r="L141" s="60">
        <f t="shared" si="8"/>
        <v>135990000</v>
      </c>
      <c r="M141" s="60">
        <f t="shared" si="8"/>
        <v>175899379.39468053</v>
      </c>
      <c r="N141" s="60">
        <f t="shared" ref="N141" si="9">IF(N5,N15,M141*(1+N140))</f>
        <v>226910199.4191379</v>
      </c>
      <c r="O141" s="60">
        <f t="shared" ref="O141" si="10">IF(O5,O15,N141*(1+O140))</f>
        <v>272292239.30296546</v>
      </c>
      <c r="P141" s="60">
        <f t="shared" ref="P141" si="11">IF(P5,P15,O141*(1+P140))</f>
        <v>322971535.50119174</v>
      </c>
      <c r="Q141" s="60">
        <f t="shared" ref="Q141" si="12">IF(Q5,Q15,P141*(1+Q140))</f>
        <v>378911846.38985169</v>
      </c>
      <c r="R141" s="60">
        <f t="shared" ref="R141" si="13">IF(R5,R15,Q141*(1+R140))</f>
        <v>439986937.93119293</v>
      </c>
      <c r="S141" s="60">
        <f t="shared" ref="S141" si="14">IF(S5,S15,R141*(1+S140))</f>
        <v>505984978.62087184</v>
      </c>
      <c r="T141" s="60">
        <f t="shared" ref="T141" si="15">IF(T5,T15,S141*(1+T140))</f>
        <v>563654795.09484136</v>
      </c>
      <c r="U141" s="60">
        <f t="shared" ref="U141" si="16">IF(U5,U15,T141*(1+U140))</f>
        <v>612468732.24654579</v>
      </c>
      <c r="V141" s="60">
        <f t="shared" ref="V141" si="17">IF(V5,V15,U141*(1+V140))</f>
        <v>652771441.35932767</v>
      </c>
      <c r="W141" s="60">
        <f t="shared" ref="W141" si="18">IF(W5,W15,V141*(1+W140))</f>
        <v>685410013.42729414</v>
      </c>
      <c r="X141" s="60">
        <f t="shared" ref="X141" si="19">IF(X5,X15,W141*(1+X140))</f>
        <v>719680514.09865892</v>
      </c>
      <c r="Y141" s="60">
        <f t="shared" ref="Y141" si="20">IF(Y5,Y15,X141*(1+Y140))</f>
        <v>755664539.80359185</v>
      </c>
      <c r="Z141" s="60">
        <f t="shared" ref="Z141" si="21">IF(Z5,Z15,Y141*(1+Z140))</f>
        <v>793447766.79377151</v>
      </c>
      <c r="AA141" s="60">
        <f t="shared" ref="AA141" si="22">IF(AA5,AA15,Z141*(1+AA140))</f>
        <v>833120155.13346016</v>
      </c>
      <c r="AB141" s="60">
        <f t="shared" ref="AB141" si="23">IF(AB5,AB15,AA141*(1+AB140))</f>
        <v>874776162.89013326</v>
      </c>
    </row>
    <row r="143" spans="1:28">
      <c r="B143" s="18" t="s">
        <v>214</v>
      </c>
    </row>
    <row r="144" spans="1:28">
      <c r="C144" s="18" t="s">
        <v>146</v>
      </c>
      <c r="H144" s="20">
        <f>'Amazon Assumptions'!I10</f>
        <v>0.72254051399574404</v>
      </c>
      <c r="I144" s="20">
        <f>'Amazon Assumptions'!J10</f>
        <v>0.69012760241772997</v>
      </c>
      <c r="J144" s="20">
        <f>'Amazon Assumptions'!K10</f>
        <v>0.65816383863355432</v>
      </c>
      <c r="K144" s="20">
        <f>'Amazon Assumptions'!L10</f>
        <v>0.61676478833753856</v>
      </c>
      <c r="L144" s="20">
        <f>'Amazon Assumptions'!M10</f>
        <v>0.59401426575483496</v>
      </c>
      <c r="M144" s="20">
        <f>'Amazon Assumptions'!N10</f>
        <v>0.58300346351110344</v>
      </c>
      <c r="N144" s="20">
        <f>'Amazon Assumptions'!O10</f>
        <v>0.61</v>
      </c>
      <c r="O144" s="20">
        <f>'Amazon Assumptions'!P10</f>
        <v>0.60235757282057845</v>
      </c>
      <c r="P144" s="20">
        <f>'Amazon Assumptions'!Q10</f>
        <v>0.59481089431852208</v>
      </c>
      <c r="Q144" s="20">
        <f>'Amazon Assumptions'!R10</f>
        <v>0.58735876489990568</v>
      </c>
      <c r="R144" s="20">
        <f>'Amazon Assumptions'!S10</f>
        <v>0.57999999999999996</v>
      </c>
      <c r="S144" s="20">
        <f>'Amazon Assumptions'!T10</f>
        <v>0.57999999999999996</v>
      </c>
      <c r="T144" s="20">
        <f>'Amazon Assumptions'!U10</f>
        <v>0.57999999999999996</v>
      </c>
      <c r="U144" s="20">
        <f>'Amazon Assumptions'!V10</f>
        <v>0.57999999999999996</v>
      </c>
      <c r="V144" s="20">
        <f>'Amazon Assumptions'!W10</f>
        <v>0.57999999999999996</v>
      </c>
      <c r="W144" s="20">
        <f>'Amazon Assumptions'!X10</f>
        <v>0.57999999999999996</v>
      </c>
      <c r="X144" s="20">
        <f>'Amazon Assumptions'!Y10</f>
        <v>0.57999999999999996</v>
      </c>
      <c r="Y144" s="20">
        <f>'Amazon Assumptions'!Z10</f>
        <v>0.57999999999999996</v>
      </c>
      <c r="Z144" s="20">
        <f>'Amazon Assumptions'!AA10</f>
        <v>0.57999999999999996</v>
      </c>
      <c r="AA144" s="20">
        <f>'Amazon Assumptions'!AB10</f>
        <v>0.57999999999999996</v>
      </c>
      <c r="AB144" s="20">
        <f>'Amazon Assumptions'!AC10</f>
        <v>0.57999999999999996</v>
      </c>
    </row>
    <row r="145" spans="2:28">
      <c r="C145" s="18" t="s">
        <v>307</v>
      </c>
      <c r="H145" s="19">
        <f>IF(H5,H16,H144*H141)</f>
        <v>44140000</v>
      </c>
      <c r="I145" s="19">
        <f t="shared" ref="I145:AB145" si="24">IF(I5,I16,I144*I141)</f>
        <v>51380000</v>
      </c>
      <c r="J145" s="19">
        <f t="shared" si="24"/>
        <v>58570000</v>
      </c>
      <c r="K145" s="19">
        <f t="shared" si="24"/>
        <v>66000000</v>
      </c>
      <c r="L145" s="19">
        <f t="shared" si="24"/>
        <v>80780000</v>
      </c>
      <c r="M145" s="19">
        <f t="shared" si="24"/>
        <v>102549947.41655236</v>
      </c>
      <c r="N145" s="19">
        <f t="shared" si="24"/>
        <v>138415221.64567411</v>
      </c>
      <c r="O145" s="19">
        <f t="shared" si="24"/>
        <v>164017292.36441439</v>
      </c>
      <c r="P145" s="19">
        <f t="shared" si="24"/>
        <v>192106987.87089017</v>
      </c>
      <c r="Q145" s="19">
        <f t="shared" si="24"/>
        <v>222557194.10148609</v>
      </c>
      <c r="R145" s="19">
        <f t="shared" si="24"/>
        <v>255192424.00009188</v>
      </c>
      <c r="S145" s="19">
        <f t="shared" si="24"/>
        <v>293471287.60010564</v>
      </c>
      <c r="T145" s="19">
        <f t="shared" si="24"/>
        <v>326919781.15500796</v>
      </c>
      <c r="U145" s="19">
        <f t="shared" si="24"/>
        <v>355231864.70299655</v>
      </c>
      <c r="V145" s="19">
        <f t="shared" si="24"/>
        <v>378607435.98841</v>
      </c>
      <c r="W145" s="19">
        <f t="shared" si="24"/>
        <v>397537807.78783059</v>
      </c>
      <c r="X145" s="19">
        <f t="shared" si="24"/>
        <v>417414698.17722213</v>
      </c>
      <c r="Y145" s="19">
        <f t="shared" si="24"/>
        <v>438285433.08608323</v>
      </c>
      <c r="Z145" s="19">
        <f t="shared" si="24"/>
        <v>460199704.74038744</v>
      </c>
      <c r="AA145" s="19">
        <f t="shared" si="24"/>
        <v>483209689.97740686</v>
      </c>
      <c r="AB145" s="19">
        <f t="shared" si="24"/>
        <v>507370174.47627723</v>
      </c>
    </row>
    <row r="147" spans="2:28">
      <c r="B147" s="18" t="s">
        <v>216</v>
      </c>
    </row>
    <row r="148" spans="2:28">
      <c r="C148" s="18" t="s">
        <v>745</v>
      </c>
      <c r="H148" s="20">
        <f>'Amazon Assumptions'!I11</f>
        <v>7.4643967916189227E-2</v>
      </c>
      <c r="I148" s="20">
        <f>'Amazon Assumptions'!J11</f>
        <v>8.8247145735392885E-2</v>
      </c>
      <c r="J148" s="20">
        <f>'Amazon Assumptions'!K11</f>
        <v>0.10428137993032925</v>
      </c>
      <c r="K148" s="20">
        <f>'Amazon Assumptions'!L11</f>
        <v>0.11718530978413233</v>
      </c>
      <c r="L148" s="20">
        <f>'Amazon Assumptions'!M11</f>
        <v>0.11831752334730494</v>
      </c>
      <c r="M148" s="20">
        <f>'Amazon Assumptions'!N11</f>
        <v>0.11</v>
      </c>
      <c r="N148" s="20">
        <f>'Amazon Assumptions'!O11</f>
        <v>0.11</v>
      </c>
      <c r="O148" s="20">
        <f>'Amazon Assumptions'!P11</f>
        <v>0.11</v>
      </c>
      <c r="P148" s="20">
        <f>'Amazon Assumptions'!Q11</f>
        <v>0.11</v>
      </c>
      <c r="Q148" s="20">
        <f>'Amazon Assumptions'!R11</f>
        <v>0.11</v>
      </c>
      <c r="R148" s="20">
        <f>'Amazon Assumptions'!S11</f>
        <v>0.11</v>
      </c>
      <c r="S148" s="20">
        <f>'Amazon Assumptions'!T11</f>
        <v>0.11</v>
      </c>
      <c r="T148" s="20">
        <f>'Amazon Assumptions'!U11</f>
        <v>0.11</v>
      </c>
      <c r="U148" s="20">
        <f>'Amazon Assumptions'!V11</f>
        <v>0.11</v>
      </c>
      <c r="V148" s="20">
        <f>'Amazon Assumptions'!W11</f>
        <v>0.09</v>
      </c>
      <c r="W148" s="20">
        <f>'Amazon Assumptions'!X11</f>
        <v>0.09</v>
      </c>
      <c r="X148" s="20">
        <f>'Amazon Assumptions'!Y11</f>
        <v>0.09</v>
      </c>
      <c r="Y148" s="20">
        <f>'Amazon Assumptions'!Z11</f>
        <v>0.09</v>
      </c>
      <c r="Z148" s="20">
        <f>'Amazon Assumptions'!AA11</f>
        <v>0.09</v>
      </c>
      <c r="AA148" s="20">
        <f>'Amazon Assumptions'!AB11</f>
        <v>0.09</v>
      </c>
      <c r="AB148" s="20">
        <f>'Amazon Assumptions'!AC11</f>
        <v>0.09</v>
      </c>
    </row>
    <row r="149" spans="2:28">
      <c r="C149" s="18" t="s">
        <v>308</v>
      </c>
      <c r="H149" s="19">
        <f>H148*H141</f>
        <v>4560000</v>
      </c>
      <c r="I149" s="19">
        <f t="shared" ref="I149:AB149" si="25">I148*I141</f>
        <v>6570000</v>
      </c>
      <c r="J149" s="19">
        <f t="shared" si="25"/>
        <v>9280000</v>
      </c>
      <c r="K149" s="19">
        <f t="shared" si="25"/>
        <v>12540000</v>
      </c>
      <c r="L149" s="19">
        <f t="shared" si="25"/>
        <v>16090000</v>
      </c>
      <c r="M149" s="19">
        <f t="shared" si="25"/>
        <v>19348931.733414859</v>
      </c>
      <c r="N149" s="19">
        <f t="shared" si="25"/>
        <v>24960121.936105169</v>
      </c>
      <c r="O149" s="19">
        <f t="shared" si="25"/>
        <v>29952146.3233262</v>
      </c>
      <c r="P149" s="19">
        <f t="shared" si="25"/>
        <v>35526868.905131094</v>
      </c>
      <c r="Q149" s="19">
        <f t="shared" si="25"/>
        <v>41680303.102883689</v>
      </c>
      <c r="R149" s="19">
        <f t="shared" si="25"/>
        <v>48398563.172431223</v>
      </c>
      <c r="S149" s="19">
        <f t="shared" si="25"/>
        <v>55658347.648295902</v>
      </c>
      <c r="T149" s="19">
        <f t="shared" si="25"/>
        <v>62002027.460432552</v>
      </c>
      <c r="U149" s="19">
        <f t="shared" si="25"/>
        <v>67371560.547120035</v>
      </c>
      <c r="V149" s="19">
        <f t="shared" si="25"/>
        <v>58749429.722339489</v>
      </c>
      <c r="W149" s="19">
        <f t="shared" si="25"/>
        <v>61686901.208456472</v>
      </c>
      <c r="X149" s="19">
        <f t="shared" si="25"/>
        <v>64771246.268879302</v>
      </c>
      <c r="Y149" s="19">
        <f t="shared" si="25"/>
        <v>68009808.582323268</v>
      </c>
      <c r="Z149" s="19">
        <f t="shared" si="25"/>
        <v>71410299.011439428</v>
      </c>
      <c r="AA149" s="19">
        <f t="shared" si="25"/>
        <v>74980813.962011412</v>
      </c>
      <c r="AB149" s="19">
        <f t="shared" si="25"/>
        <v>78729854.660111994</v>
      </c>
    </row>
    <row r="151" spans="2:28">
      <c r="B151" s="18" t="s">
        <v>217</v>
      </c>
    </row>
    <row r="152" spans="2:28">
      <c r="C152" s="18" t="s">
        <v>309</v>
      </c>
      <c r="H152" s="20">
        <f>'Amazon Assumptions'!I12</f>
        <v>0.15910951055819283</v>
      </c>
      <c r="I152" s="20">
        <f>'Amazon Assumptions'!J12</f>
        <v>0.17259905977165882</v>
      </c>
      <c r="J152" s="20">
        <f>'Amazon Assumptions'!K12</f>
        <v>0.18709967412068773</v>
      </c>
      <c r="K152" s="20">
        <f>'Amazon Assumptions'!L12</f>
        <v>0.19072983833286608</v>
      </c>
      <c r="L152" s="20">
        <f>'Amazon Assumptions'!M12</f>
        <v>0.2006029855136407</v>
      </c>
      <c r="M152" s="20">
        <f>'Amazon Assumptions'!N12</f>
        <v>0.2147</v>
      </c>
      <c r="N152" s="20">
        <f>'Amazon Assumptions'!O12</f>
        <v>0.2</v>
      </c>
      <c r="O152" s="20">
        <f>'Amazon Assumptions'!P12</f>
        <v>0.2</v>
      </c>
      <c r="P152" s="20">
        <f>'Amazon Assumptions'!Q12</f>
        <v>0.2</v>
      </c>
      <c r="Q152" s="20">
        <f>'Amazon Assumptions'!R12</f>
        <v>0.2</v>
      </c>
      <c r="R152" s="20">
        <f>'Amazon Assumptions'!S12</f>
        <v>0.2</v>
      </c>
      <c r="S152" s="20">
        <f>'Amazon Assumptions'!T12</f>
        <v>0.2</v>
      </c>
      <c r="T152" s="20">
        <f>'Amazon Assumptions'!U12</f>
        <v>0.2</v>
      </c>
      <c r="U152" s="20">
        <f>'Amazon Assumptions'!V12</f>
        <v>0.2</v>
      </c>
      <c r="V152" s="20">
        <f>'Amazon Assumptions'!W12</f>
        <v>0.2</v>
      </c>
      <c r="W152" s="20">
        <f>'Amazon Assumptions'!X12</f>
        <v>0.2</v>
      </c>
      <c r="X152" s="20">
        <f>'Amazon Assumptions'!Y12</f>
        <v>0.2</v>
      </c>
      <c r="Y152" s="20">
        <f>'Amazon Assumptions'!Z12</f>
        <v>0.2</v>
      </c>
      <c r="Z152" s="20">
        <f>'Amazon Assumptions'!AA12</f>
        <v>0.2</v>
      </c>
      <c r="AA152" s="20">
        <f>'Amazon Assumptions'!AB12</f>
        <v>0.2</v>
      </c>
      <c r="AB152" s="20">
        <f>'Amazon Assumptions'!AC12</f>
        <v>0.2</v>
      </c>
    </row>
    <row r="153" spans="2:28">
      <c r="C153" s="18" t="s">
        <v>310</v>
      </c>
      <c r="H153" s="19">
        <f>IF(H5,H19,H141*H152)</f>
        <v>9720000</v>
      </c>
      <c r="I153" s="19">
        <f t="shared" ref="I153:AB153" si="26">IF(I5,I19,I141*I152)</f>
        <v>12850000</v>
      </c>
      <c r="J153" s="19">
        <f t="shared" si="26"/>
        <v>16650000</v>
      </c>
      <c r="K153" s="19">
        <f t="shared" si="26"/>
        <v>20410000</v>
      </c>
      <c r="L153" s="19">
        <f t="shared" si="26"/>
        <v>27280000</v>
      </c>
      <c r="M153" s="19">
        <f t="shared" si="26"/>
        <v>37765596.756037913</v>
      </c>
      <c r="N153" s="19">
        <f t="shared" si="26"/>
        <v>45382039.883827582</v>
      </c>
      <c r="O153" s="19">
        <f t="shared" si="26"/>
        <v>54458447.860593095</v>
      </c>
      <c r="P153" s="19">
        <f t="shared" si="26"/>
        <v>64594307.100238353</v>
      </c>
      <c r="Q153" s="19">
        <f t="shared" si="26"/>
        <v>75782369.277970344</v>
      </c>
      <c r="R153" s="19">
        <f t="shared" si="26"/>
        <v>87997387.586238593</v>
      </c>
      <c r="S153" s="19">
        <f t="shared" si="26"/>
        <v>101196995.72417438</v>
      </c>
      <c r="T153" s="19">
        <f t="shared" si="26"/>
        <v>112730959.01896828</v>
      </c>
      <c r="U153" s="19">
        <f t="shared" si="26"/>
        <v>122493746.44930917</v>
      </c>
      <c r="V153" s="19">
        <f t="shared" si="26"/>
        <v>130554288.27186555</v>
      </c>
      <c r="W153" s="19">
        <f t="shared" si="26"/>
        <v>137082002.68545884</v>
      </c>
      <c r="X153" s="19">
        <f t="shared" si="26"/>
        <v>143936102.8197318</v>
      </c>
      <c r="Y153" s="19">
        <f t="shared" si="26"/>
        <v>151132907.96071836</v>
      </c>
      <c r="Z153" s="19">
        <f t="shared" si="26"/>
        <v>158689553.35875431</v>
      </c>
      <c r="AA153" s="19">
        <f t="shared" si="26"/>
        <v>166624031.02669203</v>
      </c>
      <c r="AB153" s="19">
        <f t="shared" si="26"/>
        <v>174955232.57802665</v>
      </c>
    </row>
    <row r="154" spans="2:28">
      <c r="H154" s="20"/>
      <c r="I154" s="20"/>
      <c r="J154" s="20"/>
      <c r="K154" s="20"/>
      <c r="L154" s="20"/>
      <c r="M154" s="19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</row>
    <row r="155" spans="2:28">
      <c r="B155" s="18" t="s">
        <v>100</v>
      </c>
    </row>
    <row r="156" spans="2:28">
      <c r="C156" s="18" t="s">
        <v>311</v>
      </c>
      <c r="H156" s="20">
        <f>'Amazon Assumptions'!I16</f>
        <v>6.2039613684727449E-2</v>
      </c>
      <c r="I156" s="20">
        <f>'Amazon Assumptions'!J16</f>
        <v>4.6205507051712558E-2</v>
      </c>
      <c r="J156" s="20">
        <f>'Amazon Assumptions'!K16</f>
        <v>5.4949994381391171E-2</v>
      </c>
      <c r="K156" s="20">
        <f>'Amazon Assumptions'!L16</f>
        <v>4.289318755256518E-2</v>
      </c>
      <c r="L156" s="20">
        <f>'Amazon Assumptions'!M16</f>
        <v>4.9562467828516803E-2</v>
      </c>
      <c r="M156" s="20">
        <f>'Amazon Assumptions'!N16</f>
        <v>0.05</v>
      </c>
      <c r="N156" s="20">
        <f>'Amazon Assumptions'!O16</f>
        <v>0.06</v>
      </c>
      <c r="O156" s="20">
        <f>'Amazon Assumptions'!P16</f>
        <v>0.06</v>
      </c>
      <c r="P156" s="20">
        <f>'Amazon Assumptions'!Q16</f>
        <v>0.06</v>
      </c>
      <c r="Q156" s="20">
        <f>'Amazon Assumptions'!R16</f>
        <v>0.06</v>
      </c>
      <c r="R156" s="20">
        <f>'Amazon Assumptions'!S16</f>
        <v>0.08</v>
      </c>
      <c r="S156" s="20">
        <f>'Amazon Assumptions'!T16</f>
        <v>0.08</v>
      </c>
      <c r="T156" s="20">
        <f>'Amazon Assumptions'!U16</f>
        <v>0.08</v>
      </c>
      <c r="U156" s="20">
        <f>'Amazon Assumptions'!V16</f>
        <v>0.08</v>
      </c>
      <c r="V156" s="20">
        <f>'Amazon Assumptions'!W16</f>
        <v>7.0000000000000007E-2</v>
      </c>
      <c r="W156" s="20">
        <f>'Amazon Assumptions'!X16</f>
        <v>7.0000000000000007E-2</v>
      </c>
      <c r="X156" s="20">
        <f>'Amazon Assumptions'!Y16</f>
        <v>7.0000000000000007E-2</v>
      </c>
      <c r="Y156" s="20">
        <f>'Amazon Assumptions'!Z16</f>
        <v>7.0000000000000007E-2</v>
      </c>
      <c r="Z156" s="20">
        <f>'Amazon Assumptions'!AA16</f>
        <v>7.0000000000000007E-2</v>
      </c>
      <c r="AA156" s="20">
        <f>'Amazon Assumptions'!AB16</f>
        <v>7.0000000000000007E-2</v>
      </c>
      <c r="AB156" s="20">
        <f>'Amazon Assumptions'!AC16</f>
        <v>7.0000000000000007E-2</v>
      </c>
    </row>
    <row r="157" spans="2:28">
      <c r="C157" s="18" t="s">
        <v>312</v>
      </c>
      <c r="H157" s="19">
        <f>IF(H5,-H62,H156*H141)</f>
        <v>3790000</v>
      </c>
      <c r="I157" s="19">
        <f t="shared" ref="I157:AB157" si="27">IF(I5,-I62,I156*I141)</f>
        <v>3440000</v>
      </c>
      <c r="J157" s="19">
        <f t="shared" si="27"/>
        <v>4890000</v>
      </c>
      <c r="K157" s="19">
        <f t="shared" si="27"/>
        <v>4590000</v>
      </c>
      <c r="L157" s="19">
        <f t="shared" si="27"/>
        <v>6740000</v>
      </c>
      <c r="M157" s="19">
        <f t="shared" si="27"/>
        <v>8794968.9697340261</v>
      </c>
      <c r="N157" s="19">
        <f t="shared" si="27"/>
        <v>13614611.965148274</v>
      </c>
      <c r="O157" s="19">
        <f t="shared" si="27"/>
        <v>16337534.358177926</v>
      </c>
      <c r="P157" s="19">
        <f t="shared" si="27"/>
        <v>19378292.130071502</v>
      </c>
      <c r="Q157" s="19">
        <f t="shared" si="27"/>
        <v>22734710.783391099</v>
      </c>
      <c r="R157" s="19">
        <f t="shared" si="27"/>
        <v>35198955.034495436</v>
      </c>
      <c r="S157" s="19">
        <f t="shared" si="27"/>
        <v>40478798.289669745</v>
      </c>
      <c r="T157" s="19">
        <f t="shared" si="27"/>
        <v>45092383.607587308</v>
      </c>
      <c r="U157" s="19">
        <f t="shared" si="27"/>
        <v>48997498.579723664</v>
      </c>
      <c r="V157" s="19">
        <f t="shared" si="27"/>
        <v>45694000.895152941</v>
      </c>
      <c r="W157" s="19">
        <f t="shared" si="27"/>
        <v>47978700.939910591</v>
      </c>
      <c r="X157" s="19">
        <f t="shared" si="27"/>
        <v>50377635.986906126</v>
      </c>
      <c r="Y157" s="19">
        <f t="shared" si="27"/>
        <v>52896517.786251433</v>
      </c>
      <c r="Z157" s="19">
        <f t="shared" si="27"/>
        <v>55541343.675564013</v>
      </c>
      <c r="AA157" s="19">
        <f t="shared" si="27"/>
        <v>58318410.859342217</v>
      </c>
      <c r="AB157" s="19">
        <f t="shared" si="27"/>
        <v>61234331.402309336</v>
      </c>
    </row>
    <row r="159" spans="2:28">
      <c r="B159" s="18" t="s">
        <v>313</v>
      </c>
    </row>
    <row r="160" spans="2:28">
      <c r="C160" s="18" t="s">
        <v>314</v>
      </c>
      <c r="H160" s="20">
        <f>'Amazon Assumptions'!I20</f>
        <v>1.2195121951219513E-2</v>
      </c>
      <c r="I160" s="20">
        <f>'Amazon Assumptions'!J20</f>
        <v>4.1907320349227669E-3</v>
      </c>
      <c r="J160" s="20">
        <f>'Amazon Assumptions'!K20</f>
        <v>1.1001236093943139E-2</v>
      </c>
      <c r="K160" s="20">
        <f>'Amazon Assumptions'!L20</f>
        <v>7.4292122231567146E-3</v>
      </c>
      <c r="L160" s="20">
        <f>'Amazon Assumptions'!M20</f>
        <v>8.5300389734539305E-4</v>
      </c>
      <c r="M160" s="20">
        <f>'Amazon Assumptions'!N20</f>
        <v>8.0000000000000002E-3</v>
      </c>
      <c r="N160" s="20">
        <f>'Amazon Assumptions'!O20</f>
        <v>8.0000000000000002E-3</v>
      </c>
      <c r="O160" s="20">
        <f>'Amazon Assumptions'!P20</f>
        <v>8.0000000000000002E-3</v>
      </c>
      <c r="P160" s="20">
        <f>'Amazon Assumptions'!Q20</f>
        <v>8.0000000000000002E-3</v>
      </c>
      <c r="Q160" s="20">
        <f>'Amazon Assumptions'!R20</f>
        <v>8.0000000000000002E-3</v>
      </c>
      <c r="R160" s="20">
        <f>'Amazon Assumptions'!S20</f>
        <v>8.0000000000000002E-3</v>
      </c>
      <c r="S160" s="20">
        <f>'Amazon Assumptions'!T20</f>
        <v>8.0000000000000002E-3</v>
      </c>
      <c r="T160" s="20">
        <f>'Amazon Assumptions'!U20</f>
        <v>8.0000000000000002E-3</v>
      </c>
      <c r="U160" s="20">
        <f>'Amazon Assumptions'!V20</f>
        <v>8.0000000000000002E-3</v>
      </c>
      <c r="V160" s="20">
        <f>'Amazon Assumptions'!W20</f>
        <v>8.0000000000000002E-3</v>
      </c>
      <c r="W160" s="20">
        <f>'Amazon Assumptions'!X20</f>
        <v>8.0000000000000002E-3</v>
      </c>
      <c r="X160" s="20">
        <f>'Amazon Assumptions'!Y20</f>
        <v>8.0000000000000002E-3</v>
      </c>
      <c r="Y160" s="20">
        <f>'Amazon Assumptions'!Z20</f>
        <v>8.0000000000000002E-3</v>
      </c>
      <c r="Z160" s="20">
        <f>'Amazon Assumptions'!AA20</f>
        <v>8.0000000000000002E-3</v>
      </c>
      <c r="AA160" s="20">
        <f>'Amazon Assumptions'!AB20</f>
        <v>8.0000000000000002E-3</v>
      </c>
      <c r="AB160" s="20">
        <f>'Amazon Assumptions'!AC20</f>
        <v>8.0000000000000002E-3</v>
      </c>
    </row>
    <row r="161" spans="1:28">
      <c r="C161" s="18" t="s">
        <v>313</v>
      </c>
      <c r="H161" s="19">
        <f>H160*H141</f>
        <v>745000</v>
      </c>
      <c r="I161" s="19">
        <f t="shared" ref="I161:AB161" si="28">I160*I141</f>
        <v>312000</v>
      </c>
      <c r="J161" s="19">
        <f t="shared" si="28"/>
        <v>979000</v>
      </c>
      <c r="K161" s="19">
        <f t="shared" si="28"/>
        <v>795000</v>
      </c>
      <c r="L161" s="19">
        <f t="shared" si="28"/>
        <v>116000</v>
      </c>
      <c r="M161" s="19">
        <f t="shared" si="28"/>
        <v>1407195.0351574442</v>
      </c>
      <c r="N161" s="19">
        <f t="shared" si="28"/>
        <v>1815281.5953531032</v>
      </c>
      <c r="O161" s="19">
        <f t="shared" si="28"/>
        <v>2178337.9144237237</v>
      </c>
      <c r="P161" s="19">
        <f t="shared" si="28"/>
        <v>2583772.2840095339</v>
      </c>
      <c r="Q161" s="19">
        <f t="shared" si="28"/>
        <v>3031294.7711188137</v>
      </c>
      <c r="R161" s="19">
        <f t="shared" si="28"/>
        <v>3519895.5034495434</v>
      </c>
      <c r="S161" s="19">
        <f t="shared" si="28"/>
        <v>4047879.8289669747</v>
      </c>
      <c r="T161" s="19">
        <f t="shared" si="28"/>
        <v>4509238.3607587311</v>
      </c>
      <c r="U161" s="19">
        <f t="shared" si="28"/>
        <v>4899749.8579723667</v>
      </c>
      <c r="V161" s="19">
        <f t="shared" si="28"/>
        <v>5222171.5308746211</v>
      </c>
      <c r="W161" s="19">
        <f t="shared" si="28"/>
        <v>5483280.1074183527</v>
      </c>
      <c r="X161" s="19">
        <f t="shared" si="28"/>
        <v>5757444.1127892714</v>
      </c>
      <c r="Y161" s="19">
        <f t="shared" si="28"/>
        <v>6045316.3184287352</v>
      </c>
      <c r="Z161" s="19">
        <f t="shared" si="28"/>
        <v>6347582.1343501722</v>
      </c>
      <c r="AA161" s="19">
        <f t="shared" si="28"/>
        <v>6664961.2410676815</v>
      </c>
      <c r="AB161" s="19">
        <f t="shared" si="28"/>
        <v>6998209.3031210667</v>
      </c>
    </row>
    <row r="163" spans="1:28" s="31" customFormat="1">
      <c r="A163" s="31" t="s">
        <v>89</v>
      </c>
    </row>
    <row r="164" spans="1:28">
      <c r="B164" s="18" t="s">
        <v>315</v>
      </c>
    </row>
    <row r="165" spans="1:28">
      <c r="C165" s="18" t="s">
        <v>158</v>
      </c>
      <c r="H165" s="20">
        <f>'Amazon Assumptions'!I23</f>
        <v>5.5000818464560487E-2</v>
      </c>
      <c r="I165" s="20">
        <f>'Amazon Assumptions'!J23</f>
        <v>6.4069845533915384E-2</v>
      </c>
      <c r="J165" s="20">
        <f>'Amazon Assumptions'!K23</f>
        <v>6.3040791100123603E-2</v>
      </c>
      <c r="K165" s="20">
        <f>'Amazon Assumptions'!L23</f>
        <v>5.2798803850107469E-2</v>
      </c>
      <c r="L165" s="20">
        <f>'Amazon Assumptions'!M23</f>
        <v>6.1328038826384296E-2</v>
      </c>
      <c r="M165" s="20">
        <f>'Amazon Assumptions'!N23</f>
        <v>0.05</v>
      </c>
      <c r="N165" s="20">
        <f>'Amazon Assumptions'!O23</f>
        <v>0.05</v>
      </c>
      <c r="O165" s="20">
        <f>'Amazon Assumptions'!P23</f>
        <v>0.05</v>
      </c>
      <c r="P165" s="20">
        <f>'Amazon Assumptions'!Q23</f>
        <v>0.05</v>
      </c>
      <c r="Q165" s="20">
        <f>'Amazon Assumptions'!R23</f>
        <v>0.05</v>
      </c>
      <c r="R165" s="20">
        <f>'Amazon Assumptions'!S23</f>
        <v>0.05</v>
      </c>
      <c r="S165" s="20">
        <f>'Amazon Assumptions'!T23</f>
        <v>0.05</v>
      </c>
      <c r="T165" s="20">
        <f>'Amazon Assumptions'!U23</f>
        <v>0.05</v>
      </c>
      <c r="U165" s="20">
        <f>'Amazon Assumptions'!V23</f>
        <v>0.05</v>
      </c>
      <c r="V165" s="20">
        <f>'Amazon Assumptions'!W23</f>
        <v>0.05</v>
      </c>
      <c r="W165" s="20">
        <f>'Amazon Assumptions'!X23</f>
        <v>0.05</v>
      </c>
      <c r="X165" s="20">
        <f>'Amazon Assumptions'!Y23</f>
        <v>0.05</v>
      </c>
      <c r="Y165" s="20">
        <f>'Amazon Assumptions'!Z23</f>
        <v>0.05</v>
      </c>
      <c r="Z165" s="20">
        <f>'Amazon Assumptions'!AA23</f>
        <v>0.05</v>
      </c>
      <c r="AA165" s="20">
        <f>'Amazon Assumptions'!AB23</f>
        <v>0.05</v>
      </c>
      <c r="AB165" s="20">
        <f>'Amazon Assumptions'!AC23</f>
        <v>0.05</v>
      </c>
    </row>
    <row r="166" spans="1:28">
      <c r="C166" s="18" t="s">
        <v>316</v>
      </c>
      <c r="H166" s="19">
        <f>H165*H141</f>
        <v>3360000</v>
      </c>
      <c r="I166" s="19">
        <f t="shared" ref="I166:AB166" si="29">I165*I141</f>
        <v>4770000</v>
      </c>
      <c r="J166" s="19">
        <f t="shared" si="29"/>
        <v>5609999.9999999991</v>
      </c>
      <c r="K166" s="19">
        <f t="shared" si="29"/>
        <v>5650000</v>
      </c>
      <c r="L166" s="19">
        <f t="shared" si="29"/>
        <v>8340000</v>
      </c>
      <c r="M166" s="19">
        <f t="shared" si="29"/>
        <v>8794968.9697340261</v>
      </c>
      <c r="N166" s="19">
        <f t="shared" si="29"/>
        <v>11345509.970956896</v>
      </c>
      <c r="O166" s="19">
        <f t="shared" si="29"/>
        <v>13614611.965148274</v>
      </c>
      <c r="P166" s="19">
        <f t="shared" si="29"/>
        <v>16148576.775059588</v>
      </c>
      <c r="Q166" s="19">
        <f t="shared" si="29"/>
        <v>18945592.319492586</v>
      </c>
      <c r="R166" s="19">
        <f t="shared" si="29"/>
        <v>21999346.896559648</v>
      </c>
      <c r="S166" s="19">
        <f t="shared" si="29"/>
        <v>25299248.931043595</v>
      </c>
      <c r="T166" s="19">
        <f t="shared" si="29"/>
        <v>28182739.754742071</v>
      </c>
      <c r="U166" s="19">
        <f t="shared" si="29"/>
        <v>30623436.612327293</v>
      </c>
      <c r="V166" s="19">
        <f t="shared" si="29"/>
        <v>32638572.067966387</v>
      </c>
      <c r="W166" s="19">
        <f t="shared" si="29"/>
        <v>34270500.67136471</v>
      </c>
      <c r="X166" s="19">
        <f t="shared" si="29"/>
        <v>35984025.70493295</v>
      </c>
      <c r="Y166" s="19">
        <f t="shared" si="29"/>
        <v>37783226.990179591</v>
      </c>
      <c r="Z166" s="19">
        <f t="shared" si="29"/>
        <v>39672388.339688577</v>
      </c>
      <c r="AA166" s="19">
        <f t="shared" si="29"/>
        <v>41656007.756673008</v>
      </c>
      <c r="AB166" s="19">
        <f t="shared" si="29"/>
        <v>43738808.144506663</v>
      </c>
    </row>
    <row r="168" spans="1:28">
      <c r="C168" s="18" t="s">
        <v>159</v>
      </c>
      <c r="H168" s="20">
        <f>'Amazon Assumptions'!I24</f>
        <v>0.13661078386950612</v>
      </c>
      <c r="I168" s="20">
        <f>'Amazon Assumptions'!J24</f>
        <v>0.14421954067730636</v>
      </c>
      <c r="J168" s="20">
        <f>'Amazon Assumptions'!K24</f>
        <v>0.14171077343349839</v>
      </c>
      <c r="K168" s="20">
        <f>'Amazon Assumptions'!L24</f>
        <v>0.15515151515151515</v>
      </c>
      <c r="L168" s="20">
        <f>'Amazon Assumptions'!M24</f>
        <v>0.14186679871255262</v>
      </c>
      <c r="M168" s="20">
        <f>'Amazon Assumptions'!N24</f>
        <v>0.15</v>
      </c>
      <c r="N168" s="20">
        <f>'Amazon Assumptions'!O24</f>
        <v>0.15</v>
      </c>
      <c r="O168" s="20">
        <f>'Amazon Assumptions'!P24</f>
        <v>0.15</v>
      </c>
      <c r="P168" s="20">
        <f>'Amazon Assumptions'!Q24</f>
        <v>0.15</v>
      </c>
      <c r="Q168" s="20">
        <f>'Amazon Assumptions'!R24</f>
        <v>0.15</v>
      </c>
      <c r="R168" s="20">
        <f>'Amazon Assumptions'!S24</f>
        <v>0.15</v>
      </c>
      <c r="S168" s="20">
        <f>'Amazon Assumptions'!T24</f>
        <v>0.15</v>
      </c>
      <c r="T168" s="20">
        <f>'Amazon Assumptions'!U24</f>
        <v>0.15</v>
      </c>
      <c r="U168" s="20">
        <f>'Amazon Assumptions'!V24</f>
        <v>0.15</v>
      </c>
      <c r="V168" s="20">
        <f>'Amazon Assumptions'!W24</f>
        <v>0.15</v>
      </c>
      <c r="W168" s="20">
        <f>'Amazon Assumptions'!X24</f>
        <v>0.15</v>
      </c>
      <c r="X168" s="20">
        <f>'Amazon Assumptions'!Y24</f>
        <v>0.15</v>
      </c>
      <c r="Y168" s="20">
        <f>'Amazon Assumptions'!Z24</f>
        <v>0.15</v>
      </c>
      <c r="Z168" s="20">
        <f>'Amazon Assumptions'!AA24</f>
        <v>0.15</v>
      </c>
      <c r="AA168" s="20">
        <f>'Amazon Assumptions'!AB24</f>
        <v>0.15</v>
      </c>
      <c r="AB168" s="20">
        <f>'Amazon Assumptions'!AC24</f>
        <v>0.15</v>
      </c>
    </row>
    <row r="169" spans="1:28">
      <c r="C169" s="18" t="s">
        <v>317</v>
      </c>
      <c r="H169" s="19">
        <f>H168*H145</f>
        <v>6030000</v>
      </c>
      <c r="I169" s="19">
        <f t="shared" ref="I169:AB169" si="30">I168*I145</f>
        <v>7410000.0000000009</v>
      </c>
      <c r="J169" s="19">
        <f t="shared" si="30"/>
        <v>8300000.0000000009</v>
      </c>
      <c r="K169" s="19">
        <f t="shared" si="30"/>
        <v>10240000</v>
      </c>
      <c r="L169" s="19">
        <f t="shared" si="30"/>
        <v>11460000</v>
      </c>
      <c r="M169" s="19">
        <f t="shared" si="30"/>
        <v>15382492.112482853</v>
      </c>
      <c r="N169" s="19">
        <f t="shared" si="30"/>
        <v>20762283.246851116</v>
      </c>
      <c r="O169" s="19">
        <f t="shared" si="30"/>
        <v>24602593.854662158</v>
      </c>
      <c r="P169" s="19">
        <f t="shared" si="30"/>
        <v>28816048.180633526</v>
      </c>
      <c r="Q169" s="19">
        <f t="shared" si="30"/>
        <v>33383579.115222912</v>
      </c>
      <c r="R169" s="19">
        <f t="shared" si="30"/>
        <v>38278863.600013778</v>
      </c>
      <c r="S169" s="19">
        <f t="shared" si="30"/>
        <v>44020693.140015848</v>
      </c>
      <c r="T169" s="19">
        <f t="shared" si="30"/>
        <v>49037967.173251189</v>
      </c>
      <c r="U169" s="19">
        <f t="shared" si="30"/>
        <v>53284779.705449484</v>
      </c>
      <c r="V169" s="19">
        <f t="shared" si="30"/>
        <v>56791115.398261495</v>
      </c>
      <c r="W169" s="19">
        <f t="shared" si="30"/>
        <v>59630671.168174587</v>
      </c>
      <c r="X169" s="19">
        <f t="shared" si="30"/>
        <v>62612204.726583317</v>
      </c>
      <c r="Y169" s="19">
        <f t="shared" si="30"/>
        <v>65742814.962912485</v>
      </c>
      <c r="Z169" s="19">
        <f t="shared" si="30"/>
        <v>69029955.71105811</v>
      </c>
      <c r="AA169" s="19">
        <f t="shared" si="30"/>
        <v>72481453.496611029</v>
      </c>
      <c r="AB169" s="19">
        <f t="shared" si="30"/>
        <v>76105526.171441585</v>
      </c>
    </row>
    <row r="171" spans="1:28">
      <c r="C171" s="18" t="s">
        <v>160</v>
      </c>
      <c r="H171" s="20">
        <f>'Amazon Assumptions'!I25</f>
        <v>7.4152889179898507E-3</v>
      </c>
      <c r="I171" s="20">
        <f>'Amazon Assumptions'!J25</f>
        <v>0</v>
      </c>
      <c r="J171" s="20">
        <f>'Amazon Assumptions'!K25</f>
        <v>0</v>
      </c>
      <c r="K171" s="20">
        <f>'Amazon Assumptions'!L25</f>
        <v>0</v>
      </c>
      <c r="L171" s="20">
        <f>'Amazon Assumptions'!M25</f>
        <v>0</v>
      </c>
      <c r="M171" s="20">
        <f>'Amazon Assumptions'!N25</f>
        <v>0</v>
      </c>
      <c r="N171" s="20">
        <f>'Amazon Assumptions'!O25</f>
        <v>0</v>
      </c>
      <c r="O171" s="20">
        <f>'Amazon Assumptions'!P25</f>
        <v>0</v>
      </c>
      <c r="P171" s="20">
        <f>'Amazon Assumptions'!Q25</f>
        <v>0</v>
      </c>
      <c r="Q171" s="20">
        <f>'Amazon Assumptions'!R25</f>
        <v>0</v>
      </c>
      <c r="R171" s="20">
        <f>'Amazon Assumptions'!S25</f>
        <v>0</v>
      </c>
      <c r="S171" s="20">
        <f>'Amazon Assumptions'!T25</f>
        <v>0</v>
      </c>
      <c r="T171" s="20">
        <f>'Amazon Assumptions'!U25</f>
        <v>0</v>
      </c>
      <c r="U171" s="20">
        <f>'Amazon Assumptions'!V25</f>
        <v>0</v>
      </c>
      <c r="V171" s="20">
        <f>'Amazon Assumptions'!W25</f>
        <v>0</v>
      </c>
      <c r="W171" s="20">
        <f>'Amazon Assumptions'!X25</f>
        <v>0</v>
      </c>
      <c r="X171" s="20">
        <f>'Amazon Assumptions'!Y25</f>
        <v>0</v>
      </c>
      <c r="Y171" s="20">
        <f>'Amazon Assumptions'!Z25</f>
        <v>0</v>
      </c>
      <c r="Z171" s="20">
        <f>'Amazon Assumptions'!AA25</f>
        <v>0</v>
      </c>
      <c r="AA171" s="20">
        <f>'Amazon Assumptions'!AB25</f>
        <v>0</v>
      </c>
      <c r="AB171" s="20">
        <f>'Amazon Assumptions'!AC25</f>
        <v>0</v>
      </c>
    </row>
    <row r="172" spans="1:28">
      <c r="C172" s="18" t="s">
        <v>276</v>
      </c>
      <c r="H172" s="19">
        <f>H171*H141</f>
        <v>453000</v>
      </c>
      <c r="I172" s="19">
        <f t="shared" ref="I172:AB172" si="31">I171*I141</f>
        <v>0</v>
      </c>
      <c r="J172" s="19">
        <f t="shared" si="31"/>
        <v>0</v>
      </c>
      <c r="K172" s="19">
        <f t="shared" si="31"/>
        <v>0</v>
      </c>
      <c r="L172" s="19">
        <f t="shared" si="31"/>
        <v>0</v>
      </c>
      <c r="M172" s="19">
        <f t="shared" si="31"/>
        <v>0</v>
      </c>
      <c r="N172" s="19">
        <f t="shared" si="31"/>
        <v>0</v>
      </c>
      <c r="O172" s="19">
        <f t="shared" si="31"/>
        <v>0</v>
      </c>
      <c r="P172" s="19">
        <f t="shared" si="31"/>
        <v>0</v>
      </c>
      <c r="Q172" s="19">
        <f t="shared" si="31"/>
        <v>0</v>
      </c>
      <c r="R172" s="19">
        <f t="shared" si="31"/>
        <v>0</v>
      </c>
      <c r="S172" s="19">
        <f t="shared" si="31"/>
        <v>0</v>
      </c>
      <c r="T172" s="19">
        <f t="shared" si="31"/>
        <v>0</v>
      </c>
      <c r="U172" s="19">
        <f t="shared" si="31"/>
        <v>0</v>
      </c>
      <c r="V172" s="19">
        <f t="shared" si="31"/>
        <v>0</v>
      </c>
      <c r="W172" s="19">
        <f t="shared" si="31"/>
        <v>0</v>
      </c>
      <c r="X172" s="19">
        <f t="shared" si="31"/>
        <v>0</v>
      </c>
      <c r="Y172" s="19">
        <f t="shared" si="31"/>
        <v>0</v>
      </c>
      <c r="Z172" s="19">
        <f t="shared" si="31"/>
        <v>0</v>
      </c>
      <c r="AA172" s="19">
        <f t="shared" si="31"/>
        <v>0</v>
      </c>
      <c r="AB172" s="19">
        <f t="shared" si="31"/>
        <v>0</v>
      </c>
    </row>
    <row r="174" spans="1:28">
      <c r="B174" s="18" t="s">
        <v>318</v>
      </c>
    </row>
    <row r="175" spans="1:28">
      <c r="C175" s="18" t="s">
        <v>157</v>
      </c>
      <c r="H175" s="21">
        <f>H145+H149+H153</f>
        <v>58420000</v>
      </c>
      <c r="I175" s="21">
        <f t="shared" ref="I175:AB175" si="32">I145+I149+I153</f>
        <v>70800000</v>
      </c>
      <c r="J175" s="21">
        <f t="shared" si="32"/>
        <v>84500000</v>
      </c>
      <c r="K175" s="21">
        <f t="shared" si="32"/>
        <v>98950000</v>
      </c>
      <c r="L175" s="21">
        <f t="shared" si="32"/>
        <v>124150000</v>
      </c>
      <c r="M175" s="21">
        <f t="shared" si="32"/>
        <v>159664475.90600514</v>
      </c>
      <c r="N175" s="21">
        <f t="shared" si="32"/>
        <v>208757383.46560687</v>
      </c>
      <c r="O175" s="21">
        <f t="shared" si="32"/>
        <v>248427886.5483337</v>
      </c>
      <c r="P175" s="21">
        <f t="shared" si="32"/>
        <v>292228163.87625962</v>
      </c>
      <c r="Q175" s="21">
        <f t="shared" si="32"/>
        <v>340019866.4823401</v>
      </c>
      <c r="R175" s="21">
        <f t="shared" si="32"/>
        <v>391588374.75876164</v>
      </c>
      <c r="S175" s="21">
        <f t="shared" si="32"/>
        <v>450326630.9725759</v>
      </c>
      <c r="T175" s="21">
        <f t="shared" si="32"/>
        <v>501652767.63440877</v>
      </c>
      <c r="U175" s="21">
        <f t="shared" si="32"/>
        <v>545097171.6994257</v>
      </c>
      <c r="V175" s="21">
        <f t="shared" si="32"/>
        <v>567911153.98261499</v>
      </c>
      <c r="W175" s="21">
        <f t="shared" si="32"/>
        <v>596306711.68174589</v>
      </c>
      <c r="X175" s="21">
        <f t="shared" si="32"/>
        <v>626122047.26583326</v>
      </c>
      <c r="Y175" s="21">
        <f t="shared" si="32"/>
        <v>657428149.62912488</v>
      </c>
      <c r="Z175" s="21">
        <f t="shared" si="32"/>
        <v>690299557.11058116</v>
      </c>
      <c r="AA175" s="21">
        <f t="shared" si="32"/>
        <v>724814534.96611035</v>
      </c>
      <c r="AB175" s="21">
        <f t="shared" si="32"/>
        <v>761055261.71441591</v>
      </c>
    </row>
    <row r="176" spans="1:28">
      <c r="C176" s="18" t="s">
        <v>161</v>
      </c>
      <c r="H176" s="20">
        <f>'Amazon Assumptions'!I26</f>
        <v>0.22800410818212941</v>
      </c>
      <c r="I176" s="20">
        <f>'Amazon Assumptions'!J26</f>
        <v>0.21370056497175141</v>
      </c>
      <c r="J176" s="20">
        <f>'Amazon Assumptions'!K26</f>
        <v>0.19479288757396448</v>
      </c>
      <c r="K176" s="20">
        <f>'Amazon Assumptions'!L26</f>
        <v>0.20616472966144517</v>
      </c>
      <c r="L176" s="20">
        <f>'Amazon Assumptions'!M26</f>
        <v>0.20386629077728555</v>
      </c>
      <c r="M176" s="20">
        <f>'Amazon Assumptions'!N26</f>
        <v>0.18</v>
      </c>
      <c r="N176" s="20">
        <f>'Amazon Assumptions'!O26</f>
        <v>0.18</v>
      </c>
      <c r="O176" s="20">
        <f>'Amazon Assumptions'!P26</f>
        <v>0.18</v>
      </c>
      <c r="P176" s="20">
        <f>'Amazon Assumptions'!Q26</f>
        <v>0.18</v>
      </c>
      <c r="Q176" s="20">
        <f>'Amazon Assumptions'!R26</f>
        <v>0.18</v>
      </c>
      <c r="R176" s="20">
        <f>'Amazon Assumptions'!S26</f>
        <v>0.18</v>
      </c>
      <c r="S176" s="20">
        <f>'Amazon Assumptions'!T26</f>
        <v>0.18</v>
      </c>
      <c r="T176" s="20">
        <f>'Amazon Assumptions'!U26</f>
        <v>0.18</v>
      </c>
      <c r="U176" s="20">
        <f>'Amazon Assumptions'!V26</f>
        <v>0.18</v>
      </c>
      <c r="V176" s="20">
        <f>'Amazon Assumptions'!W26</f>
        <v>0.18</v>
      </c>
      <c r="W176" s="20">
        <f>'Amazon Assumptions'!X26</f>
        <v>0.18</v>
      </c>
      <c r="X176" s="20">
        <f>'Amazon Assumptions'!Y26</f>
        <v>0.18</v>
      </c>
      <c r="Y176" s="20">
        <f>'Amazon Assumptions'!Z26</f>
        <v>0.18</v>
      </c>
      <c r="Z176" s="20">
        <f>'Amazon Assumptions'!AA26</f>
        <v>0.18</v>
      </c>
      <c r="AA176" s="20">
        <f>'Amazon Assumptions'!AB26</f>
        <v>0.18</v>
      </c>
      <c r="AB176" s="20">
        <f>'Amazon Assumptions'!AC26</f>
        <v>0.18</v>
      </c>
    </row>
    <row r="177" spans="1:28">
      <c r="C177" s="18" t="s">
        <v>285</v>
      </c>
      <c r="H177" s="19">
        <f>H175*H176</f>
        <v>13320000</v>
      </c>
      <c r="I177" s="19">
        <f t="shared" ref="I177:AB177" si="33">I175*I176</f>
        <v>15130000</v>
      </c>
      <c r="J177" s="19">
        <f t="shared" si="33"/>
        <v>16459998.999999998</v>
      </c>
      <c r="K177" s="19">
        <f t="shared" si="33"/>
        <v>20400000</v>
      </c>
      <c r="L177" s="19">
        <f t="shared" si="33"/>
        <v>25310000</v>
      </c>
      <c r="M177" s="19">
        <f t="shared" si="33"/>
        <v>28739605.663080923</v>
      </c>
      <c r="N177" s="19">
        <f t="shared" si="33"/>
        <v>37576329.023809232</v>
      </c>
      <c r="O177" s="19">
        <f t="shared" si="33"/>
        <v>44717019.578700066</v>
      </c>
      <c r="P177" s="19">
        <f t="shared" si="33"/>
        <v>52601069.497726731</v>
      </c>
      <c r="Q177" s="19">
        <f t="shared" si="33"/>
        <v>61203575.966821216</v>
      </c>
      <c r="R177" s="19">
        <f t="shared" si="33"/>
        <v>70485907.456577092</v>
      </c>
      <c r="S177" s="19">
        <f t="shared" si="33"/>
        <v>81058793.575063661</v>
      </c>
      <c r="T177" s="19">
        <f t="shared" si="33"/>
        <v>90297498.174193576</v>
      </c>
      <c r="U177" s="19">
        <f t="shared" si="33"/>
        <v>98117490.905896619</v>
      </c>
      <c r="V177" s="19">
        <f t="shared" si="33"/>
        <v>102224007.7168707</v>
      </c>
      <c r="W177" s="19">
        <f t="shared" si="33"/>
        <v>107335208.10271426</v>
      </c>
      <c r="X177" s="19">
        <f t="shared" si="33"/>
        <v>112701968.50784998</v>
      </c>
      <c r="Y177" s="19">
        <f t="shared" si="33"/>
        <v>118337066.93324247</v>
      </c>
      <c r="Z177" s="19">
        <f t="shared" si="33"/>
        <v>124253920.2799046</v>
      </c>
      <c r="AA177" s="19">
        <f t="shared" si="33"/>
        <v>130466616.29389986</v>
      </c>
      <c r="AB177" s="19">
        <f t="shared" si="33"/>
        <v>136989947.10859486</v>
      </c>
    </row>
    <row r="179" spans="1:28">
      <c r="C179" s="18" t="s">
        <v>163</v>
      </c>
      <c r="H179" s="20">
        <f>'Amazon Assumptions'!I28</f>
        <v>7.4480275004092322E-2</v>
      </c>
      <c r="I179" s="20">
        <f>'Amazon Assumptions'!J28</f>
        <v>8.2068502350570852E-2</v>
      </c>
      <c r="J179" s="20">
        <f>'Amazon Assumptions'!K28</f>
        <v>9.0234852230587706E-2</v>
      </c>
      <c r="K179" s="20">
        <f>'Amazon Assumptions'!L28</f>
        <v>9.4850948509485097E-2</v>
      </c>
      <c r="L179" s="20">
        <f>'Amazon Assumptions'!M28</f>
        <v>9.7874843738510187E-2</v>
      </c>
      <c r="M179" s="20">
        <f>'Amazon Assumptions'!N28</f>
        <v>7.0000000000000007E-2</v>
      </c>
      <c r="N179" s="20">
        <f>'Amazon Assumptions'!O28</f>
        <v>7.0000000000000007E-2</v>
      </c>
      <c r="O179" s="20">
        <f>'Amazon Assumptions'!P28</f>
        <v>7.0000000000000007E-2</v>
      </c>
      <c r="P179" s="20">
        <f>'Amazon Assumptions'!Q28</f>
        <v>7.0000000000000007E-2</v>
      </c>
      <c r="Q179" s="20">
        <f>'Amazon Assumptions'!R28</f>
        <v>7.0000000000000007E-2</v>
      </c>
      <c r="R179" s="20">
        <f>'Amazon Assumptions'!S28</f>
        <v>7.0000000000000007E-2</v>
      </c>
      <c r="S179" s="20">
        <f>'Amazon Assumptions'!T28</f>
        <v>7.0000000000000007E-2</v>
      </c>
      <c r="T179" s="20">
        <f>'Amazon Assumptions'!U28</f>
        <v>7.0000000000000007E-2</v>
      </c>
      <c r="U179" s="20">
        <f>'Amazon Assumptions'!V28</f>
        <v>7.0000000000000007E-2</v>
      </c>
      <c r="V179" s="20">
        <f>'Amazon Assumptions'!W28</f>
        <v>7.0000000000000007E-2</v>
      </c>
      <c r="W179" s="20">
        <f>'Amazon Assumptions'!X28</f>
        <v>7.0000000000000007E-2</v>
      </c>
      <c r="X179" s="20">
        <f>'Amazon Assumptions'!Y28</f>
        <v>7.0000000000000007E-2</v>
      </c>
      <c r="Y179" s="20">
        <f>'Amazon Assumptions'!Z28</f>
        <v>7.0000000000000007E-2</v>
      </c>
      <c r="Z179" s="20">
        <f>'Amazon Assumptions'!AA28</f>
        <v>7.0000000000000007E-2</v>
      </c>
      <c r="AA179" s="20">
        <f>'Amazon Assumptions'!AB28</f>
        <v>7.0000000000000007E-2</v>
      </c>
      <c r="AB179" s="20">
        <f>'Amazon Assumptions'!AC28</f>
        <v>7.0000000000000007E-2</v>
      </c>
    </row>
    <row r="180" spans="1:28">
      <c r="C180" s="18" t="s">
        <v>287</v>
      </c>
      <c r="H180" s="19">
        <f>H179*H141</f>
        <v>4550000</v>
      </c>
      <c r="I180" s="19">
        <f t="shared" ref="I180:AB180" si="34">I179*I141</f>
        <v>6110000</v>
      </c>
      <c r="J180" s="19">
        <f t="shared" si="34"/>
        <v>8029999.5</v>
      </c>
      <c r="K180" s="19">
        <f t="shared" si="34"/>
        <v>10150000</v>
      </c>
      <c r="L180" s="19">
        <f t="shared" si="34"/>
        <v>13310000</v>
      </c>
      <c r="M180" s="19">
        <f t="shared" si="34"/>
        <v>12312956.557627639</v>
      </c>
      <c r="N180" s="19">
        <f t="shared" si="34"/>
        <v>15883713.959339654</v>
      </c>
      <c r="O180" s="19">
        <f t="shared" si="34"/>
        <v>19060456.751207583</v>
      </c>
      <c r="P180" s="19">
        <f t="shared" si="34"/>
        <v>22608007.485083424</v>
      </c>
      <c r="Q180" s="19">
        <f t="shared" si="34"/>
        <v>26523829.24728962</v>
      </c>
      <c r="R180" s="19">
        <f t="shared" si="34"/>
        <v>30799085.655183509</v>
      </c>
      <c r="S180" s="19">
        <f t="shared" si="34"/>
        <v>35418948.503461033</v>
      </c>
      <c r="T180" s="19">
        <f t="shared" si="34"/>
        <v>39455835.656638898</v>
      </c>
      <c r="U180" s="19">
        <f t="shared" si="34"/>
        <v>42872811.257258207</v>
      </c>
      <c r="V180" s="19">
        <f t="shared" si="34"/>
        <v>45694000.895152941</v>
      </c>
      <c r="W180" s="19">
        <f t="shared" si="34"/>
        <v>47978700.939910591</v>
      </c>
      <c r="X180" s="19">
        <f t="shared" si="34"/>
        <v>50377635.986906126</v>
      </c>
      <c r="Y180" s="19">
        <f t="shared" si="34"/>
        <v>52896517.786251433</v>
      </c>
      <c r="Z180" s="19">
        <f t="shared" si="34"/>
        <v>55541343.675564013</v>
      </c>
      <c r="AA180" s="19">
        <f t="shared" si="34"/>
        <v>58318410.859342217</v>
      </c>
      <c r="AB180" s="19">
        <f t="shared" si="34"/>
        <v>61234331.402309336</v>
      </c>
    </row>
    <row r="181" spans="1:28"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</row>
    <row r="182" spans="1:28">
      <c r="C182" s="18" t="s">
        <v>319</v>
      </c>
      <c r="H182" s="19">
        <f>H166+H169+H172-H177-H180</f>
        <v>-8027000</v>
      </c>
      <c r="I182" s="19">
        <f t="shared" ref="I182:AB182" si="35">I166+I169+I172-I177-I180</f>
        <v>-9060000</v>
      </c>
      <c r="J182" s="19">
        <f t="shared" si="35"/>
        <v>-10579998.499999998</v>
      </c>
      <c r="K182" s="19">
        <f t="shared" si="35"/>
        <v>-14660000</v>
      </c>
      <c r="L182" s="19">
        <f t="shared" si="35"/>
        <v>-18820000</v>
      </c>
      <c r="M182" s="19">
        <f t="shared" si="35"/>
        <v>-16875101.138491683</v>
      </c>
      <c r="N182" s="19">
        <f t="shared" si="35"/>
        <v>-21352249.765340872</v>
      </c>
      <c r="O182" s="19">
        <f t="shared" si="35"/>
        <v>-25560270.510097213</v>
      </c>
      <c r="P182" s="19">
        <f t="shared" si="35"/>
        <v>-30244452.027117044</v>
      </c>
      <c r="Q182" s="19">
        <f t="shared" si="35"/>
        <v>-35398233.779395342</v>
      </c>
      <c r="R182" s="19">
        <f t="shared" si="35"/>
        <v>-41006782.615187176</v>
      </c>
      <c r="S182" s="19">
        <f t="shared" si="35"/>
        <v>-47157800.007465258</v>
      </c>
      <c r="T182" s="19">
        <f t="shared" si="35"/>
        <v>-52532626.902839206</v>
      </c>
      <c r="U182" s="19">
        <f t="shared" si="35"/>
        <v>-57082085.845378056</v>
      </c>
      <c r="V182" s="19">
        <f t="shared" si="35"/>
        <v>-58488321.145795748</v>
      </c>
      <c r="W182" s="19">
        <f t="shared" si="35"/>
        <v>-61412737.203085557</v>
      </c>
      <c r="X182" s="19">
        <f t="shared" si="35"/>
        <v>-64483374.063239843</v>
      </c>
      <c r="Y182" s="19">
        <f t="shared" si="35"/>
        <v>-67707542.766401827</v>
      </c>
      <c r="Z182" s="19">
        <f t="shared" si="35"/>
        <v>-71092919.904721946</v>
      </c>
      <c r="AA182" s="19">
        <f t="shared" si="35"/>
        <v>-74647565.899958044</v>
      </c>
      <c r="AB182" s="19">
        <f t="shared" si="35"/>
        <v>-78379944.194955945</v>
      </c>
    </row>
    <row r="183" spans="1:28">
      <c r="C183" s="18" t="s">
        <v>320</v>
      </c>
      <c r="H183" s="19"/>
      <c r="I183" s="19">
        <f>I182-H182</f>
        <v>-1033000</v>
      </c>
      <c r="J183" s="19">
        <f t="shared" ref="J183:AB183" si="36">J182-I182</f>
        <v>-1519998.4999999981</v>
      </c>
      <c r="K183" s="19">
        <f t="shared" si="36"/>
        <v>-4080001.5000000019</v>
      </c>
      <c r="L183" s="19">
        <f t="shared" si="36"/>
        <v>-4160000</v>
      </c>
      <c r="M183" s="19">
        <f t="shared" si="36"/>
        <v>1944898.8615083173</v>
      </c>
      <c r="N183" s="19">
        <f t="shared" si="36"/>
        <v>-4477148.6268491894</v>
      </c>
      <c r="O183" s="19">
        <f t="shared" si="36"/>
        <v>-4208020.744756341</v>
      </c>
      <c r="P183" s="19">
        <f t="shared" si="36"/>
        <v>-4684181.5170198306</v>
      </c>
      <c r="Q183" s="19">
        <f t="shared" si="36"/>
        <v>-5153781.7522782981</v>
      </c>
      <c r="R183" s="19">
        <f t="shared" si="36"/>
        <v>-5608548.8357918337</v>
      </c>
      <c r="S183" s="19">
        <f t="shared" si="36"/>
        <v>-6151017.3922780827</v>
      </c>
      <c r="T183" s="19">
        <f t="shared" si="36"/>
        <v>-5374826.8953739479</v>
      </c>
      <c r="U183" s="19">
        <f t="shared" si="36"/>
        <v>-4549458.94253885</v>
      </c>
      <c r="V183" s="19">
        <f t="shared" si="36"/>
        <v>-1406235.3004176915</v>
      </c>
      <c r="W183" s="19">
        <f t="shared" si="36"/>
        <v>-2924416.057289809</v>
      </c>
      <c r="X183" s="19">
        <f t="shared" si="36"/>
        <v>-3070636.860154286</v>
      </c>
      <c r="Y183" s="19">
        <f t="shared" si="36"/>
        <v>-3224168.7031619847</v>
      </c>
      <c r="Z183" s="19">
        <f t="shared" si="36"/>
        <v>-3385377.1383201182</v>
      </c>
      <c r="AA183" s="19">
        <f t="shared" si="36"/>
        <v>-3554645.9952360988</v>
      </c>
      <c r="AB183" s="19">
        <f t="shared" si="36"/>
        <v>-3732378.2949979007</v>
      </c>
    </row>
    <row r="185" spans="1:28" s="31" customFormat="1">
      <c r="A185" s="31" t="s">
        <v>321</v>
      </c>
    </row>
    <row r="186" spans="1:28">
      <c r="B186" s="18" t="s">
        <v>322</v>
      </c>
    </row>
    <row r="187" spans="1:28">
      <c r="C187" s="18" t="s">
        <v>51</v>
      </c>
      <c r="H187" s="60">
        <f>G190</f>
        <v>0</v>
      </c>
      <c r="I187" s="60">
        <f t="shared" ref="I187:AB187" si="37">H190</f>
        <v>7060000</v>
      </c>
      <c r="J187" s="60">
        <f t="shared" si="37"/>
        <v>10950000</v>
      </c>
      <c r="K187" s="60">
        <f t="shared" si="37"/>
        <v>16970000</v>
      </c>
      <c r="L187" s="60">
        <f t="shared" si="37"/>
        <v>21840000</v>
      </c>
      <c r="M187" s="60">
        <f t="shared" si="37"/>
        <v>29110000</v>
      </c>
      <c r="N187" s="60">
        <f t="shared" si="37"/>
        <v>29171968.969734028</v>
      </c>
      <c r="O187" s="60">
        <f t="shared" si="37"/>
        <v>34326709.933659434</v>
      </c>
      <c r="P187" s="60">
        <f t="shared" si="37"/>
        <v>42082566.808422506</v>
      </c>
      <c r="Q187" s="60">
        <f t="shared" si="37"/>
        <v>50940217.236388385</v>
      </c>
      <c r="R187" s="60">
        <f t="shared" si="37"/>
        <v>60939873.710682392</v>
      </c>
      <c r="S187" s="60">
        <f t="shared" si="37"/>
        <v>80903860.317507237</v>
      </c>
      <c r="T187" s="60">
        <f t="shared" si="37"/>
        <v>101156693.52780017</v>
      </c>
      <c r="U187" s="60">
        <f t="shared" si="37"/>
        <v>120959903.75343743</v>
      </c>
      <c r="V187" s="60">
        <f t="shared" si="37"/>
        <v>139717426.39480174</v>
      </c>
      <c r="W187" s="60">
        <f t="shared" si="37"/>
        <v>150482070.69125423</v>
      </c>
      <c r="X187" s="60">
        <f t="shared" si="37"/>
        <v>160840253.95835125</v>
      </c>
      <c r="Y187" s="60">
        <f t="shared" si="37"/>
        <v>171007826.45566955</v>
      </c>
      <c r="Z187" s="60">
        <f t="shared" si="37"/>
        <v>181152387.6280036</v>
      </c>
      <c r="AA187" s="60">
        <f t="shared" si="37"/>
        <v>191405634.39656672</v>
      </c>
      <c r="AB187" s="60">
        <f t="shared" si="37"/>
        <v>201872636.65676725</v>
      </c>
    </row>
    <row r="188" spans="1:28">
      <c r="C188" s="18" t="s">
        <v>87</v>
      </c>
      <c r="H188" s="21">
        <f>H157</f>
        <v>3790000</v>
      </c>
      <c r="I188" s="21">
        <f t="shared" ref="I188:AB188" si="38">I157</f>
        <v>3440000</v>
      </c>
      <c r="J188" s="21">
        <f t="shared" si="38"/>
        <v>4890000</v>
      </c>
      <c r="K188" s="21">
        <f t="shared" si="38"/>
        <v>4590000</v>
      </c>
      <c r="L188" s="21">
        <f t="shared" si="38"/>
        <v>6740000</v>
      </c>
      <c r="M188" s="21">
        <f t="shared" si="38"/>
        <v>8794968.9697340261</v>
      </c>
      <c r="N188" s="21">
        <f t="shared" si="38"/>
        <v>13614611.965148274</v>
      </c>
      <c r="O188" s="21">
        <f t="shared" si="38"/>
        <v>16337534.358177926</v>
      </c>
      <c r="P188" s="21">
        <f t="shared" si="38"/>
        <v>19378292.130071502</v>
      </c>
      <c r="Q188" s="21">
        <f t="shared" si="38"/>
        <v>22734710.783391099</v>
      </c>
      <c r="R188" s="21">
        <f t="shared" si="38"/>
        <v>35198955.034495436</v>
      </c>
      <c r="S188" s="21">
        <f t="shared" si="38"/>
        <v>40478798.289669745</v>
      </c>
      <c r="T188" s="21">
        <f t="shared" si="38"/>
        <v>45092383.607587308</v>
      </c>
      <c r="U188" s="21">
        <f t="shared" si="38"/>
        <v>48997498.579723664</v>
      </c>
      <c r="V188" s="21">
        <f t="shared" si="38"/>
        <v>45694000.895152941</v>
      </c>
      <c r="W188" s="21">
        <f t="shared" si="38"/>
        <v>47978700.939910591</v>
      </c>
      <c r="X188" s="21">
        <f t="shared" si="38"/>
        <v>50377635.986906126</v>
      </c>
      <c r="Y188" s="21">
        <f t="shared" si="38"/>
        <v>52896517.786251433</v>
      </c>
      <c r="Z188" s="21">
        <f t="shared" si="38"/>
        <v>55541343.675564013</v>
      </c>
      <c r="AA188" s="21">
        <f t="shared" si="38"/>
        <v>58318410.859342217</v>
      </c>
      <c r="AB188" s="21">
        <f t="shared" si="38"/>
        <v>61234331.402309336</v>
      </c>
    </row>
    <row r="189" spans="1:28">
      <c r="C189" s="18" t="s">
        <v>323</v>
      </c>
      <c r="H189" s="61">
        <f>H193</f>
        <v>1670000</v>
      </c>
      <c r="I189" s="61">
        <f t="shared" ref="I189:AB189" si="39">I193</f>
        <v>2630000</v>
      </c>
      <c r="J189" s="61">
        <f t="shared" si="39"/>
        <v>4010000.25</v>
      </c>
      <c r="K189" s="61">
        <f t="shared" si="39"/>
        <v>5380000</v>
      </c>
      <c r="L189" s="61">
        <f t="shared" si="39"/>
        <v>7200000</v>
      </c>
      <c r="M189" s="61">
        <f t="shared" si="39"/>
        <v>8733000</v>
      </c>
      <c r="N189" s="61">
        <f t="shared" si="39"/>
        <v>8459871.0012228675</v>
      </c>
      <c r="O189" s="61">
        <f t="shared" si="39"/>
        <v>8581677.4834148586</v>
      </c>
      <c r="P189" s="61">
        <f t="shared" si="39"/>
        <v>10520641.702105626</v>
      </c>
      <c r="Q189" s="61">
        <f t="shared" si="39"/>
        <v>12735054.309097096</v>
      </c>
      <c r="R189" s="61">
        <f t="shared" si="39"/>
        <v>15234968.427670598</v>
      </c>
      <c r="S189" s="61">
        <f t="shared" si="39"/>
        <v>20225965.079376809</v>
      </c>
      <c r="T189" s="61">
        <f t="shared" si="39"/>
        <v>25289173.381950043</v>
      </c>
      <c r="U189" s="61">
        <f t="shared" si="39"/>
        <v>30239975.938359357</v>
      </c>
      <c r="V189" s="61">
        <f t="shared" si="39"/>
        <v>34929356.598700434</v>
      </c>
      <c r="W189" s="61">
        <f t="shared" si="39"/>
        <v>37620517.672813557</v>
      </c>
      <c r="X189" s="61">
        <f t="shared" si="39"/>
        <v>40210063.489587814</v>
      </c>
      <c r="Y189" s="61">
        <f t="shared" si="39"/>
        <v>42751956.613917388</v>
      </c>
      <c r="Z189" s="61">
        <f t="shared" si="39"/>
        <v>45288096.907000899</v>
      </c>
      <c r="AA189" s="61">
        <f t="shared" si="39"/>
        <v>47851408.59914168</v>
      </c>
      <c r="AB189" s="61">
        <f t="shared" si="39"/>
        <v>50468159.164191812</v>
      </c>
    </row>
    <row r="190" spans="1:28">
      <c r="C190" s="18" t="s">
        <v>54</v>
      </c>
      <c r="H190" s="60">
        <f>IF(H5,H105,H187+H188-H189)</f>
        <v>7060000</v>
      </c>
      <c r="I190" s="60">
        <f t="shared" ref="I190:AB190" si="40">IF(I5,I105,I187+I188-I189)</f>
        <v>10950000</v>
      </c>
      <c r="J190" s="60">
        <f t="shared" si="40"/>
        <v>16970000</v>
      </c>
      <c r="K190" s="60">
        <f t="shared" si="40"/>
        <v>21840000</v>
      </c>
      <c r="L190" s="60">
        <f t="shared" si="40"/>
        <v>29110000</v>
      </c>
      <c r="M190" s="60">
        <f t="shared" si="40"/>
        <v>29171968.969734028</v>
      </c>
      <c r="N190" s="60">
        <f t="shared" si="40"/>
        <v>34326709.933659434</v>
      </c>
      <c r="O190" s="60">
        <f t="shared" si="40"/>
        <v>42082566.808422506</v>
      </c>
      <c r="P190" s="60">
        <f t="shared" si="40"/>
        <v>50940217.236388385</v>
      </c>
      <c r="Q190" s="60">
        <f t="shared" si="40"/>
        <v>60939873.710682392</v>
      </c>
      <c r="R190" s="60">
        <f t="shared" si="40"/>
        <v>80903860.317507237</v>
      </c>
      <c r="S190" s="60">
        <f t="shared" si="40"/>
        <v>101156693.52780017</v>
      </c>
      <c r="T190" s="60">
        <f t="shared" si="40"/>
        <v>120959903.75343743</v>
      </c>
      <c r="U190" s="60">
        <f t="shared" si="40"/>
        <v>139717426.39480174</v>
      </c>
      <c r="V190" s="60">
        <f t="shared" si="40"/>
        <v>150482070.69125423</v>
      </c>
      <c r="W190" s="60">
        <f t="shared" si="40"/>
        <v>160840253.95835125</v>
      </c>
      <c r="X190" s="60">
        <f t="shared" si="40"/>
        <v>171007826.45566955</v>
      </c>
      <c r="Y190" s="60">
        <f t="shared" si="40"/>
        <v>181152387.6280036</v>
      </c>
      <c r="Z190" s="60">
        <f t="shared" si="40"/>
        <v>191405634.39656672</v>
      </c>
      <c r="AA190" s="60">
        <f t="shared" si="40"/>
        <v>201872636.65676725</v>
      </c>
      <c r="AB190" s="60">
        <f t="shared" si="40"/>
        <v>212638808.89488477</v>
      </c>
    </row>
    <row r="192" spans="1:28">
      <c r="C192" s="18" t="s">
        <v>324</v>
      </c>
      <c r="H192" s="20">
        <f>'Amazon Assumptions'!I32</f>
        <v>0.23654390934844194</v>
      </c>
      <c r="I192" s="20">
        <f>'Amazon Assumptions'!J32</f>
        <v>0.37252124645892354</v>
      </c>
      <c r="J192" s="20">
        <f>'Amazon Assumptions'!K32</f>
        <v>0.36621006849315069</v>
      </c>
      <c r="K192" s="20">
        <f>'Amazon Assumptions'!L32</f>
        <v>0.31703005303476722</v>
      </c>
      <c r="L192" s="20">
        <f>'Amazon Assumptions'!M32</f>
        <v>0.32967032967032966</v>
      </c>
      <c r="M192" s="20">
        <f>'Amazon Assumptions'!N32</f>
        <v>0.3</v>
      </c>
      <c r="N192" s="20">
        <f>'Amazon Assumptions'!O32</f>
        <v>0.28999999999999998</v>
      </c>
      <c r="O192" s="20">
        <f>'Amazon Assumptions'!P32</f>
        <v>0.25</v>
      </c>
      <c r="P192" s="20">
        <f>'Amazon Assumptions'!Q32</f>
        <v>0.25</v>
      </c>
      <c r="Q192" s="20">
        <f>'Amazon Assumptions'!R32</f>
        <v>0.25</v>
      </c>
      <c r="R192" s="20">
        <f>'Amazon Assumptions'!S32</f>
        <v>0.25</v>
      </c>
      <c r="S192" s="20">
        <f>'Amazon Assumptions'!T32</f>
        <v>0.25</v>
      </c>
      <c r="T192" s="20">
        <f>'Amazon Assumptions'!U32</f>
        <v>0.25</v>
      </c>
      <c r="U192" s="20">
        <f>'Amazon Assumptions'!V32</f>
        <v>0.25</v>
      </c>
      <c r="V192" s="20">
        <f>'Amazon Assumptions'!W32</f>
        <v>0.25</v>
      </c>
      <c r="W192" s="20">
        <f>'Amazon Assumptions'!X32</f>
        <v>0.25</v>
      </c>
      <c r="X192" s="20">
        <f>'Amazon Assumptions'!Y32</f>
        <v>0.25</v>
      </c>
      <c r="Y192" s="20">
        <f>'Amazon Assumptions'!Z32</f>
        <v>0.25</v>
      </c>
      <c r="Z192" s="20">
        <f>'Amazon Assumptions'!AA32</f>
        <v>0.25</v>
      </c>
      <c r="AA192" s="20">
        <f>'Amazon Assumptions'!AB32</f>
        <v>0.25</v>
      </c>
      <c r="AB192" s="20">
        <f>'Amazon Assumptions'!AC32</f>
        <v>0.25</v>
      </c>
    </row>
    <row r="193" spans="2:28">
      <c r="C193" s="18" t="s">
        <v>325</v>
      </c>
      <c r="H193" s="60">
        <f>IF(H5,H23,H192*H187)</f>
        <v>1670000</v>
      </c>
      <c r="I193" s="60">
        <f t="shared" ref="I193:AB193" si="41">IF(I5,I23,I192*I187)</f>
        <v>2630000</v>
      </c>
      <c r="J193" s="60">
        <f t="shared" si="41"/>
        <v>4010000.25</v>
      </c>
      <c r="K193" s="60">
        <f t="shared" si="41"/>
        <v>5380000</v>
      </c>
      <c r="L193" s="60">
        <f t="shared" si="41"/>
        <v>7200000</v>
      </c>
      <c r="M193" s="60">
        <f t="shared" si="41"/>
        <v>8733000</v>
      </c>
      <c r="N193" s="60">
        <f t="shared" si="41"/>
        <v>8459871.0012228675</v>
      </c>
      <c r="O193" s="60">
        <f t="shared" si="41"/>
        <v>8581677.4834148586</v>
      </c>
      <c r="P193" s="60">
        <f t="shared" si="41"/>
        <v>10520641.702105626</v>
      </c>
      <c r="Q193" s="60">
        <f t="shared" si="41"/>
        <v>12735054.309097096</v>
      </c>
      <c r="R193" s="60">
        <f t="shared" si="41"/>
        <v>15234968.427670598</v>
      </c>
      <c r="S193" s="60">
        <f t="shared" si="41"/>
        <v>20225965.079376809</v>
      </c>
      <c r="T193" s="60">
        <f t="shared" si="41"/>
        <v>25289173.381950043</v>
      </c>
      <c r="U193" s="60">
        <f t="shared" si="41"/>
        <v>30239975.938359357</v>
      </c>
      <c r="V193" s="60">
        <f t="shared" si="41"/>
        <v>34929356.598700434</v>
      </c>
      <c r="W193" s="60">
        <f t="shared" si="41"/>
        <v>37620517.672813557</v>
      </c>
      <c r="X193" s="60">
        <f t="shared" si="41"/>
        <v>40210063.489587814</v>
      </c>
      <c r="Y193" s="60">
        <f t="shared" si="41"/>
        <v>42751956.613917388</v>
      </c>
      <c r="Z193" s="60">
        <f t="shared" si="41"/>
        <v>45288096.907000899</v>
      </c>
      <c r="AA193" s="60">
        <f t="shared" si="41"/>
        <v>47851408.59914168</v>
      </c>
      <c r="AB193" s="60">
        <f t="shared" si="41"/>
        <v>50468159.164191812</v>
      </c>
    </row>
    <row r="195" spans="2:28">
      <c r="B195" s="18" t="s">
        <v>326</v>
      </c>
    </row>
    <row r="196" spans="2:28">
      <c r="C196" s="18" t="s">
        <v>51</v>
      </c>
      <c r="H196" s="19">
        <f>G199</f>
        <v>0</v>
      </c>
      <c r="I196" s="19">
        <f t="shared" ref="I196:AB196" si="42">H199</f>
        <v>3280000</v>
      </c>
      <c r="J196" s="19">
        <f t="shared" si="42"/>
        <v>3300000</v>
      </c>
      <c r="K196" s="19">
        <f t="shared" si="42"/>
        <v>4080000</v>
      </c>
      <c r="L196" s="19">
        <f t="shared" si="42"/>
        <v>4750000</v>
      </c>
      <c r="M196" s="19">
        <f t="shared" si="42"/>
        <v>4640000</v>
      </c>
      <c r="N196" s="19">
        <f t="shared" si="42"/>
        <v>5785164.3591822572</v>
      </c>
      <c r="O196" s="19">
        <f t="shared" si="42"/>
        <v>7273745.4097801698</v>
      </c>
      <c r="P196" s="19">
        <f t="shared" si="42"/>
        <v>9041319.4391616285</v>
      </c>
      <c r="Q196" s="19">
        <f t="shared" si="42"/>
        <v>11114509.170509284</v>
      </c>
      <c r="R196" s="19">
        <f t="shared" si="42"/>
        <v>13518143.952170996</v>
      </c>
      <c r="S196" s="19">
        <f t="shared" si="42"/>
        <v>16274641.094043545</v>
      </c>
      <c r="T196" s="19">
        <f t="shared" si="42"/>
        <v>19403457.300785139</v>
      </c>
      <c r="U196" s="19">
        <f t="shared" si="42"/>
        <v>22816941.128617059</v>
      </c>
      <c r="V196" s="19">
        <f t="shared" si="42"/>
        <v>26428169.756499432</v>
      </c>
      <c r="W196" s="19">
        <f t="shared" si="42"/>
        <v>30157886.290373508</v>
      </c>
      <c r="X196" s="19">
        <f t="shared" si="42"/>
        <v>33938086.369634666</v>
      </c>
      <c r="Y196" s="19">
        <f t="shared" si="42"/>
        <v>37778974.50985074</v>
      </c>
      <c r="Z196" s="19">
        <f t="shared" si="42"/>
        <v>41690831.727317072</v>
      </c>
      <c r="AA196" s="19">
        <f t="shared" si="42"/>
        <v>45684043.857469693</v>
      </c>
      <c r="AB196" s="19">
        <f t="shared" si="42"/>
        <v>49769129.906025983</v>
      </c>
    </row>
    <row r="197" spans="2:28">
      <c r="C197" s="18" t="s">
        <v>327</v>
      </c>
      <c r="H197" s="21">
        <f>H161</f>
        <v>745000</v>
      </c>
      <c r="I197" s="21">
        <f t="shared" ref="I197:AB197" si="43">I161</f>
        <v>312000</v>
      </c>
      <c r="J197" s="21">
        <f t="shared" si="43"/>
        <v>979000</v>
      </c>
      <c r="K197" s="21">
        <f t="shared" si="43"/>
        <v>795000</v>
      </c>
      <c r="L197" s="21">
        <f t="shared" si="43"/>
        <v>116000</v>
      </c>
      <c r="M197" s="21">
        <f t="shared" si="43"/>
        <v>1407195.0351574442</v>
      </c>
      <c r="N197" s="21">
        <f t="shared" si="43"/>
        <v>1815281.5953531032</v>
      </c>
      <c r="O197" s="21">
        <f t="shared" si="43"/>
        <v>2178337.9144237237</v>
      </c>
      <c r="P197" s="21">
        <f t="shared" si="43"/>
        <v>2583772.2840095339</v>
      </c>
      <c r="Q197" s="21">
        <f t="shared" si="43"/>
        <v>3031294.7711188137</v>
      </c>
      <c r="R197" s="21">
        <f t="shared" si="43"/>
        <v>3519895.5034495434</v>
      </c>
      <c r="S197" s="21">
        <f t="shared" si="43"/>
        <v>4047879.8289669747</v>
      </c>
      <c r="T197" s="21">
        <f t="shared" si="43"/>
        <v>4509238.3607587311</v>
      </c>
      <c r="U197" s="21">
        <f t="shared" si="43"/>
        <v>4899749.8579723667</v>
      </c>
      <c r="V197" s="21">
        <f t="shared" si="43"/>
        <v>5222171.5308746211</v>
      </c>
      <c r="W197" s="21">
        <f t="shared" si="43"/>
        <v>5483280.1074183527</v>
      </c>
      <c r="X197" s="21">
        <f t="shared" si="43"/>
        <v>5757444.1127892714</v>
      </c>
      <c r="Y197" s="21">
        <f t="shared" si="43"/>
        <v>6045316.3184287352</v>
      </c>
      <c r="Z197" s="21">
        <f t="shared" si="43"/>
        <v>6347582.1343501722</v>
      </c>
      <c r="AA197" s="21">
        <f t="shared" si="43"/>
        <v>6664961.2410676815</v>
      </c>
      <c r="AB197" s="21">
        <f t="shared" si="43"/>
        <v>6998209.3031210667</v>
      </c>
    </row>
    <row r="198" spans="2:28">
      <c r="C198" s="18" t="s">
        <v>328</v>
      </c>
      <c r="H198" s="52">
        <f>H202</f>
        <v>163000</v>
      </c>
      <c r="I198" s="52">
        <f t="shared" ref="I198:AB198" si="44">I202</f>
        <v>168000</v>
      </c>
      <c r="J198" s="52">
        <f t="shared" si="44"/>
        <v>181000</v>
      </c>
      <c r="K198" s="52">
        <f t="shared" si="44"/>
        <v>270000</v>
      </c>
      <c r="L198" s="52">
        <f t="shared" si="44"/>
        <v>287000</v>
      </c>
      <c r="M198" s="52">
        <f t="shared" si="44"/>
        <v>262030.67597518643</v>
      </c>
      <c r="N198" s="52">
        <f t="shared" si="44"/>
        <v>326700.54475519032</v>
      </c>
      <c r="O198" s="52">
        <f t="shared" si="44"/>
        <v>410763.88504226448</v>
      </c>
      <c r="P198" s="52">
        <f t="shared" si="44"/>
        <v>510582.55266187823</v>
      </c>
      <c r="Q198" s="52">
        <f t="shared" si="44"/>
        <v>627659.98945710261</v>
      </c>
      <c r="R198" s="52">
        <f t="shared" si="44"/>
        <v>763398.36157699232</v>
      </c>
      <c r="S198" s="52">
        <f t="shared" si="44"/>
        <v>919063.62222538306</v>
      </c>
      <c r="T198" s="52">
        <f t="shared" si="44"/>
        <v>1095754.5329268095</v>
      </c>
      <c r="U198" s="52">
        <f t="shared" si="44"/>
        <v>1288521.2300899916</v>
      </c>
      <c r="V198" s="52">
        <f t="shared" si="44"/>
        <v>1492454.9970005439</v>
      </c>
      <c r="W198" s="52">
        <f t="shared" si="44"/>
        <v>1703080.0281571934</v>
      </c>
      <c r="X198" s="52">
        <f t="shared" si="44"/>
        <v>1916555.9725731965</v>
      </c>
      <c r="Y198" s="52">
        <f t="shared" si="44"/>
        <v>2133459.1009623981</v>
      </c>
      <c r="Z198" s="52">
        <f t="shared" si="44"/>
        <v>2354370.0041975519</v>
      </c>
      <c r="AA198" s="52">
        <f t="shared" si="44"/>
        <v>2579875.1925113895</v>
      </c>
      <c r="AB198" s="52">
        <f t="shared" si="44"/>
        <v>2810568.6965458738</v>
      </c>
    </row>
    <row r="199" spans="2:28">
      <c r="C199" s="18" t="s">
        <v>54</v>
      </c>
      <c r="H199" s="19">
        <f>IF(H5,H107,H196+H197-H198)</f>
        <v>3280000</v>
      </c>
      <c r="I199" s="19">
        <f t="shared" ref="I199:AB199" si="45">IF(I5,I107,I196+I197-I198)</f>
        <v>3300000</v>
      </c>
      <c r="J199" s="19">
        <f t="shared" si="45"/>
        <v>4080000</v>
      </c>
      <c r="K199" s="19">
        <f t="shared" si="45"/>
        <v>4750000</v>
      </c>
      <c r="L199" s="19">
        <f t="shared" si="45"/>
        <v>4640000</v>
      </c>
      <c r="M199" s="19">
        <f t="shared" si="45"/>
        <v>5785164.3591822572</v>
      </c>
      <c r="N199" s="19">
        <f t="shared" si="45"/>
        <v>7273745.4097801698</v>
      </c>
      <c r="O199" s="19">
        <f t="shared" si="45"/>
        <v>9041319.4391616285</v>
      </c>
      <c r="P199" s="19">
        <f t="shared" si="45"/>
        <v>11114509.170509284</v>
      </c>
      <c r="Q199" s="19">
        <f t="shared" si="45"/>
        <v>13518143.952170996</v>
      </c>
      <c r="R199" s="19">
        <f t="shared" si="45"/>
        <v>16274641.094043545</v>
      </c>
      <c r="S199" s="19">
        <f t="shared" si="45"/>
        <v>19403457.300785139</v>
      </c>
      <c r="T199" s="19">
        <f t="shared" si="45"/>
        <v>22816941.128617059</v>
      </c>
      <c r="U199" s="19">
        <f t="shared" si="45"/>
        <v>26428169.756499432</v>
      </c>
      <c r="V199" s="19">
        <f t="shared" si="45"/>
        <v>30157886.290373508</v>
      </c>
      <c r="W199" s="19">
        <f t="shared" si="45"/>
        <v>33938086.369634666</v>
      </c>
      <c r="X199" s="19">
        <f t="shared" si="45"/>
        <v>37778974.50985074</v>
      </c>
      <c r="Y199" s="19">
        <f t="shared" si="45"/>
        <v>41690831.727317072</v>
      </c>
      <c r="Z199" s="19">
        <f t="shared" si="45"/>
        <v>45684043.857469693</v>
      </c>
      <c r="AA199" s="19">
        <f t="shared" si="45"/>
        <v>49769129.906025983</v>
      </c>
      <c r="AB199" s="19">
        <f t="shared" si="45"/>
        <v>53956770.512601174</v>
      </c>
    </row>
    <row r="201" spans="2:28">
      <c r="C201" s="18" t="s">
        <v>329</v>
      </c>
      <c r="H201" s="20">
        <f>'Amazon Assumptions'!I33</f>
        <v>4.9695121951219515E-2</v>
      </c>
      <c r="I201" s="20">
        <f>'Amazon Assumptions'!J33</f>
        <v>5.1219512195121948E-2</v>
      </c>
      <c r="J201" s="20">
        <f>'Amazon Assumptions'!K33</f>
        <v>5.4848484848484848E-2</v>
      </c>
      <c r="K201" s="20">
        <f>'Amazon Assumptions'!L33</f>
        <v>6.6176470588235295E-2</v>
      </c>
      <c r="L201" s="20">
        <f>'Amazon Assumptions'!M33</f>
        <v>6.0421052631578945E-2</v>
      </c>
      <c r="M201" s="20">
        <f>'Amazon Assumptions'!N33</f>
        <v>5.6472128442928107E-2</v>
      </c>
      <c r="N201" s="20">
        <f>'Amazon Assumptions'!O33</f>
        <v>5.6472128442928107E-2</v>
      </c>
      <c r="O201" s="20">
        <f>'Amazon Assumptions'!P33</f>
        <v>5.6472128442928107E-2</v>
      </c>
      <c r="P201" s="20">
        <f>'Amazon Assumptions'!Q33</f>
        <v>5.6472128442928107E-2</v>
      </c>
      <c r="Q201" s="20">
        <f>'Amazon Assumptions'!R33</f>
        <v>5.6472128442928107E-2</v>
      </c>
      <c r="R201" s="20">
        <f>'Amazon Assumptions'!S33</f>
        <v>5.6472128442928107E-2</v>
      </c>
      <c r="S201" s="20">
        <f>'Amazon Assumptions'!T33</f>
        <v>5.6472128442928107E-2</v>
      </c>
      <c r="T201" s="20">
        <f>'Amazon Assumptions'!U33</f>
        <v>5.6472128442928107E-2</v>
      </c>
      <c r="U201" s="20">
        <f>'Amazon Assumptions'!V33</f>
        <v>5.6472128442928107E-2</v>
      </c>
      <c r="V201" s="20">
        <f>'Amazon Assumptions'!W33</f>
        <v>5.6472128442928107E-2</v>
      </c>
      <c r="W201" s="20">
        <f>'Amazon Assumptions'!X33</f>
        <v>5.6472128442928107E-2</v>
      </c>
      <c r="X201" s="20">
        <f>'Amazon Assumptions'!Y33</f>
        <v>5.6472128442928107E-2</v>
      </c>
      <c r="Y201" s="20">
        <f>'Amazon Assumptions'!Z33</f>
        <v>5.6472128442928107E-2</v>
      </c>
      <c r="Z201" s="20">
        <f>'Amazon Assumptions'!AA33</f>
        <v>5.6472128442928107E-2</v>
      </c>
      <c r="AA201" s="20">
        <f>'Amazon Assumptions'!AB33</f>
        <v>5.6472128442928107E-2</v>
      </c>
      <c r="AB201" s="20">
        <f>'Amazon Assumptions'!AC33</f>
        <v>5.6472128442928107E-2</v>
      </c>
    </row>
    <row r="202" spans="2:28">
      <c r="C202" s="18" t="s">
        <v>330</v>
      </c>
      <c r="H202" s="19">
        <f>IF(H5,H24,H201*H196)</f>
        <v>163000</v>
      </c>
      <c r="I202" s="19">
        <f t="shared" ref="I202:AB202" si="46">IF(I5,I24,I201*I196)</f>
        <v>168000</v>
      </c>
      <c r="J202" s="19">
        <f t="shared" si="46"/>
        <v>181000</v>
      </c>
      <c r="K202" s="19">
        <f t="shared" si="46"/>
        <v>270000</v>
      </c>
      <c r="L202" s="19">
        <f t="shared" si="46"/>
        <v>287000</v>
      </c>
      <c r="M202" s="19">
        <f t="shared" si="46"/>
        <v>262030.67597518643</v>
      </c>
      <c r="N202" s="19">
        <f t="shared" si="46"/>
        <v>326700.54475519032</v>
      </c>
      <c r="O202" s="19">
        <f t="shared" si="46"/>
        <v>410763.88504226448</v>
      </c>
      <c r="P202" s="19">
        <f t="shared" si="46"/>
        <v>510582.55266187823</v>
      </c>
      <c r="Q202" s="19">
        <f t="shared" si="46"/>
        <v>627659.98945710261</v>
      </c>
      <c r="R202" s="19">
        <f t="shared" si="46"/>
        <v>763398.36157699232</v>
      </c>
      <c r="S202" s="19">
        <f t="shared" si="46"/>
        <v>919063.62222538306</v>
      </c>
      <c r="T202" s="19">
        <f t="shared" si="46"/>
        <v>1095754.5329268095</v>
      </c>
      <c r="U202" s="19">
        <f t="shared" si="46"/>
        <v>1288521.2300899916</v>
      </c>
      <c r="V202" s="19">
        <f t="shared" si="46"/>
        <v>1492454.9970005439</v>
      </c>
      <c r="W202" s="19">
        <f t="shared" si="46"/>
        <v>1703080.0281571934</v>
      </c>
      <c r="X202" s="19">
        <f t="shared" si="46"/>
        <v>1916555.9725731965</v>
      </c>
      <c r="Y202" s="19">
        <f t="shared" si="46"/>
        <v>2133459.1009623981</v>
      </c>
      <c r="Z202" s="19">
        <f t="shared" si="46"/>
        <v>2354370.0041975519</v>
      </c>
      <c r="AA202" s="19">
        <f t="shared" si="46"/>
        <v>2579875.1925113895</v>
      </c>
      <c r="AB202" s="19">
        <f t="shared" si="46"/>
        <v>2810568.6965458738</v>
      </c>
    </row>
    <row r="204" spans="2:28">
      <c r="C204" s="18" t="s">
        <v>172</v>
      </c>
      <c r="H204" s="19">
        <f>IF(H5,H108,G204)</f>
        <v>648000</v>
      </c>
      <c r="I204" s="19">
        <f t="shared" ref="I204:AB204" si="47">IF(I5,I108,H204)</f>
        <v>538000</v>
      </c>
      <c r="J204" s="19">
        <f t="shared" si="47"/>
        <v>971000</v>
      </c>
      <c r="K204" s="19">
        <f t="shared" si="47"/>
        <v>1950000</v>
      </c>
      <c r="L204" s="19">
        <f t="shared" si="47"/>
        <v>2700000</v>
      </c>
      <c r="M204" s="19">
        <f t="shared" si="47"/>
        <v>2700000</v>
      </c>
      <c r="N204" s="19">
        <f t="shared" si="47"/>
        <v>2700000</v>
      </c>
      <c r="O204" s="19">
        <f t="shared" si="47"/>
        <v>2700000</v>
      </c>
      <c r="P204" s="19">
        <f t="shared" si="47"/>
        <v>2700000</v>
      </c>
      <c r="Q204" s="19">
        <f t="shared" si="47"/>
        <v>2700000</v>
      </c>
      <c r="R204" s="19">
        <f t="shared" si="47"/>
        <v>2700000</v>
      </c>
      <c r="S204" s="19">
        <f t="shared" si="47"/>
        <v>2700000</v>
      </c>
      <c r="T204" s="19">
        <f t="shared" si="47"/>
        <v>2700000</v>
      </c>
      <c r="U204" s="19">
        <f t="shared" si="47"/>
        <v>2700000</v>
      </c>
      <c r="V204" s="19">
        <f t="shared" si="47"/>
        <v>2700000</v>
      </c>
      <c r="W204" s="19">
        <f t="shared" si="47"/>
        <v>2700000</v>
      </c>
      <c r="X204" s="19">
        <f t="shared" si="47"/>
        <v>2700000</v>
      </c>
      <c r="Y204" s="19">
        <f t="shared" si="47"/>
        <v>2700000</v>
      </c>
      <c r="Z204" s="19">
        <f t="shared" si="47"/>
        <v>2700000</v>
      </c>
      <c r="AA204" s="19">
        <f t="shared" si="47"/>
        <v>2700000</v>
      </c>
      <c r="AB204" s="19">
        <f t="shared" si="47"/>
        <v>2700000</v>
      </c>
    </row>
    <row r="205" spans="2:28">
      <c r="C205" s="18" t="s">
        <v>331</v>
      </c>
      <c r="H205" s="19">
        <f>'Amazon Assumptions'!I36</f>
        <v>-239000</v>
      </c>
      <c r="I205" s="19">
        <f>'Amazon Assumptions'!J36</f>
        <v>-250000</v>
      </c>
      <c r="J205" s="19">
        <f>'Amazon Assumptions'!K36</f>
        <v>-251000</v>
      </c>
      <c r="K205" s="19">
        <f>'Amazon Assumptions'!L36</f>
        <v>-427000</v>
      </c>
      <c r="L205" s="19">
        <f>'Amazon Assumptions'!M36</f>
        <v>-144000</v>
      </c>
      <c r="M205" s="19">
        <f>'Amazon Assumptions'!N36</f>
        <v>93333.333333333343</v>
      </c>
      <c r="N205" s="19">
        <f>'Amazon Assumptions'!O36</f>
        <v>-262200</v>
      </c>
      <c r="O205" s="19">
        <f>'Amazon Assumptions'!P36</f>
        <v>-262200</v>
      </c>
      <c r="P205" s="19">
        <f>'Amazon Assumptions'!Q36</f>
        <v>-262200</v>
      </c>
      <c r="Q205" s="19">
        <f>'Amazon Assumptions'!R36</f>
        <v>-262200</v>
      </c>
      <c r="R205" s="19">
        <f>'Amazon Assumptions'!S36</f>
        <v>-262200</v>
      </c>
      <c r="S205" s="19">
        <f>'Amazon Assumptions'!T36</f>
        <v>-262200</v>
      </c>
      <c r="T205" s="19">
        <f>'Amazon Assumptions'!U36</f>
        <v>-262200</v>
      </c>
      <c r="U205" s="19">
        <f>'Amazon Assumptions'!V36</f>
        <v>-262200</v>
      </c>
      <c r="V205" s="19">
        <f>'Amazon Assumptions'!W36</f>
        <v>-262200</v>
      </c>
      <c r="W205" s="19">
        <f>'Amazon Assumptions'!X36</f>
        <v>-262200</v>
      </c>
      <c r="X205" s="19">
        <f>'Amazon Assumptions'!Y36</f>
        <v>-262200</v>
      </c>
      <c r="Y205" s="19">
        <f>'Amazon Assumptions'!Z36</f>
        <v>-262200</v>
      </c>
      <c r="Z205" s="19">
        <f>'Amazon Assumptions'!AA36</f>
        <v>-262200</v>
      </c>
      <c r="AA205" s="19">
        <f>'Amazon Assumptions'!AB36</f>
        <v>-262200</v>
      </c>
      <c r="AB205" s="19">
        <f>'Amazon Assumptions'!AC36</f>
        <v>-262200</v>
      </c>
    </row>
    <row r="207" spans="2:28">
      <c r="C207" s="18" t="s">
        <v>219</v>
      </c>
      <c r="H207" s="19">
        <f>'Amazon Assumptions'!I51</f>
        <v>0</v>
      </c>
      <c r="I207" s="19">
        <f>'Amazon Assumptions'!J51</f>
        <v>0</v>
      </c>
      <c r="J207" s="19">
        <f>'Amazon Assumptions'!K51</f>
        <v>0</v>
      </c>
      <c r="K207" s="19">
        <f>'Amazon Assumptions'!L51</f>
        <v>0</v>
      </c>
      <c r="L207" s="19">
        <f>'Amazon Assumptions'!M51</f>
        <v>-67000</v>
      </c>
      <c r="M207" s="19">
        <f>'Amazon Assumptions'!N51</f>
        <v>-193333.33333333331</v>
      </c>
      <c r="N207" s="19">
        <f>'Amazon Assumptions'!O51</f>
        <v>0</v>
      </c>
      <c r="O207" s="19">
        <f>'Amazon Assumptions'!P51</f>
        <v>0</v>
      </c>
      <c r="P207" s="19">
        <f>'Amazon Assumptions'!Q51</f>
        <v>0</v>
      </c>
      <c r="Q207" s="19">
        <f>'Amazon Assumptions'!R51</f>
        <v>0</v>
      </c>
      <c r="R207" s="19">
        <f>'Amazon Assumptions'!S51</f>
        <v>0</v>
      </c>
      <c r="S207" s="19">
        <f>'Amazon Assumptions'!T51</f>
        <v>0</v>
      </c>
      <c r="T207" s="19">
        <f>'Amazon Assumptions'!U51</f>
        <v>0</v>
      </c>
      <c r="U207" s="19">
        <f>'Amazon Assumptions'!V51</f>
        <v>0</v>
      </c>
      <c r="V207" s="19">
        <f>'Amazon Assumptions'!W51</f>
        <v>0</v>
      </c>
      <c r="W207" s="19">
        <f>'Amazon Assumptions'!X51</f>
        <v>0</v>
      </c>
      <c r="X207" s="19">
        <f>'Amazon Assumptions'!Y51</f>
        <v>0</v>
      </c>
      <c r="Y207" s="19">
        <f>'Amazon Assumptions'!Z51</f>
        <v>0</v>
      </c>
      <c r="Z207" s="19">
        <f>'Amazon Assumptions'!AA51</f>
        <v>0</v>
      </c>
      <c r="AA207" s="19">
        <f>'Amazon Assumptions'!AB51</f>
        <v>0</v>
      </c>
      <c r="AB207" s="19">
        <f>'Amazon Assumptions'!AC51</f>
        <v>0</v>
      </c>
    </row>
    <row r="208" spans="2:28">
      <c r="C208" s="18" t="s">
        <v>332</v>
      </c>
      <c r="H208" s="19">
        <f>'Amazon Assumptions'!I39</f>
        <v>-157000</v>
      </c>
      <c r="I208" s="19">
        <f>'Amazon Assumptions'!J39</f>
        <v>-64000</v>
      </c>
      <c r="J208" s="19">
        <f>'Amazon Assumptions'!K39</f>
        <v>49000.25</v>
      </c>
      <c r="K208" s="19">
        <f>'Amazon Assumptions'!L39</f>
        <v>-28000</v>
      </c>
      <c r="L208" s="19">
        <f>'Amazon Assumptions'!M39</f>
        <v>-92000</v>
      </c>
      <c r="M208" s="19">
        <f>'Amazon Assumptions'!N39</f>
        <v>-58399.95</v>
      </c>
      <c r="N208" s="19">
        <f>'Amazon Assumptions'!O39</f>
        <v>-58399.95</v>
      </c>
      <c r="O208" s="19">
        <f>'Amazon Assumptions'!P39</f>
        <v>-58399.95</v>
      </c>
      <c r="P208" s="19">
        <f>'Amazon Assumptions'!Q39</f>
        <v>-58399.95</v>
      </c>
      <c r="Q208" s="19">
        <f>'Amazon Assumptions'!R39</f>
        <v>-58399.95</v>
      </c>
      <c r="R208" s="19">
        <f>'Amazon Assumptions'!S39</f>
        <v>-58399.95</v>
      </c>
      <c r="S208" s="19">
        <f>'Amazon Assumptions'!T39</f>
        <v>-58399.95</v>
      </c>
      <c r="T208" s="19">
        <f>'Amazon Assumptions'!U39</f>
        <v>-58399.95</v>
      </c>
      <c r="U208" s="19">
        <f>'Amazon Assumptions'!V39</f>
        <v>-58399.95</v>
      </c>
      <c r="V208" s="19">
        <f>'Amazon Assumptions'!W39</f>
        <v>-58399.95</v>
      </c>
      <c r="W208" s="19">
        <f>'Amazon Assumptions'!X39</f>
        <v>-58399.95</v>
      </c>
      <c r="X208" s="19">
        <f>'Amazon Assumptions'!Y39</f>
        <v>-58399.95</v>
      </c>
      <c r="Y208" s="19">
        <f>'Amazon Assumptions'!Z39</f>
        <v>-58399.95</v>
      </c>
      <c r="Z208" s="19">
        <f>'Amazon Assumptions'!AA39</f>
        <v>-58399.95</v>
      </c>
      <c r="AA208" s="19">
        <f>'Amazon Assumptions'!AB39</f>
        <v>-58399.95</v>
      </c>
      <c r="AB208" s="19">
        <f>'Amazon Assumptions'!AC39</f>
        <v>-58399.95</v>
      </c>
    </row>
    <row r="210" spans="1:28">
      <c r="C210" s="18" t="s">
        <v>290</v>
      </c>
      <c r="H210" s="19">
        <f>IF(H5,H118,G210)</f>
        <v>336000</v>
      </c>
      <c r="I210" s="19">
        <f t="shared" ref="I210:AB210" si="48">IF(I5,I118,H210)</f>
        <v>457000</v>
      </c>
      <c r="J210" s="19">
        <f t="shared" si="48"/>
        <v>510000</v>
      </c>
      <c r="K210" s="19">
        <f t="shared" si="48"/>
        <v>932000</v>
      </c>
      <c r="L210" s="19">
        <f t="shared" si="48"/>
        <v>1400000</v>
      </c>
      <c r="M210" s="19">
        <f t="shared" si="48"/>
        <v>1400000</v>
      </c>
      <c r="N210" s="19">
        <f t="shared" si="48"/>
        <v>1400000</v>
      </c>
      <c r="O210" s="19">
        <f t="shared" si="48"/>
        <v>1400000</v>
      </c>
      <c r="P210" s="19">
        <f t="shared" si="48"/>
        <v>1400000</v>
      </c>
      <c r="Q210" s="19">
        <f t="shared" si="48"/>
        <v>1400000</v>
      </c>
      <c r="R210" s="19">
        <f t="shared" si="48"/>
        <v>1400000</v>
      </c>
      <c r="S210" s="19">
        <f t="shared" si="48"/>
        <v>1400000</v>
      </c>
      <c r="T210" s="19">
        <f t="shared" si="48"/>
        <v>1400000</v>
      </c>
      <c r="U210" s="19">
        <f t="shared" si="48"/>
        <v>1400000</v>
      </c>
      <c r="V210" s="19">
        <f t="shared" si="48"/>
        <v>1400000</v>
      </c>
      <c r="W210" s="19">
        <f t="shared" si="48"/>
        <v>1400000</v>
      </c>
      <c r="X210" s="19">
        <f t="shared" si="48"/>
        <v>1400000</v>
      </c>
      <c r="Y210" s="19">
        <f t="shared" si="48"/>
        <v>1400000</v>
      </c>
      <c r="Z210" s="19">
        <f t="shared" si="48"/>
        <v>1400000</v>
      </c>
      <c r="AA210" s="19">
        <f t="shared" si="48"/>
        <v>1400000</v>
      </c>
      <c r="AB210" s="19">
        <f t="shared" si="48"/>
        <v>1400000</v>
      </c>
    </row>
    <row r="211" spans="1:28">
      <c r="C211" s="18" t="s">
        <v>291</v>
      </c>
      <c r="H211" s="19">
        <f>IF(H5,H119,G211)</f>
        <v>-123000</v>
      </c>
      <c r="I211" s="19">
        <f t="shared" ref="I211:AB211" si="49">IF(I5,I119,H211)</f>
        <v>344000</v>
      </c>
      <c r="J211" s="19">
        <f t="shared" si="49"/>
        <v>750000</v>
      </c>
      <c r="K211" s="19">
        <f t="shared" si="49"/>
        <v>325000</v>
      </c>
      <c r="L211" s="19">
        <f t="shared" si="49"/>
        <v>-62000</v>
      </c>
      <c r="M211" s="19">
        <f t="shared" si="49"/>
        <v>-62000</v>
      </c>
      <c r="N211" s="19">
        <f t="shared" si="49"/>
        <v>-62000</v>
      </c>
      <c r="O211" s="19">
        <f t="shared" si="49"/>
        <v>-62000</v>
      </c>
      <c r="P211" s="19">
        <f t="shared" si="49"/>
        <v>-62000</v>
      </c>
      <c r="Q211" s="19">
        <f t="shared" si="49"/>
        <v>-62000</v>
      </c>
      <c r="R211" s="19">
        <f t="shared" si="49"/>
        <v>-62000</v>
      </c>
      <c r="S211" s="19">
        <f t="shared" si="49"/>
        <v>-62000</v>
      </c>
      <c r="T211" s="19">
        <f t="shared" si="49"/>
        <v>-62000</v>
      </c>
      <c r="U211" s="19">
        <f t="shared" si="49"/>
        <v>-62000</v>
      </c>
      <c r="V211" s="19">
        <f t="shared" si="49"/>
        <v>-62000</v>
      </c>
      <c r="W211" s="19">
        <f t="shared" si="49"/>
        <v>-62000</v>
      </c>
      <c r="X211" s="19">
        <f t="shared" si="49"/>
        <v>-62000</v>
      </c>
      <c r="Y211" s="19">
        <f t="shared" si="49"/>
        <v>-62000</v>
      </c>
      <c r="Z211" s="19">
        <f t="shared" si="49"/>
        <v>-62000</v>
      </c>
      <c r="AA211" s="19">
        <f t="shared" si="49"/>
        <v>-62000</v>
      </c>
      <c r="AB211" s="19">
        <f t="shared" si="49"/>
        <v>-62000</v>
      </c>
    </row>
    <row r="212" spans="1:28">
      <c r="C212" s="18" t="s">
        <v>292</v>
      </c>
      <c r="H212" s="19">
        <f>IF(H5,H120,G212)</f>
        <v>1200000</v>
      </c>
      <c r="I212" s="19">
        <f t="shared" ref="I212:AB212" si="50">IF(I5,I120,H212)</f>
        <v>1220000</v>
      </c>
      <c r="J212" s="19">
        <f t="shared" si="50"/>
        <v>1660000</v>
      </c>
      <c r="K212" s="19">
        <f t="shared" si="50"/>
        <v>1960000</v>
      </c>
      <c r="L212" s="19">
        <f t="shared" si="50"/>
        <v>3300000</v>
      </c>
      <c r="M212" s="19">
        <f t="shared" si="50"/>
        <v>3300000</v>
      </c>
      <c r="N212" s="19">
        <f t="shared" si="50"/>
        <v>3300000</v>
      </c>
      <c r="O212" s="19">
        <f t="shared" si="50"/>
        <v>3300000</v>
      </c>
      <c r="P212" s="19">
        <f t="shared" si="50"/>
        <v>3300000</v>
      </c>
      <c r="Q212" s="19">
        <f t="shared" si="50"/>
        <v>3300000</v>
      </c>
      <c r="R212" s="19">
        <f t="shared" si="50"/>
        <v>3300000</v>
      </c>
      <c r="S212" s="19">
        <f t="shared" si="50"/>
        <v>3300000</v>
      </c>
      <c r="T212" s="19">
        <f t="shared" si="50"/>
        <v>3300000</v>
      </c>
      <c r="U212" s="19">
        <f t="shared" si="50"/>
        <v>3300000</v>
      </c>
      <c r="V212" s="19">
        <f t="shared" si="50"/>
        <v>3300000</v>
      </c>
      <c r="W212" s="19">
        <f t="shared" si="50"/>
        <v>3300000</v>
      </c>
      <c r="X212" s="19">
        <f t="shared" si="50"/>
        <v>3300000</v>
      </c>
      <c r="Y212" s="19">
        <f t="shared" si="50"/>
        <v>3300000</v>
      </c>
      <c r="Z212" s="19">
        <f t="shared" si="50"/>
        <v>3300000</v>
      </c>
      <c r="AA212" s="19">
        <f t="shared" si="50"/>
        <v>3300000</v>
      </c>
      <c r="AB212" s="19">
        <f t="shared" si="50"/>
        <v>3300000</v>
      </c>
    </row>
    <row r="213" spans="1:28">
      <c r="C213" s="18" t="s">
        <v>293</v>
      </c>
      <c r="H213" s="19">
        <f>IF(H5,H121,G213)</f>
        <v>-10999.5</v>
      </c>
      <c r="I213" s="19">
        <f t="shared" ref="I213:AB213" si="51">IF(I5,I121,H213)</f>
        <v>7000</v>
      </c>
      <c r="J213" s="19">
        <f t="shared" si="51"/>
        <v>-2998.5</v>
      </c>
      <c r="K213" s="19">
        <f t="shared" si="51"/>
        <v>-9000</v>
      </c>
      <c r="L213" s="19">
        <f t="shared" si="51"/>
        <v>-13000</v>
      </c>
      <c r="M213" s="19">
        <f t="shared" si="51"/>
        <v>-13000</v>
      </c>
      <c r="N213" s="19">
        <f t="shared" si="51"/>
        <v>-13000</v>
      </c>
      <c r="O213" s="19">
        <f t="shared" si="51"/>
        <v>-13000</v>
      </c>
      <c r="P213" s="19">
        <f t="shared" si="51"/>
        <v>-13000</v>
      </c>
      <c r="Q213" s="19">
        <f t="shared" si="51"/>
        <v>-13000</v>
      </c>
      <c r="R213" s="19">
        <f t="shared" si="51"/>
        <v>-13000</v>
      </c>
      <c r="S213" s="19">
        <f t="shared" si="51"/>
        <v>-13000</v>
      </c>
      <c r="T213" s="19">
        <f t="shared" si="51"/>
        <v>-13000</v>
      </c>
      <c r="U213" s="19">
        <f t="shared" si="51"/>
        <v>-13000</v>
      </c>
      <c r="V213" s="19">
        <f t="shared" si="51"/>
        <v>-13000</v>
      </c>
      <c r="W213" s="19">
        <f t="shared" si="51"/>
        <v>-13000</v>
      </c>
      <c r="X213" s="19">
        <f t="shared" si="51"/>
        <v>-13000</v>
      </c>
      <c r="Y213" s="19">
        <f t="shared" si="51"/>
        <v>-13000</v>
      </c>
      <c r="Z213" s="19">
        <f t="shared" si="51"/>
        <v>-13000</v>
      </c>
      <c r="AA213" s="19">
        <f t="shared" si="51"/>
        <v>-13000</v>
      </c>
      <c r="AB213" s="19">
        <f t="shared" si="51"/>
        <v>-13000</v>
      </c>
    </row>
    <row r="215" spans="1:28" s="31" customFormat="1">
      <c r="A215" s="31" t="s">
        <v>333</v>
      </c>
    </row>
    <row r="216" spans="1:28">
      <c r="C216" s="18" t="s">
        <v>178</v>
      </c>
      <c r="H216" s="19">
        <f>IF(H5,H97+H106)</f>
        <v>11601000</v>
      </c>
      <c r="I216" s="19">
        <f t="shared" ref="I216:AB216" si="52">IF(I5,I97+I106)</f>
        <v>12970000</v>
      </c>
      <c r="J216" s="19">
        <f t="shared" si="52"/>
        <v>18306000</v>
      </c>
      <c r="K216" s="19">
        <f t="shared" si="52"/>
        <v>20228000</v>
      </c>
      <c r="L216" s="19">
        <f t="shared" si="52"/>
        <v>26695000</v>
      </c>
      <c r="M216" s="19" t="b">
        <f t="shared" si="52"/>
        <v>0</v>
      </c>
      <c r="N216" s="19" t="b">
        <f t="shared" si="52"/>
        <v>0</v>
      </c>
      <c r="O216" s="19" t="b">
        <f t="shared" si="52"/>
        <v>0</v>
      </c>
      <c r="P216" s="19" t="b">
        <f t="shared" si="52"/>
        <v>0</v>
      </c>
      <c r="Q216" s="19" t="b">
        <f t="shared" si="52"/>
        <v>0</v>
      </c>
      <c r="R216" s="19" t="b">
        <f t="shared" si="52"/>
        <v>0</v>
      </c>
      <c r="S216" s="19" t="b">
        <f t="shared" si="52"/>
        <v>0</v>
      </c>
      <c r="T216" s="19" t="b">
        <f t="shared" si="52"/>
        <v>0</v>
      </c>
      <c r="U216" s="19" t="b">
        <f t="shared" si="52"/>
        <v>0</v>
      </c>
      <c r="V216" s="19" t="b">
        <f t="shared" si="52"/>
        <v>0</v>
      </c>
      <c r="W216" s="19" t="b">
        <f t="shared" si="52"/>
        <v>0</v>
      </c>
      <c r="X216" s="19" t="b">
        <f t="shared" si="52"/>
        <v>0</v>
      </c>
      <c r="Y216" s="19" t="b">
        <f t="shared" si="52"/>
        <v>0</v>
      </c>
      <c r="Z216" s="19" t="b">
        <f t="shared" si="52"/>
        <v>0</v>
      </c>
      <c r="AA216" s="19" t="b">
        <f t="shared" si="52"/>
        <v>0</v>
      </c>
      <c r="AB216" s="19" t="b">
        <f t="shared" si="52"/>
        <v>0</v>
      </c>
    </row>
    <row r="217" spans="1:28">
      <c r="C217" s="18" t="s">
        <v>334</v>
      </c>
      <c r="H217" s="19">
        <f>IF(H5,H117+H112)</f>
        <v>4970000</v>
      </c>
      <c r="I217" s="19">
        <f t="shared" ref="I217:AB217" si="53">IF(I5,I117+I112)</f>
        <v>6920000</v>
      </c>
      <c r="J217" s="19">
        <f t="shared" si="53"/>
        <v>16090000</v>
      </c>
      <c r="K217" s="19">
        <f t="shared" si="53"/>
        <v>17520000</v>
      </c>
      <c r="L217" s="19">
        <f t="shared" si="53"/>
        <v>20410000</v>
      </c>
      <c r="M217" s="19" t="b">
        <f t="shared" si="53"/>
        <v>0</v>
      </c>
      <c r="N217" s="19" t="b">
        <f t="shared" si="53"/>
        <v>0</v>
      </c>
      <c r="O217" s="19" t="b">
        <f t="shared" si="53"/>
        <v>0</v>
      </c>
      <c r="P217" s="19" t="b">
        <f t="shared" si="53"/>
        <v>0</v>
      </c>
      <c r="Q217" s="19" t="b">
        <f t="shared" si="53"/>
        <v>0</v>
      </c>
      <c r="R217" s="19" t="b">
        <f t="shared" si="53"/>
        <v>0</v>
      </c>
      <c r="S217" s="19" t="b">
        <f t="shared" si="53"/>
        <v>0</v>
      </c>
      <c r="T217" s="19" t="b">
        <f t="shared" si="53"/>
        <v>0</v>
      </c>
      <c r="U217" s="19" t="b">
        <f t="shared" si="53"/>
        <v>0</v>
      </c>
      <c r="V217" s="19" t="b">
        <f t="shared" si="53"/>
        <v>0</v>
      </c>
      <c r="W217" s="19" t="b">
        <f t="shared" si="53"/>
        <v>0</v>
      </c>
      <c r="X217" s="19" t="b">
        <f t="shared" si="53"/>
        <v>0</v>
      </c>
      <c r="Y217" s="19" t="b">
        <f t="shared" si="53"/>
        <v>0</v>
      </c>
      <c r="Z217" s="19" t="b">
        <f t="shared" si="53"/>
        <v>0</v>
      </c>
      <c r="AA217" s="19" t="b">
        <f t="shared" si="53"/>
        <v>0</v>
      </c>
      <c r="AB217" s="19" t="b">
        <f t="shared" si="53"/>
        <v>0</v>
      </c>
    </row>
    <row r="218" spans="1:28">
      <c r="C218" s="18" t="s">
        <v>335</v>
      </c>
      <c r="H218" s="19">
        <f>H216-H217</f>
        <v>6631000</v>
      </c>
      <c r="I218" s="19">
        <f t="shared" ref="I218:AB218" si="54">I216-I217</f>
        <v>6050000</v>
      </c>
      <c r="J218" s="19">
        <f t="shared" si="54"/>
        <v>2216000</v>
      </c>
      <c r="K218" s="19">
        <f t="shared" si="54"/>
        <v>2708000</v>
      </c>
      <c r="L218" s="19">
        <f t="shared" si="54"/>
        <v>6285000</v>
      </c>
      <c r="M218" s="19">
        <f t="shared" si="54"/>
        <v>0</v>
      </c>
      <c r="N218" s="19">
        <f t="shared" si="54"/>
        <v>0</v>
      </c>
      <c r="O218" s="19">
        <f t="shared" si="54"/>
        <v>0</v>
      </c>
      <c r="P218" s="19">
        <f t="shared" si="54"/>
        <v>0</v>
      </c>
      <c r="Q218" s="19">
        <f t="shared" si="54"/>
        <v>0</v>
      </c>
      <c r="R218" s="19">
        <f t="shared" si="54"/>
        <v>0</v>
      </c>
      <c r="S218" s="19">
        <f t="shared" si="54"/>
        <v>0</v>
      </c>
      <c r="T218" s="19">
        <f t="shared" si="54"/>
        <v>0</v>
      </c>
      <c r="U218" s="19">
        <f t="shared" si="54"/>
        <v>0</v>
      </c>
      <c r="V218" s="19">
        <f t="shared" si="54"/>
        <v>0</v>
      </c>
      <c r="W218" s="19">
        <f t="shared" si="54"/>
        <v>0</v>
      </c>
      <c r="X218" s="19">
        <f t="shared" si="54"/>
        <v>0</v>
      </c>
      <c r="Y218" s="19">
        <f t="shared" si="54"/>
        <v>0</v>
      </c>
      <c r="Z218" s="19">
        <f t="shared" si="54"/>
        <v>0</v>
      </c>
      <c r="AA218" s="19">
        <f t="shared" si="54"/>
        <v>0</v>
      </c>
      <c r="AB218" s="19">
        <f t="shared" si="54"/>
        <v>0</v>
      </c>
    </row>
    <row r="220" spans="1:28">
      <c r="C220" s="18" t="s">
        <v>336</v>
      </c>
      <c r="H220" s="19">
        <f>G222</f>
        <v>0</v>
      </c>
      <c r="I220" s="19">
        <f t="shared" ref="I220:AB220" si="55">H222</f>
        <v>6631000</v>
      </c>
      <c r="J220" s="19">
        <f t="shared" si="55"/>
        <v>6050000</v>
      </c>
      <c r="K220" s="19">
        <f t="shared" si="55"/>
        <v>2216000</v>
      </c>
      <c r="L220" s="19">
        <f t="shared" si="55"/>
        <v>2708000</v>
      </c>
      <c r="M220" s="19">
        <f t="shared" si="55"/>
        <v>6285000</v>
      </c>
      <c r="N220" s="19">
        <f t="shared" si="55"/>
        <v>7635963.2277043024</v>
      </c>
      <c r="O220" s="19">
        <f t="shared" si="55"/>
        <v>11188517.725635935</v>
      </c>
      <c r="P220" s="19">
        <f t="shared" si="55"/>
        <v>15083026.677152073</v>
      </c>
      <c r="Q220" s="19">
        <f t="shared" si="55"/>
        <v>21117350.579400621</v>
      </c>
      <c r="R220" s="19">
        <f t="shared" si="55"/>
        <v>29842913.514477462</v>
      </c>
      <c r="S220" s="19">
        <f t="shared" si="55"/>
        <v>33073138.610497713</v>
      </c>
      <c r="T220" s="19">
        <f t="shared" si="55"/>
        <v>37529039.44954849</v>
      </c>
      <c r="U220" s="19">
        <f t="shared" si="55"/>
        <v>42082493.252636924</v>
      </c>
      <c r="V220" s="19">
        <f t="shared" si="55"/>
        <v>46812252.128512375</v>
      </c>
      <c r="W220" s="19">
        <f t="shared" si="55"/>
        <v>64251987.278553605</v>
      </c>
      <c r="X220" s="19">
        <f t="shared" si="55"/>
        <v>84455640.547549367</v>
      </c>
      <c r="Y220" s="19">
        <f t="shared" si="55"/>
        <v>106028425.28291383</v>
      </c>
      <c r="Z220" s="19">
        <f t="shared" si="55"/>
        <v>128971904.9295999</v>
      </c>
      <c r="AA220" s="19">
        <f t="shared" si="55"/>
        <v>153303983.24124283</v>
      </c>
      <c r="AB220" s="19">
        <f t="shared" si="55"/>
        <v>179055683.76758856</v>
      </c>
    </row>
    <row r="221" spans="1:28">
      <c r="C221" s="18" t="s">
        <v>337</v>
      </c>
      <c r="H221" s="21">
        <f>H279</f>
        <v>-2741000</v>
      </c>
      <c r="I221" s="21">
        <f t="shared" ref="I221:AB221" si="56">I279</f>
        <v>353000</v>
      </c>
      <c r="J221" s="21">
        <f t="shared" si="56"/>
        <v>-399001.25000000186</v>
      </c>
      <c r="K221" s="21">
        <f t="shared" si="56"/>
        <v>4941001.5000000019</v>
      </c>
      <c r="L221" s="21">
        <f t="shared" si="56"/>
        <v>7161000</v>
      </c>
      <c r="M221" s="21">
        <f t="shared" si="56"/>
        <v>1350963.2277043026</v>
      </c>
      <c r="N221" s="21">
        <f t="shared" si="56"/>
        <v>3552554.4979316331</v>
      </c>
      <c r="O221" s="21">
        <f t="shared" si="56"/>
        <v>3894508.9515161379</v>
      </c>
      <c r="P221" s="21">
        <f t="shared" si="56"/>
        <v>6034323.9022485483</v>
      </c>
      <c r="Q221" s="21">
        <f t="shared" si="56"/>
        <v>8725562.9350768402</v>
      </c>
      <c r="R221" s="21">
        <f t="shared" si="56"/>
        <v>3230225.096020252</v>
      </c>
      <c r="S221" s="21">
        <f t="shared" si="56"/>
        <v>4455900.8390507754</v>
      </c>
      <c r="T221" s="21">
        <f t="shared" si="56"/>
        <v>4553453.8030884378</v>
      </c>
      <c r="U221" s="21">
        <f t="shared" si="56"/>
        <v>4729758.8758754516</v>
      </c>
      <c r="V221" s="21">
        <f t="shared" si="56"/>
        <v>17439735.15004123</v>
      </c>
      <c r="W221" s="21">
        <f t="shared" si="56"/>
        <v>20203653.268995766</v>
      </c>
      <c r="X221" s="21">
        <f t="shared" si="56"/>
        <v>21572784.735364467</v>
      </c>
      <c r="Y221" s="21">
        <f t="shared" si="56"/>
        <v>22943479.646686066</v>
      </c>
      <c r="Z221" s="21">
        <f t="shared" si="56"/>
        <v>24332078.311642926</v>
      </c>
      <c r="AA221" s="21">
        <f t="shared" si="56"/>
        <v>25751700.526345737</v>
      </c>
      <c r="AB221" s="21">
        <f t="shared" si="56"/>
        <v>27213092.353796609</v>
      </c>
    </row>
    <row r="222" spans="1:28">
      <c r="C222" s="18" t="s">
        <v>54</v>
      </c>
      <c r="H222" s="19">
        <f>IF(H5,H218,H220+H221)</f>
        <v>6631000</v>
      </c>
      <c r="I222" s="19">
        <f t="shared" ref="I222:AB222" si="57">IF(I5,I218,I220+I221)</f>
        <v>6050000</v>
      </c>
      <c r="J222" s="19">
        <f t="shared" si="57"/>
        <v>2216000</v>
      </c>
      <c r="K222" s="19">
        <f t="shared" si="57"/>
        <v>2708000</v>
      </c>
      <c r="L222" s="19">
        <f t="shared" si="57"/>
        <v>6285000</v>
      </c>
      <c r="M222" s="19">
        <f t="shared" si="57"/>
        <v>7635963.2277043024</v>
      </c>
      <c r="N222" s="19">
        <f t="shared" si="57"/>
        <v>11188517.725635935</v>
      </c>
      <c r="O222" s="19">
        <f t="shared" si="57"/>
        <v>15083026.677152073</v>
      </c>
      <c r="P222" s="19">
        <f t="shared" si="57"/>
        <v>21117350.579400621</v>
      </c>
      <c r="Q222" s="19">
        <f t="shared" si="57"/>
        <v>29842913.514477462</v>
      </c>
      <c r="R222" s="19">
        <f t="shared" si="57"/>
        <v>33073138.610497713</v>
      </c>
      <c r="S222" s="19">
        <f t="shared" si="57"/>
        <v>37529039.44954849</v>
      </c>
      <c r="T222" s="19">
        <f t="shared" si="57"/>
        <v>42082493.252636924</v>
      </c>
      <c r="U222" s="19">
        <f t="shared" si="57"/>
        <v>46812252.128512375</v>
      </c>
      <c r="V222" s="19">
        <f t="shared" si="57"/>
        <v>64251987.278553605</v>
      </c>
      <c r="W222" s="19">
        <f t="shared" si="57"/>
        <v>84455640.547549367</v>
      </c>
      <c r="X222" s="19">
        <f t="shared" si="57"/>
        <v>106028425.28291383</v>
      </c>
      <c r="Y222" s="19">
        <f t="shared" si="57"/>
        <v>128971904.9295999</v>
      </c>
      <c r="Z222" s="19">
        <f t="shared" si="57"/>
        <v>153303983.24124283</v>
      </c>
      <c r="AA222" s="19">
        <f t="shared" si="57"/>
        <v>179055683.76758856</v>
      </c>
      <c r="AB222" s="19">
        <f t="shared" si="57"/>
        <v>206268776.12138516</v>
      </c>
    </row>
    <row r="224" spans="1:28">
      <c r="C224" s="18" t="s">
        <v>178</v>
      </c>
      <c r="H224" s="19">
        <f>IF(H5,H216,MAX(H222,0))</f>
        <v>11601000</v>
      </c>
      <c r="I224" s="19">
        <f t="shared" ref="I224:AB224" si="58">IF(I5,I216,MAX(I222,0))</f>
        <v>12970000</v>
      </c>
      <c r="J224" s="19">
        <f t="shared" si="58"/>
        <v>18306000</v>
      </c>
      <c r="K224" s="19">
        <f t="shared" si="58"/>
        <v>20228000</v>
      </c>
      <c r="L224" s="19">
        <f t="shared" si="58"/>
        <v>26695000</v>
      </c>
      <c r="M224" s="19">
        <f t="shared" si="58"/>
        <v>7635963.2277043024</v>
      </c>
      <c r="N224" s="19">
        <f t="shared" si="58"/>
        <v>11188517.725635935</v>
      </c>
      <c r="O224" s="19">
        <f t="shared" si="58"/>
        <v>15083026.677152073</v>
      </c>
      <c r="P224" s="19">
        <f t="shared" si="58"/>
        <v>21117350.579400621</v>
      </c>
      <c r="Q224" s="19">
        <f t="shared" si="58"/>
        <v>29842913.514477462</v>
      </c>
      <c r="R224" s="19">
        <f t="shared" si="58"/>
        <v>33073138.610497713</v>
      </c>
      <c r="S224" s="19">
        <f t="shared" si="58"/>
        <v>37529039.44954849</v>
      </c>
      <c r="T224" s="19">
        <f t="shared" si="58"/>
        <v>42082493.252636924</v>
      </c>
      <c r="U224" s="19">
        <f t="shared" si="58"/>
        <v>46812252.128512375</v>
      </c>
      <c r="V224" s="19">
        <f t="shared" si="58"/>
        <v>64251987.278553605</v>
      </c>
      <c r="W224" s="19">
        <f t="shared" si="58"/>
        <v>84455640.547549367</v>
      </c>
      <c r="X224" s="19">
        <f t="shared" si="58"/>
        <v>106028425.28291383</v>
      </c>
      <c r="Y224" s="19">
        <f t="shared" si="58"/>
        <v>128971904.9295999</v>
      </c>
      <c r="Z224" s="19">
        <f t="shared" si="58"/>
        <v>153303983.24124283</v>
      </c>
      <c r="AA224" s="19">
        <f t="shared" si="58"/>
        <v>179055683.76758856</v>
      </c>
      <c r="AB224" s="19">
        <f t="shared" si="58"/>
        <v>206268776.12138516</v>
      </c>
    </row>
    <row r="225" spans="1:28">
      <c r="C225" s="18" t="s">
        <v>334</v>
      </c>
      <c r="H225" s="19">
        <f>IF(H5,H217,MAX(-H222,0))</f>
        <v>4970000</v>
      </c>
      <c r="I225" s="19">
        <f t="shared" ref="I225:AB225" si="59">IF(I5,I217,MAX(-I222,0))</f>
        <v>6920000</v>
      </c>
      <c r="J225" s="19">
        <f t="shared" si="59"/>
        <v>16090000</v>
      </c>
      <c r="K225" s="19">
        <f t="shared" si="59"/>
        <v>17520000</v>
      </c>
      <c r="L225" s="19">
        <f t="shared" si="59"/>
        <v>20410000</v>
      </c>
      <c r="M225" s="19">
        <f t="shared" si="59"/>
        <v>0</v>
      </c>
      <c r="N225" s="19">
        <f t="shared" si="59"/>
        <v>0</v>
      </c>
      <c r="O225" s="19">
        <f t="shared" si="59"/>
        <v>0</v>
      </c>
      <c r="P225" s="19">
        <f t="shared" si="59"/>
        <v>0</v>
      </c>
      <c r="Q225" s="19">
        <f t="shared" si="59"/>
        <v>0</v>
      </c>
      <c r="R225" s="19">
        <f t="shared" si="59"/>
        <v>0</v>
      </c>
      <c r="S225" s="19">
        <f t="shared" si="59"/>
        <v>0</v>
      </c>
      <c r="T225" s="19">
        <f t="shared" si="59"/>
        <v>0</v>
      </c>
      <c r="U225" s="19">
        <f t="shared" si="59"/>
        <v>0</v>
      </c>
      <c r="V225" s="19">
        <f t="shared" si="59"/>
        <v>0</v>
      </c>
      <c r="W225" s="19">
        <f t="shared" si="59"/>
        <v>0</v>
      </c>
      <c r="X225" s="19">
        <f t="shared" si="59"/>
        <v>0</v>
      </c>
      <c r="Y225" s="19">
        <f t="shared" si="59"/>
        <v>0</v>
      </c>
      <c r="Z225" s="19">
        <f t="shared" si="59"/>
        <v>0</v>
      </c>
      <c r="AA225" s="19">
        <f t="shared" si="59"/>
        <v>0</v>
      </c>
      <c r="AB225" s="19">
        <f t="shared" si="59"/>
        <v>0</v>
      </c>
    </row>
    <row r="227" spans="1:28">
      <c r="C227" s="18" t="s">
        <v>338</v>
      </c>
      <c r="H227" s="20">
        <f>IF(H5,H97/H15,G227)</f>
        <v>0.1874283843509576</v>
      </c>
      <c r="I227" s="20">
        <f t="shared" ref="I227:AB227" si="60">IF(I5,I97/I15,H227)</f>
        <v>0.16722632639355273</v>
      </c>
      <c r="J227" s="20">
        <f t="shared" si="60"/>
        <v>0.19575233172266546</v>
      </c>
      <c r="K227" s="20">
        <f t="shared" si="60"/>
        <v>0.18512288571161573</v>
      </c>
      <c r="L227" s="20">
        <f t="shared" si="60"/>
        <v>0.19104345907787337</v>
      </c>
      <c r="M227" s="20">
        <f t="shared" si="60"/>
        <v>0.19104345907787337</v>
      </c>
      <c r="N227" s="20">
        <f t="shared" si="60"/>
        <v>0.19104345907787337</v>
      </c>
      <c r="O227" s="20">
        <f t="shared" si="60"/>
        <v>0.19104345907787337</v>
      </c>
      <c r="P227" s="20">
        <f t="shared" si="60"/>
        <v>0.19104345907787337</v>
      </c>
      <c r="Q227" s="20">
        <f t="shared" si="60"/>
        <v>0.19104345907787337</v>
      </c>
      <c r="R227" s="20">
        <f t="shared" si="60"/>
        <v>0.19104345907787337</v>
      </c>
      <c r="S227" s="20">
        <f t="shared" si="60"/>
        <v>0.19104345907787337</v>
      </c>
      <c r="T227" s="20">
        <f t="shared" si="60"/>
        <v>0.19104345907787337</v>
      </c>
      <c r="U227" s="20">
        <f t="shared" si="60"/>
        <v>0.19104345907787337</v>
      </c>
      <c r="V227" s="20">
        <f t="shared" si="60"/>
        <v>0.19104345907787337</v>
      </c>
      <c r="W227" s="20">
        <f t="shared" si="60"/>
        <v>0.19104345907787337</v>
      </c>
      <c r="X227" s="20">
        <f t="shared" si="60"/>
        <v>0.19104345907787337</v>
      </c>
      <c r="Y227" s="20">
        <f t="shared" si="60"/>
        <v>0.19104345907787337</v>
      </c>
      <c r="Z227" s="20">
        <f t="shared" si="60"/>
        <v>0.19104345907787337</v>
      </c>
      <c r="AA227" s="20">
        <f t="shared" si="60"/>
        <v>0.19104345907787337</v>
      </c>
      <c r="AB227" s="20">
        <f t="shared" si="60"/>
        <v>0.19104345907787337</v>
      </c>
    </row>
    <row r="229" spans="1:28">
      <c r="C229" s="18" t="s">
        <v>334</v>
      </c>
      <c r="H229" s="21">
        <f>H225</f>
        <v>4970000</v>
      </c>
      <c r="I229" s="21">
        <f t="shared" ref="I229:AB229" si="61">I225</f>
        <v>6920000</v>
      </c>
      <c r="J229" s="21">
        <f t="shared" si="61"/>
        <v>16090000</v>
      </c>
      <c r="K229" s="21">
        <f t="shared" si="61"/>
        <v>17520000</v>
      </c>
      <c r="L229" s="21">
        <f t="shared" si="61"/>
        <v>20410000</v>
      </c>
      <c r="M229" s="21">
        <f t="shared" si="61"/>
        <v>0</v>
      </c>
      <c r="N229" s="21">
        <f t="shared" si="61"/>
        <v>0</v>
      </c>
      <c r="O229" s="21">
        <f t="shared" si="61"/>
        <v>0</v>
      </c>
      <c r="P229" s="21">
        <f t="shared" si="61"/>
        <v>0</v>
      </c>
      <c r="Q229" s="21">
        <f t="shared" si="61"/>
        <v>0</v>
      </c>
      <c r="R229" s="21">
        <f t="shared" si="61"/>
        <v>0</v>
      </c>
      <c r="S229" s="21">
        <f t="shared" si="61"/>
        <v>0</v>
      </c>
      <c r="T229" s="21">
        <f t="shared" si="61"/>
        <v>0</v>
      </c>
      <c r="U229" s="21">
        <f t="shared" si="61"/>
        <v>0</v>
      </c>
      <c r="V229" s="21">
        <f t="shared" si="61"/>
        <v>0</v>
      </c>
      <c r="W229" s="21">
        <f t="shared" si="61"/>
        <v>0</v>
      </c>
      <c r="X229" s="21">
        <f t="shared" si="61"/>
        <v>0</v>
      </c>
      <c r="Y229" s="21">
        <f t="shared" si="61"/>
        <v>0</v>
      </c>
      <c r="Z229" s="21">
        <f t="shared" si="61"/>
        <v>0</v>
      </c>
      <c r="AA229" s="21">
        <f t="shared" si="61"/>
        <v>0</v>
      </c>
      <c r="AB229" s="21">
        <f t="shared" si="61"/>
        <v>0</v>
      </c>
    </row>
    <row r="230" spans="1:28">
      <c r="C230" s="18" t="s">
        <v>339</v>
      </c>
      <c r="H230" s="20">
        <f>'Amazon Assumptions'!I42</f>
        <v>1.8511066398390341E-2</v>
      </c>
      <c r="I230" s="20">
        <f>'Amazon Assumptions'!J42</f>
        <v>2.0375722543352601E-2</v>
      </c>
      <c r="J230" s="20">
        <f>'Amazon Assumptions'!K42</f>
        <v>1.305158483530143E-2</v>
      </c>
      <c r="K230" s="20">
        <f>'Amazon Assumptions'!L42</f>
        <v>2.6198630136986301E-2</v>
      </c>
      <c r="L230" s="20">
        <f>'Amazon Assumptions'!M42</f>
        <v>2.3713865752082314E-2</v>
      </c>
      <c r="M230" s="20">
        <f>'Amazon Assumptions'!N42</f>
        <v>2.0370173933222595E-2</v>
      </c>
      <c r="N230" s="20">
        <f>'Amazon Assumptions'!O42</f>
        <v>2.0370173933222595E-2</v>
      </c>
      <c r="O230" s="20">
        <f>'Amazon Assumptions'!P42</f>
        <v>2.0370173933222595E-2</v>
      </c>
      <c r="P230" s="20">
        <f>'Amazon Assumptions'!Q42</f>
        <v>2.0370173933222595E-2</v>
      </c>
      <c r="Q230" s="20">
        <f>'Amazon Assumptions'!R42</f>
        <v>2.0370173933222595E-2</v>
      </c>
      <c r="R230" s="20">
        <f>'Amazon Assumptions'!S42</f>
        <v>2.0370173933222595E-2</v>
      </c>
      <c r="S230" s="20">
        <f>'Amazon Assumptions'!T42</f>
        <v>2.0370173933222595E-2</v>
      </c>
      <c r="T230" s="20">
        <f>'Amazon Assumptions'!U42</f>
        <v>2.0370173933222595E-2</v>
      </c>
      <c r="U230" s="20">
        <f>'Amazon Assumptions'!V42</f>
        <v>2.0370173933222595E-2</v>
      </c>
      <c r="V230" s="20">
        <f>'Amazon Assumptions'!W42</f>
        <v>2.0370173933222595E-2</v>
      </c>
      <c r="W230" s="20">
        <f>'Amazon Assumptions'!X42</f>
        <v>2.0370173933222595E-2</v>
      </c>
      <c r="X230" s="20">
        <f>'Amazon Assumptions'!Y42</f>
        <v>2.0370173933222595E-2</v>
      </c>
      <c r="Y230" s="20">
        <f>'Amazon Assumptions'!Z42</f>
        <v>2.0370173933222595E-2</v>
      </c>
      <c r="Z230" s="20">
        <f>'Amazon Assumptions'!AA42</f>
        <v>2.0370173933222595E-2</v>
      </c>
      <c r="AA230" s="20">
        <f>'Amazon Assumptions'!AB42</f>
        <v>2.0370173933222595E-2</v>
      </c>
      <c r="AB230" s="20">
        <f>'Amazon Assumptions'!AC42</f>
        <v>2.0370173933222595E-2</v>
      </c>
    </row>
    <row r="231" spans="1:28">
      <c r="C231" s="18" t="s">
        <v>225</v>
      </c>
      <c r="H231" s="19">
        <f>IF(H5,H29,G229*H230)</f>
        <v>92000</v>
      </c>
      <c r="I231" s="19">
        <f t="shared" ref="I231:AB231" si="62">IF(I5,I29,H229*I230)</f>
        <v>141000</v>
      </c>
      <c r="J231" s="19">
        <f t="shared" si="62"/>
        <v>210000</v>
      </c>
      <c r="K231" s="19">
        <f t="shared" si="62"/>
        <v>459000</v>
      </c>
      <c r="L231" s="19">
        <f t="shared" si="62"/>
        <v>484000</v>
      </c>
      <c r="M231" s="19">
        <f t="shared" si="62"/>
        <v>415755.24997707317</v>
      </c>
      <c r="N231" s="19">
        <f t="shared" si="62"/>
        <v>0</v>
      </c>
      <c r="O231" s="19">
        <f t="shared" si="62"/>
        <v>0</v>
      </c>
      <c r="P231" s="19">
        <f t="shared" si="62"/>
        <v>0</v>
      </c>
      <c r="Q231" s="19">
        <f t="shared" si="62"/>
        <v>0</v>
      </c>
      <c r="R231" s="19">
        <f t="shared" si="62"/>
        <v>0</v>
      </c>
      <c r="S231" s="19">
        <f t="shared" si="62"/>
        <v>0</v>
      </c>
      <c r="T231" s="19">
        <f t="shared" si="62"/>
        <v>0</v>
      </c>
      <c r="U231" s="19">
        <f t="shared" si="62"/>
        <v>0</v>
      </c>
      <c r="V231" s="19">
        <f t="shared" si="62"/>
        <v>0</v>
      </c>
      <c r="W231" s="19">
        <f t="shared" si="62"/>
        <v>0</v>
      </c>
      <c r="X231" s="19">
        <f t="shared" si="62"/>
        <v>0</v>
      </c>
      <c r="Y231" s="19">
        <f t="shared" si="62"/>
        <v>0</v>
      </c>
      <c r="Z231" s="19">
        <f t="shared" si="62"/>
        <v>0</v>
      </c>
      <c r="AA231" s="19">
        <f t="shared" si="62"/>
        <v>0</v>
      </c>
      <c r="AB231" s="19">
        <f t="shared" si="62"/>
        <v>0</v>
      </c>
    </row>
    <row r="233" spans="1:28">
      <c r="C233" s="18" t="s">
        <v>178</v>
      </c>
      <c r="H233" s="21">
        <f>H224</f>
        <v>11601000</v>
      </c>
      <c r="I233" s="21">
        <f t="shared" ref="I233:AB233" si="63">I224</f>
        <v>12970000</v>
      </c>
      <c r="J233" s="21">
        <f t="shared" si="63"/>
        <v>18306000</v>
      </c>
      <c r="K233" s="21">
        <f t="shared" si="63"/>
        <v>20228000</v>
      </c>
      <c r="L233" s="21">
        <f t="shared" si="63"/>
        <v>26695000</v>
      </c>
      <c r="M233" s="21">
        <f t="shared" si="63"/>
        <v>7635963.2277043024</v>
      </c>
      <c r="N233" s="21">
        <f t="shared" si="63"/>
        <v>11188517.725635935</v>
      </c>
      <c r="O233" s="21">
        <f t="shared" si="63"/>
        <v>15083026.677152073</v>
      </c>
      <c r="P233" s="21">
        <f t="shared" si="63"/>
        <v>21117350.579400621</v>
      </c>
      <c r="Q233" s="21">
        <f t="shared" si="63"/>
        <v>29842913.514477462</v>
      </c>
      <c r="R233" s="21">
        <f t="shared" si="63"/>
        <v>33073138.610497713</v>
      </c>
      <c r="S233" s="21">
        <f t="shared" si="63"/>
        <v>37529039.44954849</v>
      </c>
      <c r="T233" s="21">
        <f t="shared" si="63"/>
        <v>42082493.252636924</v>
      </c>
      <c r="U233" s="21">
        <f t="shared" si="63"/>
        <v>46812252.128512375</v>
      </c>
      <c r="V233" s="21">
        <f t="shared" si="63"/>
        <v>64251987.278553605</v>
      </c>
      <c r="W233" s="21">
        <f t="shared" si="63"/>
        <v>84455640.547549367</v>
      </c>
      <c r="X233" s="21">
        <f t="shared" si="63"/>
        <v>106028425.28291383</v>
      </c>
      <c r="Y233" s="21">
        <f t="shared" si="63"/>
        <v>128971904.9295999</v>
      </c>
      <c r="Z233" s="21">
        <f t="shared" si="63"/>
        <v>153303983.24124283</v>
      </c>
      <c r="AA233" s="21">
        <f t="shared" si="63"/>
        <v>179055683.76758856</v>
      </c>
      <c r="AB233" s="21">
        <f t="shared" si="63"/>
        <v>206268776.12138516</v>
      </c>
    </row>
    <row r="234" spans="1:28">
      <c r="C234" s="18" t="s">
        <v>179</v>
      </c>
      <c r="H234" s="20">
        <f>'Amazon Assumptions'!I45</f>
        <v>3.4479786225325403E-3</v>
      </c>
      <c r="I234" s="20">
        <f>'Amazon Assumptions'!J45</f>
        <v>2.9298380878951427E-3</v>
      </c>
      <c r="J234" s="20">
        <f>'Amazon Assumptions'!K45</f>
        <v>2.1304490331039002E-3</v>
      </c>
      <c r="K234" s="20">
        <f>'Amazon Assumptions'!L45</f>
        <v>2.4718212378880759E-3</v>
      </c>
      <c r="L234" s="20">
        <f>'Amazon Assumptions'!M45</f>
        <v>3.7460198539052258E-3</v>
      </c>
      <c r="M234" s="20">
        <f>'Amazon Assumptions'!N45</f>
        <v>3.7460198539052258E-3</v>
      </c>
      <c r="N234" s="20">
        <f>'Amazon Assumptions'!O45</f>
        <v>3.7460198539052258E-3</v>
      </c>
      <c r="O234" s="20">
        <f>'Amazon Assumptions'!P45</f>
        <v>3.7460198539052258E-3</v>
      </c>
      <c r="P234" s="20">
        <f>'Amazon Assumptions'!Q45</f>
        <v>3.7460198539052258E-3</v>
      </c>
      <c r="Q234" s="20">
        <f>'Amazon Assumptions'!R45</f>
        <v>3.7460198539052258E-3</v>
      </c>
      <c r="R234" s="20">
        <f>'Amazon Assumptions'!S45</f>
        <v>3.7460198539052258E-3</v>
      </c>
      <c r="S234" s="20">
        <f>'Amazon Assumptions'!T45</f>
        <v>3.7460198539052258E-3</v>
      </c>
      <c r="T234" s="20">
        <f>'Amazon Assumptions'!U45</f>
        <v>3.7460198539052258E-3</v>
      </c>
      <c r="U234" s="20">
        <f>'Amazon Assumptions'!V45</f>
        <v>3.7460198539052258E-3</v>
      </c>
      <c r="V234" s="20">
        <f>'Amazon Assumptions'!W45</f>
        <v>3.7460198539052258E-3</v>
      </c>
      <c r="W234" s="20">
        <f>'Amazon Assumptions'!X45</f>
        <v>3.7460198539052258E-3</v>
      </c>
      <c r="X234" s="20">
        <f>'Amazon Assumptions'!Y45</f>
        <v>3.7460198539052258E-3</v>
      </c>
      <c r="Y234" s="20">
        <f>'Amazon Assumptions'!Z45</f>
        <v>3.7460198539052258E-3</v>
      </c>
      <c r="Z234" s="20">
        <f>'Amazon Assumptions'!AA45</f>
        <v>3.7460198539052258E-3</v>
      </c>
      <c r="AA234" s="20">
        <f>'Amazon Assumptions'!AB45</f>
        <v>3.7460198539052258E-3</v>
      </c>
      <c r="AB234" s="20">
        <f>'Amazon Assumptions'!AC45</f>
        <v>3.7460198539052258E-3</v>
      </c>
    </row>
    <row r="235" spans="1:28">
      <c r="C235" s="18" t="s">
        <v>177</v>
      </c>
      <c r="H235" s="21">
        <f>IF(H5,H27,H234*G233)</f>
        <v>40000</v>
      </c>
      <c r="I235" s="21">
        <f t="shared" ref="I235:AB235" si="64">IF(I5,I27,I234*H233)</f>
        <v>38000</v>
      </c>
      <c r="J235" s="21">
        <f t="shared" si="64"/>
        <v>39000</v>
      </c>
      <c r="K235" s="21">
        <f t="shared" si="64"/>
        <v>50000</v>
      </c>
      <c r="L235" s="21">
        <f t="shared" si="64"/>
        <v>100000</v>
      </c>
      <c r="M235" s="21">
        <f t="shared" si="64"/>
        <v>100000</v>
      </c>
      <c r="N235" s="21">
        <f t="shared" si="64"/>
        <v>28604.469854670548</v>
      </c>
      <c r="O235" s="21">
        <f t="shared" si="64"/>
        <v>41912.40953600275</v>
      </c>
      <c r="P235" s="21">
        <f t="shared" si="64"/>
        <v>56501.317389593831</v>
      </c>
      <c r="Q235" s="21">
        <f t="shared" si="64"/>
        <v>79106.014532311747</v>
      </c>
      <c r="R235" s="21">
        <f t="shared" si="64"/>
        <v>111792.14652360915</v>
      </c>
      <c r="S235" s="21">
        <f t="shared" si="64"/>
        <v>123892.63386588392</v>
      </c>
      <c r="T235" s="21">
        <f t="shared" si="64"/>
        <v>140584.52687600109</v>
      </c>
      <c r="U235" s="21">
        <f t="shared" si="64"/>
        <v>157641.85522621061</v>
      </c>
      <c r="V235" s="21">
        <f t="shared" si="64"/>
        <v>175359.62587942451</v>
      </c>
      <c r="W235" s="21">
        <f t="shared" si="64"/>
        <v>240689.21999832781</v>
      </c>
      <c r="X235" s="21">
        <f t="shared" si="64"/>
        <v>316372.50626540312</v>
      </c>
      <c r="Y235" s="21">
        <f t="shared" si="64"/>
        <v>397184.58618810202</v>
      </c>
      <c r="Z235" s="21">
        <f t="shared" si="64"/>
        <v>483131.31646225846</v>
      </c>
      <c r="AA235" s="21">
        <f t="shared" si="64"/>
        <v>574279.76490444958</v>
      </c>
      <c r="AB235" s="21">
        <f t="shared" si="64"/>
        <v>670746.14634796244</v>
      </c>
    </row>
    <row r="237" spans="1:28">
      <c r="C237" s="18" t="s">
        <v>1</v>
      </c>
      <c r="H237" s="19">
        <f>IF(H5,H45,G237)</f>
        <v>453000</v>
      </c>
      <c r="I237" s="19">
        <f t="shared" ref="I237:AB237" si="65">IF(I5,I45,H237)</f>
        <v>457000</v>
      </c>
      <c r="J237" s="19">
        <f t="shared" si="65"/>
        <v>462000</v>
      </c>
      <c r="K237" s="19">
        <f t="shared" si="65"/>
        <v>467000</v>
      </c>
      <c r="L237" s="19">
        <f t="shared" si="65"/>
        <v>474000</v>
      </c>
      <c r="M237" s="19">
        <f t="shared" si="65"/>
        <v>474000</v>
      </c>
      <c r="N237" s="19">
        <f t="shared" si="65"/>
        <v>474000</v>
      </c>
      <c r="O237" s="19">
        <f t="shared" si="65"/>
        <v>474000</v>
      </c>
      <c r="P237" s="19">
        <f t="shared" si="65"/>
        <v>474000</v>
      </c>
      <c r="Q237" s="19">
        <f t="shared" si="65"/>
        <v>474000</v>
      </c>
      <c r="R237" s="19">
        <f t="shared" si="65"/>
        <v>474000</v>
      </c>
      <c r="S237" s="19">
        <f t="shared" si="65"/>
        <v>474000</v>
      </c>
      <c r="T237" s="19">
        <f t="shared" si="65"/>
        <v>474000</v>
      </c>
      <c r="U237" s="19">
        <f t="shared" si="65"/>
        <v>474000</v>
      </c>
      <c r="V237" s="19">
        <f t="shared" si="65"/>
        <v>474000</v>
      </c>
      <c r="W237" s="19">
        <f t="shared" si="65"/>
        <v>474000</v>
      </c>
      <c r="X237" s="19">
        <f t="shared" si="65"/>
        <v>474000</v>
      </c>
      <c r="Y237" s="19">
        <f t="shared" si="65"/>
        <v>474000</v>
      </c>
      <c r="Z237" s="19">
        <f t="shared" si="65"/>
        <v>474000</v>
      </c>
      <c r="AA237" s="19">
        <f t="shared" si="65"/>
        <v>474000</v>
      </c>
      <c r="AB237" s="19">
        <f t="shared" si="65"/>
        <v>474000</v>
      </c>
    </row>
    <row r="239" spans="1:28" s="31" customFormat="1">
      <c r="A239" s="31" t="s">
        <v>208</v>
      </c>
    </row>
    <row r="240" spans="1:28">
      <c r="B240" s="18" t="s">
        <v>305</v>
      </c>
      <c r="H240" s="61">
        <f>H141</f>
        <v>61090000</v>
      </c>
      <c r="I240" s="61">
        <f t="shared" ref="I240:AB240" si="66">I141</f>
        <v>74450000</v>
      </c>
      <c r="J240" s="61">
        <f t="shared" si="66"/>
        <v>88990000</v>
      </c>
      <c r="K240" s="61">
        <f t="shared" si="66"/>
        <v>107010000</v>
      </c>
      <c r="L240" s="61">
        <f t="shared" si="66"/>
        <v>135990000</v>
      </c>
      <c r="M240" s="61">
        <f t="shared" si="66"/>
        <v>175899379.39468053</v>
      </c>
      <c r="N240" s="61">
        <f t="shared" si="66"/>
        <v>226910199.4191379</v>
      </c>
      <c r="O240" s="61">
        <f t="shared" si="66"/>
        <v>272292239.30296546</v>
      </c>
      <c r="P240" s="61">
        <f t="shared" si="66"/>
        <v>322971535.50119174</v>
      </c>
      <c r="Q240" s="61">
        <f t="shared" si="66"/>
        <v>378911846.38985169</v>
      </c>
      <c r="R240" s="61">
        <f t="shared" si="66"/>
        <v>439986937.93119293</v>
      </c>
      <c r="S240" s="61">
        <f t="shared" si="66"/>
        <v>505984978.62087184</v>
      </c>
      <c r="T240" s="61">
        <f t="shared" si="66"/>
        <v>563654795.09484136</v>
      </c>
      <c r="U240" s="61">
        <f t="shared" si="66"/>
        <v>612468732.24654579</v>
      </c>
      <c r="V240" s="61">
        <f t="shared" si="66"/>
        <v>652771441.35932767</v>
      </c>
      <c r="W240" s="61">
        <f t="shared" si="66"/>
        <v>685410013.42729414</v>
      </c>
      <c r="X240" s="61">
        <f t="shared" si="66"/>
        <v>719680514.09865892</v>
      </c>
      <c r="Y240" s="61">
        <f t="shared" si="66"/>
        <v>755664539.80359185</v>
      </c>
      <c r="Z240" s="61">
        <f t="shared" si="66"/>
        <v>793447766.79377151</v>
      </c>
      <c r="AA240" s="61">
        <f t="shared" si="66"/>
        <v>833120155.13346016</v>
      </c>
      <c r="AB240" s="61">
        <f t="shared" si="66"/>
        <v>874776162.89013326</v>
      </c>
    </row>
    <row r="241" spans="2:28">
      <c r="B241" s="18" t="s">
        <v>340</v>
      </c>
      <c r="H241" s="21">
        <f>H145</f>
        <v>44140000</v>
      </c>
      <c r="I241" s="21">
        <f t="shared" ref="I241:AB241" si="67">I145</f>
        <v>51380000</v>
      </c>
      <c r="J241" s="21">
        <f t="shared" si="67"/>
        <v>58570000</v>
      </c>
      <c r="K241" s="21">
        <f t="shared" si="67"/>
        <v>66000000</v>
      </c>
      <c r="L241" s="21">
        <f t="shared" si="67"/>
        <v>80780000</v>
      </c>
      <c r="M241" s="21">
        <f t="shared" si="67"/>
        <v>102549947.41655236</v>
      </c>
      <c r="N241" s="21">
        <f t="shared" si="67"/>
        <v>138415221.64567411</v>
      </c>
      <c r="O241" s="21">
        <f t="shared" si="67"/>
        <v>164017292.36441439</v>
      </c>
      <c r="P241" s="21">
        <f t="shared" si="67"/>
        <v>192106987.87089017</v>
      </c>
      <c r="Q241" s="21">
        <f t="shared" si="67"/>
        <v>222557194.10148609</v>
      </c>
      <c r="R241" s="21">
        <f t="shared" si="67"/>
        <v>255192424.00009188</v>
      </c>
      <c r="S241" s="21">
        <f t="shared" si="67"/>
        <v>293471287.60010564</v>
      </c>
      <c r="T241" s="21">
        <f t="shared" si="67"/>
        <v>326919781.15500796</v>
      </c>
      <c r="U241" s="21">
        <f t="shared" si="67"/>
        <v>355231864.70299655</v>
      </c>
      <c r="V241" s="21">
        <f t="shared" si="67"/>
        <v>378607435.98841</v>
      </c>
      <c r="W241" s="21">
        <f t="shared" si="67"/>
        <v>397537807.78783059</v>
      </c>
      <c r="X241" s="21">
        <f t="shared" si="67"/>
        <v>417414698.17722213</v>
      </c>
      <c r="Y241" s="21">
        <f t="shared" si="67"/>
        <v>438285433.08608323</v>
      </c>
      <c r="Z241" s="21">
        <f t="shared" si="67"/>
        <v>460199704.74038744</v>
      </c>
      <c r="AA241" s="21">
        <f t="shared" si="67"/>
        <v>483209689.97740686</v>
      </c>
      <c r="AB241" s="21">
        <f t="shared" si="67"/>
        <v>507370174.47627723</v>
      </c>
    </row>
    <row r="242" spans="2:28" ht="15" thickBot="1">
      <c r="C242" s="35" t="s">
        <v>341</v>
      </c>
      <c r="D242" s="35"/>
      <c r="E242" s="35"/>
      <c r="F242" s="35"/>
      <c r="G242" s="35"/>
      <c r="H242" s="48">
        <f>H240-H241</f>
        <v>16950000</v>
      </c>
      <c r="I242" s="48">
        <f t="shared" ref="I242:AB242" si="68">I240-I241</f>
        <v>23070000</v>
      </c>
      <c r="J242" s="48">
        <f t="shared" si="68"/>
        <v>30420000</v>
      </c>
      <c r="K242" s="48">
        <f t="shared" si="68"/>
        <v>41010000</v>
      </c>
      <c r="L242" s="48">
        <f t="shared" si="68"/>
        <v>55210000</v>
      </c>
      <c r="M242" s="48">
        <f t="shared" si="68"/>
        <v>73349431.978128165</v>
      </c>
      <c r="N242" s="48">
        <f t="shared" si="68"/>
        <v>88494977.773463786</v>
      </c>
      <c r="O242" s="48">
        <f t="shared" si="68"/>
        <v>108274946.93855107</v>
      </c>
      <c r="P242" s="48">
        <f t="shared" si="68"/>
        <v>130864547.63030156</v>
      </c>
      <c r="Q242" s="48">
        <f t="shared" si="68"/>
        <v>156354652.2883656</v>
      </c>
      <c r="R242" s="48">
        <f t="shared" si="68"/>
        <v>184794513.93110105</v>
      </c>
      <c r="S242" s="48">
        <f t="shared" si="68"/>
        <v>212513691.0207662</v>
      </c>
      <c r="T242" s="48">
        <f t="shared" si="68"/>
        <v>236735013.9398334</v>
      </c>
      <c r="U242" s="48">
        <f t="shared" si="68"/>
        <v>257236867.54354924</v>
      </c>
      <c r="V242" s="48">
        <f t="shared" si="68"/>
        <v>274164005.37091768</v>
      </c>
      <c r="W242" s="48">
        <f t="shared" si="68"/>
        <v>287872205.63946354</v>
      </c>
      <c r="X242" s="48">
        <f t="shared" si="68"/>
        <v>302265815.92143679</v>
      </c>
      <c r="Y242" s="48">
        <f t="shared" si="68"/>
        <v>317379106.71750861</v>
      </c>
      <c r="Z242" s="48">
        <f t="shared" si="68"/>
        <v>333248062.05338407</v>
      </c>
      <c r="AA242" s="48">
        <f t="shared" si="68"/>
        <v>349910465.1560533</v>
      </c>
      <c r="AB242" s="48">
        <f t="shared" si="68"/>
        <v>367405988.41385603</v>
      </c>
    </row>
    <row r="243" spans="2:28">
      <c r="B243" s="18" t="s">
        <v>342</v>
      </c>
      <c r="H243" s="21">
        <f>H149</f>
        <v>4560000</v>
      </c>
      <c r="I243" s="21">
        <f t="shared" ref="I243:AB243" si="69">I149</f>
        <v>6570000</v>
      </c>
      <c r="J243" s="21">
        <f t="shared" si="69"/>
        <v>9280000</v>
      </c>
      <c r="K243" s="21">
        <f t="shared" si="69"/>
        <v>12540000</v>
      </c>
      <c r="L243" s="21">
        <f t="shared" si="69"/>
        <v>16090000</v>
      </c>
      <c r="M243" s="21">
        <f t="shared" si="69"/>
        <v>19348931.733414859</v>
      </c>
      <c r="N243" s="21">
        <f t="shared" si="69"/>
        <v>24960121.936105169</v>
      </c>
      <c r="O243" s="21">
        <f t="shared" si="69"/>
        <v>29952146.3233262</v>
      </c>
      <c r="P243" s="21">
        <f t="shared" si="69"/>
        <v>35526868.905131094</v>
      </c>
      <c r="Q243" s="21">
        <f t="shared" si="69"/>
        <v>41680303.102883689</v>
      </c>
      <c r="R243" s="21">
        <f t="shared" si="69"/>
        <v>48398563.172431223</v>
      </c>
      <c r="S243" s="21">
        <f t="shared" si="69"/>
        <v>55658347.648295902</v>
      </c>
      <c r="T243" s="21">
        <f t="shared" si="69"/>
        <v>62002027.460432552</v>
      </c>
      <c r="U243" s="21">
        <f t="shared" si="69"/>
        <v>67371560.547120035</v>
      </c>
      <c r="V243" s="21">
        <f t="shared" si="69"/>
        <v>58749429.722339489</v>
      </c>
      <c r="W243" s="21">
        <f t="shared" si="69"/>
        <v>61686901.208456472</v>
      </c>
      <c r="X243" s="21">
        <f t="shared" si="69"/>
        <v>64771246.268879302</v>
      </c>
      <c r="Y243" s="21">
        <f t="shared" si="69"/>
        <v>68009808.582323268</v>
      </c>
      <c r="Z243" s="21">
        <f t="shared" si="69"/>
        <v>71410299.011439428</v>
      </c>
      <c r="AA243" s="21">
        <f t="shared" si="69"/>
        <v>74980813.962011412</v>
      </c>
      <c r="AB243" s="21">
        <f t="shared" si="69"/>
        <v>78729854.660111994</v>
      </c>
    </row>
    <row r="244" spans="2:28">
      <c r="B244" s="18" t="s">
        <v>217</v>
      </c>
      <c r="H244" s="21">
        <f>H153</f>
        <v>9720000</v>
      </c>
      <c r="I244" s="21">
        <f t="shared" ref="I244:AB244" si="70">I153</f>
        <v>12850000</v>
      </c>
      <c r="J244" s="21">
        <f t="shared" si="70"/>
        <v>16650000</v>
      </c>
      <c r="K244" s="21">
        <f t="shared" si="70"/>
        <v>20410000</v>
      </c>
      <c r="L244" s="21">
        <f t="shared" si="70"/>
        <v>27280000</v>
      </c>
      <c r="M244" s="21">
        <f t="shared" si="70"/>
        <v>37765596.756037913</v>
      </c>
      <c r="N244" s="21">
        <f t="shared" si="70"/>
        <v>45382039.883827582</v>
      </c>
      <c r="O244" s="21">
        <f t="shared" si="70"/>
        <v>54458447.860593095</v>
      </c>
      <c r="P244" s="21">
        <f t="shared" si="70"/>
        <v>64594307.100238353</v>
      </c>
      <c r="Q244" s="21">
        <f t="shared" si="70"/>
        <v>75782369.277970344</v>
      </c>
      <c r="R244" s="21">
        <f t="shared" si="70"/>
        <v>87997387.586238593</v>
      </c>
      <c r="S244" s="21">
        <f t="shared" si="70"/>
        <v>101196995.72417438</v>
      </c>
      <c r="T244" s="21">
        <f t="shared" si="70"/>
        <v>112730959.01896828</v>
      </c>
      <c r="U244" s="21">
        <f t="shared" si="70"/>
        <v>122493746.44930917</v>
      </c>
      <c r="V244" s="21">
        <f t="shared" si="70"/>
        <v>130554288.27186555</v>
      </c>
      <c r="W244" s="21">
        <f t="shared" si="70"/>
        <v>137082002.68545884</v>
      </c>
      <c r="X244" s="21">
        <f t="shared" si="70"/>
        <v>143936102.8197318</v>
      </c>
      <c r="Y244" s="21">
        <f t="shared" si="70"/>
        <v>151132907.96071836</v>
      </c>
      <c r="Z244" s="21">
        <f t="shared" si="70"/>
        <v>158689553.35875431</v>
      </c>
      <c r="AA244" s="21">
        <f t="shared" si="70"/>
        <v>166624031.02669203</v>
      </c>
      <c r="AB244" s="21">
        <f t="shared" si="70"/>
        <v>174955232.57802665</v>
      </c>
    </row>
    <row r="245" spans="2:28" ht="15" thickBot="1">
      <c r="C245" s="35" t="s">
        <v>8</v>
      </c>
      <c r="D245" s="35"/>
      <c r="E245" s="35"/>
      <c r="F245" s="35"/>
      <c r="G245" s="35"/>
      <c r="H245" s="48">
        <f>H242-H243-H244</f>
        <v>2670000</v>
      </c>
      <c r="I245" s="48">
        <f t="shared" ref="I245:AB245" si="71">I242-I243-I244</f>
        <v>3650000</v>
      </c>
      <c r="J245" s="48">
        <f t="shared" si="71"/>
        <v>4490000</v>
      </c>
      <c r="K245" s="48">
        <f t="shared" si="71"/>
        <v>8060000</v>
      </c>
      <c r="L245" s="48">
        <f t="shared" si="71"/>
        <v>11840000</v>
      </c>
      <c r="M245" s="48">
        <f t="shared" si="71"/>
        <v>16234903.488675393</v>
      </c>
      <c r="N245" s="48">
        <f t="shared" si="71"/>
        <v>18152815.953531034</v>
      </c>
      <c r="O245" s="48">
        <f t="shared" si="71"/>
        <v>23864352.754631773</v>
      </c>
      <c r="P245" s="48">
        <f t="shared" si="71"/>
        <v>30743371.62493211</v>
      </c>
      <c r="Q245" s="48">
        <f t="shared" si="71"/>
        <v>38891979.907511562</v>
      </c>
      <c r="R245" s="48">
        <f t="shared" si="71"/>
        <v>48398563.172431231</v>
      </c>
      <c r="S245" s="48">
        <f t="shared" si="71"/>
        <v>55658347.648295909</v>
      </c>
      <c r="T245" s="48">
        <f t="shared" si="71"/>
        <v>62002027.460432559</v>
      </c>
      <c r="U245" s="48">
        <f t="shared" si="71"/>
        <v>67371560.547120035</v>
      </c>
      <c r="V245" s="48">
        <f t="shared" si="71"/>
        <v>84860287.37671265</v>
      </c>
      <c r="W245" s="48">
        <f t="shared" si="71"/>
        <v>89103301.745548248</v>
      </c>
      <c r="X245" s="48">
        <f t="shared" si="71"/>
        <v>93558466.832825691</v>
      </c>
      <c r="Y245" s="48">
        <f t="shared" si="71"/>
        <v>98236390.174466997</v>
      </c>
      <c r="Z245" s="48">
        <f t="shared" si="71"/>
        <v>103148209.68319032</v>
      </c>
      <c r="AA245" s="48">
        <f t="shared" si="71"/>
        <v>108305620.16734987</v>
      </c>
      <c r="AB245" s="48">
        <f t="shared" si="71"/>
        <v>113720901.17571735</v>
      </c>
    </row>
    <row r="246" spans="2:28">
      <c r="B246" s="18" t="s">
        <v>104</v>
      </c>
      <c r="H246" s="21">
        <f>H193</f>
        <v>1670000</v>
      </c>
      <c r="I246" s="21">
        <f t="shared" ref="I246:AB246" si="72">I193</f>
        <v>2630000</v>
      </c>
      <c r="J246" s="21">
        <f t="shared" si="72"/>
        <v>4010000.25</v>
      </c>
      <c r="K246" s="21">
        <f t="shared" si="72"/>
        <v>5380000</v>
      </c>
      <c r="L246" s="21">
        <f t="shared" si="72"/>
        <v>7200000</v>
      </c>
      <c r="M246" s="21">
        <f t="shared" si="72"/>
        <v>8733000</v>
      </c>
      <c r="N246" s="21">
        <f t="shared" si="72"/>
        <v>8459871.0012228675</v>
      </c>
      <c r="O246" s="21">
        <f t="shared" si="72"/>
        <v>8581677.4834148586</v>
      </c>
      <c r="P246" s="21">
        <f t="shared" si="72"/>
        <v>10520641.702105626</v>
      </c>
      <c r="Q246" s="21">
        <f t="shared" si="72"/>
        <v>12735054.309097096</v>
      </c>
      <c r="R246" s="21">
        <f t="shared" si="72"/>
        <v>15234968.427670598</v>
      </c>
      <c r="S246" s="21">
        <f t="shared" si="72"/>
        <v>20225965.079376809</v>
      </c>
      <c r="T246" s="21">
        <f t="shared" si="72"/>
        <v>25289173.381950043</v>
      </c>
      <c r="U246" s="21">
        <f t="shared" si="72"/>
        <v>30239975.938359357</v>
      </c>
      <c r="V246" s="21">
        <f t="shared" si="72"/>
        <v>34929356.598700434</v>
      </c>
      <c r="W246" s="21">
        <f t="shared" si="72"/>
        <v>37620517.672813557</v>
      </c>
      <c r="X246" s="21">
        <f t="shared" si="72"/>
        <v>40210063.489587814</v>
      </c>
      <c r="Y246" s="21">
        <f t="shared" si="72"/>
        <v>42751956.613917388</v>
      </c>
      <c r="Z246" s="21">
        <f t="shared" si="72"/>
        <v>45288096.907000899</v>
      </c>
      <c r="AA246" s="21">
        <f t="shared" si="72"/>
        <v>47851408.59914168</v>
      </c>
      <c r="AB246" s="21">
        <f t="shared" si="72"/>
        <v>50468159.164191812</v>
      </c>
    </row>
    <row r="247" spans="2:28">
      <c r="B247" s="18" t="s">
        <v>343</v>
      </c>
      <c r="H247" s="19">
        <f>H202</f>
        <v>163000</v>
      </c>
      <c r="I247" s="19">
        <f t="shared" ref="I247:AB247" si="73">I202</f>
        <v>168000</v>
      </c>
      <c r="J247" s="19">
        <f t="shared" si="73"/>
        <v>181000</v>
      </c>
      <c r="K247" s="19">
        <f t="shared" si="73"/>
        <v>270000</v>
      </c>
      <c r="L247" s="19">
        <f t="shared" si="73"/>
        <v>287000</v>
      </c>
      <c r="M247" s="19">
        <f t="shared" si="73"/>
        <v>262030.67597518643</v>
      </c>
      <c r="N247" s="19">
        <f t="shared" si="73"/>
        <v>326700.54475519032</v>
      </c>
      <c r="O247" s="19">
        <f t="shared" si="73"/>
        <v>410763.88504226448</v>
      </c>
      <c r="P247" s="19">
        <f t="shared" si="73"/>
        <v>510582.55266187823</v>
      </c>
      <c r="Q247" s="19">
        <f t="shared" si="73"/>
        <v>627659.98945710261</v>
      </c>
      <c r="R247" s="19">
        <f t="shared" si="73"/>
        <v>763398.36157699232</v>
      </c>
      <c r="S247" s="19">
        <f t="shared" si="73"/>
        <v>919063.62222538306</v>
      </c>
      <c r="T247" s="19">
        <f t="shared" si="73"/>
        <v>1095754.5329268095</v>
      </c>
      <c r="U247" s="19">
        <f t="shared" si="73"/>
        <v>1288521.2300899916</v>
      </c>
      <c r="V247" s="19">
        <f t="shared" si="73"/>
        <v>1492454.9970005439</v>
      </c>
      <c r="W247" s="19">
        <f t="shared" si="73"/>
        <v>1703080.0281571934</v>
      </c>
      <c r="X247" s="19">
        <f t="shared" si="73"/>
        <v>1916555.9725731965</v>
      </c>
      <c r="Y247" s="19">
        <f t="shared" si="73"/>
        <v>2133459.1009623981</v>
      </c>
      <c r="Z247" s="19">
        <f t="shared" si="73"/>
        <v>2354370.0041975519</v>
      </c>
      <c r="AA247" s="19">
        <f t="shared" si="73"/>
        <v>2579875.1925113895</v>
      </c>
      <c r="AB247" s="19">
        <f t="shared" si="73"/>
        <v>2810568.6965458738</v>
      </c>
    </row>
    <row r="248" spans="2:28">
      <c r="B248" s="18" t="s">
        <v>219</v>
      </c>
      <c r="H248" s="21">
        <f>H207</f>
        <v>0</v>
      </c>
      <c r="I248" s="21">
        <f t="shared" ref="I248:AB248" si="74">I207</f>
        <v>0</v>
      </c>
      <c r="J248" s="21">
        <f t="shared" si="74"/>
        <v>0</v>
      </c>
      <c r="K248" s="21">
        <f t="shared" si="74"/>
        <v>0</v>
      </c>
      <c r="L248" s="21">
        <f t="shared" si="74"/>
        <v>-67000</v>
      </c>
      <c r="M248" s="21">
        <f t="shared" si="74"/>
        <v>-193333.33333333331</v>
      </c>
      <c r="N248" s="21">
        <f t="shared" si="74"/>
        <v>0</v>
      </c>
      <c r="O248" s="21">
        <f t="shared" si="74"/>
        <v>0</v>
      </c>
      <c r="P248" s="21">
        <f t="shared" si="74"/>
        <v>0</v>
      </c>
      <c r="Q248" s="21">
        <f t="shared" si="74"/>
        <v>0</v>
      </c>
      <c r="R248" s="21">
        <f t="shared" si="74"/>
        <v>0</v>
      </c>
      <c r="S248" s="21">
        <f t="shared" si="74"/>
        <v>0</v>
      </c>
      <c r="T248" s="21">
        <f t="shared" si="74"/>
        <v>0</v>
      </c>
      <c r="U248" s="21">
        <f t="shared" si="74"/>
        <v>0</v>
      </c>
      <c r="V248" s="21">
        <f t="shared" si="74"/>
        <v>0</v>
      </c>
      <c r="W248" s="21">
        <f t="shared" si="74"/>
        <v>0</v>
      </c>
      <c r="X248" s="21">
        <f t="shared" si="74"/>
        <v>0</v>
      </c>
      <c r="Y248" s="21">
        <f t="shared" si="74"/>
        <v>0</v>
      </c>
      <c r="Z248" s="21">
        <f t="shared" si="74"/>
        <v>0</v>
      </c>
      <c r="AA248" s="21">
        <f t="shared" si="74"/>
        <v>0</v>
      </c>
      <c r="AB248" s="21">
        <f t="shared" si="74"/>
        <v>0</v>
      </c>
    </row>
    <row r="249" spans="2:28" ht="15" thickBot="1">
      <c r="C249" s="35" t="s">
        <v>344</v>
      </c>
      <c r="D249" s="35"/>
      <c r="E249" s="35"/>
      <c r="F249" s="35"/>
      <c r="G249" s="35"/>
      <c r="H249" s="48">
        <f>H245-H246-H247-H248</f>
        <v>837000</v>
      </c>
      <c r="I249" s="48">
        <f t="shared" ref="I249:AB249" si="75">I245-I246-I247-I248</f>
        <v>852000</v>
      </c>
      <c r="J249" s="48">
        <f t="shared" si="75"/>
        <v>298999.75</v>
      </c>
      <c r="K249" s="48">
        <f t="shared" si="75"/>
        <v>2410000</v>
      </c>
      <c r="L249" s="48">
        <f t="shared" si="75"/>
        <v>4420000</v>
      </c>
      <c r="M249" s="48">
        <f t="shared" si="75"/>
        <v>7433206.1460335394</v>
      </c>
      <c r="N249" s="48">
        <f t="shared" si="75"/>
        <v>9366244.4075529762</v>
      </c>
      <c r="O249" s="48">
        <f t="shared" si="75"/>
        <v>14871911.386174649</v>
      </c>
      <c r="P249" s="48">
        <f t="shared" si="75"/>
        <v>19712147.370164607</v>
      </c>
      <c r="Q249" s="48">
        <f t="shared" si="75"/>
        <v>25529265.608957361</v>
      </c>
      <c r="R249" s="48">
        <f t="shared" si="75"/>
        <v>32400196.383183639</v>
      </c>
      <c r="S249" s="48">
        <f t="shared" si="75"/>
        <v>34513318.946693718</v>
      </c>
      <c r="T249" s="48">
        <f t="shared" si="75"/>
        <v>35617099.545555703</v>
      </c>
      <c r="U249" s="48">
        <f t="shared" si="75"/>
        <v>35843063.378670685</v>
      </c>
      <c r="V249" s="48">
        <f t="shared" si="75"/>
        <v>48438475.781011671</v>
      </c>
      <c r="W249" s="48">
        <f t="shared" si="75"/>
        <v>49779704.044577494</v>
      </c>
      <c r="X249" s="48">
        <f t="shared" si="75"/>
        <v>51431847.370664679</v>
      </c>
      <c r="Y249" s="48">
        <f t="shared" si="75"/>
        <v>53350974.459587209</v>
      </c>
      <c r="Z249" s="48">
        <f t="shared" si="75"/>
        <v>55505742.771991864</v>
      </c>
      <c r="AA249" s="48">
        <f t="shared" si="75"/>
        <v>57874336.375696808</v>
      </c>
      <c r="AB249" s="48">
        <f t="shared" si="75"/>
        <v>60442173.314979665</v>
      </c>
    </row>
    <row r="250" spans="2:28">
      <c r="B250" s="18" t="s">
        <v>345</v>
      </c>
      <c r="H250" s="21">
        <f>H231</f>
        <v>92000</v>
      </c>
      <c r="I250" s="21">
        <f t="shared" ref="I250:AB250" si="76">I231</f>
        <v>141000</v>
      </c>
      <c r="J250" s="21">
        <f t="shared" si="76"/>
        <v>210000</v>
      </c>
      <c r="K250" s="21">
        <f t="shared" si="76"/>
        <v>459000</v>
      </c>
      <c r="L250" s="21">
        <f t="shared" si="76"/>
        <v>484000</v>
      </c>
      <c r="M250" s="21">
        <f t="shared" si="76"/>
        <v>415755.24997707317</v>
      </c>
      <c r="N250" s="21">
        <f t="shared" si="76"/>
        <v>0</v>
      </c>
      <c r="O250" s="21">
        <f t="shared" si="76"/>
        <v>0</v>
      </c>
      <c r="P250" s="21">
        <f t="shared" si="76"/>
        <v>0</v>
      </c>
      <c r="Q250" s="21">
        <f t="shared" si="76"/>
        <v>0</v>
      </c>
      <c r="R250" s="21">
        <f t="shared" si="76"/>
        <v>0</v>
      </c>
      <c r="S250" s="21">
        <f t="shared" si="76"/>
        <v>0</v>
      </c>
      <c r="T250" s="21">
        <f t="shared" si="76"/>
        <v>0</v>
      </c>
      <c r="U250" s="21">
        <f t="shared" si="76"/>
        <v>0</v>
      </c>
      <c r="V250" s="21">
        <f t="shared" si="76"/>
        <v>0</v>
      </c>
      <c r="W250" s="21">
        <f t="shared" si="76"/>
        <v>0</v>
      </c>
      <c r="X250" s="21">
        <f t="shared" si="76"/>
        <v>0</v>
      </c>
      <c r="Y250" s="21">
        <f t="shared" si="76"/>
        <v>0</v>
      </c>
      <c r="Z250" s="21">
        <f t="shared" si="76"/>
        <v>0</v>
      </c>
      <c r="AA250" s="21">
        <f t="shared" si="76"/>
        <v>0</v>
      </c>
      <c r="AB250" s="21">
        <f t="shared" si="76"/>
        <v>0</v>
      </c>
    </row>
    <row r="251" spans="2:28">
      <c r="B251" s="18" t="s">
        <v>346</v>
      </c>
      <c r="H251" s="21">
        <f>H235</f>
        <v>40000</v>
      </c>
      <c r="I251" s="21">
        <f t="shared" ref="I251:AB251" si="77">I235</f>
        <v>38000</v>
      </c>
      <c r="J251" s="21">
        <f t="shared" si="77"/>
        <v>39000</v>
      </c>
      <c r="K251" s="21">
        <f t="shared" si="77"/>
        <v>50000</v>
      </c>
      <c r="L251" s="21">
        <f t="shared" si="77"/>
        <v>100000</v>
      </c>
      <c r="M251" s="21">
        <f t="shared" si="77"/>
        <v>100000</v>
      </c>
      <c r="N251" s="21">
        <f t="shared" si="77"/>
        <v>28604.469854670548</v>
      </c>
      <c r="O251" s="21">
        <f t="shared" si="77"/>
        <v>41912.40953600275</v>
      </c>
      <c r="P251" s="21">
        <f t="shared" si="77"/>
        <v>56501.317389593831</v>
      </c>
      <c r="Q251" s="21">
        <f t="shared" si="77"/>
        <v>79106.014532311747</v>
      </c>
      <c r="R251" s="21">
        <f t="shared" si="77"/>
        <v>111792.14652360915</v>
      </c>
      <c r="S251" s="21">
        <f t="shared" si="77"/>
        <v>123892.63386588392</v>
      </c>
      <c r="T251" s="21">
        <f t="shared" si="77"/>
        <v>140584.52687600109</v>
      </c>
      <c r="U251" s="21">
        <f t="shared" si="77"/>
        <v>157641.85522621061</v>
      </c>
      <c r="V251" s="21">
        <f t="shared" si="77"/>
        <v>175359.62587942451</v>
      </c>
      <c r="W251" s="21">
        <f t="shared" si="77"/>
        <v>240689.21999832781</v>
      </c>
      <c r="X251" s="21">
        <f t="shared" si="77"/>
        <v>316372.50626540312</v>
      </c>
      <c r="Y251" s="21">
        <f t="shared" si="77"/>
        <v>397184.58618810202</v>
      </c>
      <c r="Z251" s="21">
        <f t="shared" si="77"/>
        <v>483131.31646225846</v>
      </c>
      <c r="AA251" s="21">
        <f t="shared" si="77"/>
        <v>574279.76490444958</v>
      </c>
      <c r="AB251" s="21">
        <f t="shared" si="77"/>
        <v>670746.14634796244</v>
      </c>
    </row>
    <row r="252" spans="2:28">
      <c r="B252" s="18" t="s">
        <v>347</v>
      </c>
      <c r="H252" s="21">
        <f>H205</f>
        <v>-239000</v>
      </c>
      <c r="I252" s="21">
        <f t="shared" ref="I252:AB252" si="78">I205</f>
        <v>-250000</v>
      </c>
      <c r="J252" s="21">
        <f t="shared" si="78"/>
        <v>-251000</v>
      </c>
      <c r="K252" s="21">
        <f t="shared" si="78"/>
        <v>-427000</v>
      </c>
      <c r="L252" s="21">
        <f t="shared" si="78"/>
        <v>-144000</v>
      </c>
      <c r="M252" s="21">
        <f t="shared" si="78"/>
        <v>93333.333333333343</v>
      </c>
      <c r="N252" s="21">
        <f t="shared" si="78"/>
        <v>-262200</v>
      </c>
      <c r="O252" s="21">
        <f t="shared" si="78"/>
        <v>-262200</v>
      </c>
      <c r="P252" s="21">
        <f t="shared" si="78"/>
        <v>-262200</v>
      </c>
      <c r="Q252" s="21">
        <f t="shared" si="78"/>
        <v>-262200</v>
      </c>
      <c r="R252" s="21">
        <f t="shared" si="78"/>
        <v>-262200</v>
      </c>
      <c r="S252" s="21">
        <f t="shared" si="78"/>
        <v>-262200</v>
      </c>
      <c r="T252" s="21">
        <f t="shared" si="78"/>
        <v>-262200</v>
      </c>
      <c r="U252" s="21">
        <f t="shared" si="78"/>
        <v>-262200</v>
      </c>
      <c r="V252" s="21">
        <f t="shared" si="78"/>
        <v>-262200</v>
      </c>
      <c r="W252" s="21">
        <f t="shared" si="78"/>
        <v>-262200</v>
      </c>
      <c r="X252" s="21">
        <f t="shared" si="78"/>
        <v>-262200</v>
      </c>
      <c r="Y252" s="21">
        <f t="shared" si="78"/>
        <v>-262200</v>
      </c>
      <c r="Z252" s="21">
        <f t="shared" si="78"/>
        <v>-262200</v>
      </c>
      <c r="AA252" s="21">
        <f t="shared" si="78"/>
        <v>-262200</v>
      </c>
      <c r="AB252" s="21">
        <f t="shared" si="78"/>
        <v>-262200</v>
      </c>
    </row>
    <row r="253" spans="2:28" ht="15" thickBot="1">
      <c r="C253" s="35" t="s">
        <v>348</v>
      </c>
      <c r="D253" s="35"/>
      <c r="E253" s="35"/>
      <c r="F253" s="35"/>
      <c r="G253" s="35"/>
      <c r="H253" s="48">
        <f>H249-H250+H251+H252</f>
        <v>546000</v>
      </c>
      <c r="I253" s="48">
        <f t="shared" ref="I253:AB253" si="79">I249-I250+I251+I252</f>
        <v>499000</v>
      </c>
      <c r="J253" s="48">
        <f t="shared" si="79"/>
        <v>-123000.25</v>
      </c>
      <c r="K253" s="48">
        <f t="shared" si="79"/>
        <v>1574000</v>
      </c>
      <c r="L253" s="48">
        <f t="shared" si="79"/>
        <v>3892000</v>
      </c>
      <c r="M253" s="48">
        <f t="shared" si="79"/>
        <v>7210784.2293897988</v>
      </c>
      <c r="N253" s="48">
        <f t="shared" si="79"/>
        <v>9132648.8774076458</v>
      </c>
      <c r="O253" s="48">
        <f t="shared" si="79"/>
        <v>14651623.795710651</v>
      </c>
      <c r="P253" s="48">
        <f t="shared" si="79"/>
        <v>19506448.687554199</v>
      </c>
      <c r="Q253" s="48">
        <f t="shared" si="79"/>
        <v>25346171.623489674</v>
      </c>
      <c r="R253" s="48">
        <f t="shared" si="79"/>
        <v>32249788.529707249</v>
      </c>
      <c r="S253" s="48">
        <f t="shared" si="79"/>
        <v>34375011.580559604</v>
      </c>
      <c r="T253" s="48">
        <f t="shared" si="79"/>
        <v>35495484.072431706</v>
      </c>
      <c r="U253" s="48">
        <f t="shared" si="79"/>
        <v>35738505.233896896</v>
      </c>
      <c r="V253" s="48">
        <f t="shared" si="79"/>
        <v>48351635.406891093</v>
      </c>
      <c r="W253" s="48">
        <f t="shared" si="79"/>
        <v>49758193.264575824</v>
      </c>
      <c r="X253" s="48">
        <f t="shared" si="79"/>
        <v>51486019.87693008</v>
      </c>
      <c r="Y253" s="48">
        <f t="shared" si="79"/>
        <v>53485959.045775309</v>
      </c>
      <c r="Z253" s="48">
        <f t="shared" si="79"/>
        <v>55726674.08845412</v>
      </c>
      <c r="AA253" s="48">
        <f t="shared" si="79"/>
        <v>58186416.140601255</v>
      </c>
      <c r="AB253" s="48">
        <f t="shared" si="79"/>
        <v>60850719.461327627</v>
      </c>
    </row>
    <row r="254" spans="2:28">
      <c r="B254" s="18" t="s">
        <v>181</v>
      </c>
      <c r="H254" s="20">
        <f>'Amazon Assumptions'!I47</f>
        <v>0.78388278388278387</v>
      </c>
      <c r="I254" s="20">
        <f>'Amazon Assumptions'!J47</f>
        <v>0.32264529058116231</v>
      </c>
      <c r="J254" s="20">
        <f>'Amazon Assumptions'!K47</f>
        <v>-1.3577208176406146</v>
      </c>
      <c r="K254" s="20">
        <f>'Amazon Assumptions'!L47</f>
        <v>0.60355781448538759</v>
      </c>
      <c r="L254" s="20">
        <f>'Amazon Assumptions'!M47</f>
        <v>0.36742034943473795</v>
      </c>
      <c r="M254" s="20">
        <f>'Amazon Assumptions'!N47</f>
        <v>0.36742034943473795</v>
      </c>
      <c r="N254" s="20">
        <f>'Amazon Assumptions'!O47</f>
        <v>0.36742034943473795</v>
      </c>
      <c r="O254" s="20">
        <f>'Amazon Assumptions'!P47</f>
        <v>0.36742034943473795</v>
      </c>
      <c r="P254" s="20">
        <f>'Amazon Assumptions'!Q47</f>
        <v>0.36742034943473795</v>
      </c>
      <c r="Q254" s="20">
        <f>'Amazon Assumptions'!R47</f>
        <v>0.36742034943473795</v>
      </c>
      <c r="R254" s="20">
        <f>'Amazon Assumptions'!S47</f>
        <v>0.36742034943473795</v>
      </c>
      <c r="S254" s="20">
        <f>'Amazon Assumptions'!T47</f>
        <v>0.36742034943473795</v>
      </c>
      <c r="T254" s="20">
        <f>'Amazon Assumptions'!U47</f>
        <v>0.36742034943473795</v>
      </c>
      <c r="U254" s="20">
        <f>'Amazon Assumptions'!V47</f>
        <v>0.36742034943473795</v>
      </c>
      <c r="V254" s="20">
        <f>'Amazon Assumptions'!W47</f>
        <v>0.36742034943473795</v>
      </c>
      <c r="W254" s="20">
        <f>'Amazon Assumptions'!X47</f>
        <v>0.36742034943473795</v>
      </c>
      <c r="X254" s="20">
        <f>'Amazon Assumptions'!Y47</f>
        <v>0.36742034943473795</v>
      </c>
      <c r="Y254" s="20">
        <f>'Amazon Assumptions'!Z47</f>
        <v>0.36742034943473795</v>
      </c>
      <c r="Z254" s="20">
        <f>'Amazon Assumptions'!AA47</f>
        <v>0.36742034943473795</v>
      </c>
      <c r="AA254" s="20">
        <f>'Amazon Assumptions'!AB47</f>
        <v>0.36742034943473795</v>
      </c>
      <c r="AB254" s="20">
        <f>'Amazon Assumptions'!AC47</f>
        <v>0.36742034943473795</v>
      </c>
    </row>
    <row r="255" spans="2:28">
      <c r="B255" s="18" t="s">
        <v>349</v>
      </c>
      <c r="H255" s="19">
        <f>IF(H5,H31,H254*H253)</f>
        <v>428000</v>
      </c>
      <c r="I255" s="19">
        <f t="shared" ref="I255:AB255" si="80">IF(I5,I31,I254*I253)</f>
        <v>161000</v>
      </c>
      <c r="J255" s="19">
        <f t="shared" si="80"/>
        <v>167000</v>
      </c>
      <c r="K255" s="19">
        <f t="shared" si="80"/>
        <v>950000</v>
      </c>
      <c r="L255" s="19">
        <f t="shared" si="80"/>
        <v>1430000</v>
      </c>
      <c r="M255" s="19">
        <f t="shared" si="80"/>
        <v>2649388.8612608975</v>
      </c>
      <c r="N255" s="19">
        <f t="shared" si="80"/>
        <v>3355521.0418018843</v>
      </c>
      <c r="O255" s="19">
        <f t="shared" si="80"/>
        <v>5383304.734806329</v>
      </c>
      <c r="P255" s="19">
        <f t="shared" si="80"/>
        <v>7167066.1930119498</v>
      </c>
      <c r="Q255" s="19">
        <f t="shared" si="80"/>
        <v>9312699.2347354144</v>
      </c>
      <c r="R255" s="19">
        <f t="shared" si="80"/>
        <v>11849228.570781441</v>
      </c>
      <c r="S255" s="19">
        <f t="shared" si="80"/>
        <v>12630078.766752373</v>
      </c>
      <c r="T255" s="19">
        <f t="shared" si="80"/>
        <v>13041763.161248032</v>
      </c>
      <c r="U255" s="19">
        <f t="shared" si="80"/>
        <v>13131054.081313608</v>
      </c>
      <c r="V255" s="19">
        <f t="shared" si="80"/>
        <v>17765374.776940972</v>
      </c>
      <c r="W255" s="19">
        <f t="shared" si="80"/>
        <v>18282172.756511673</v>
      </c>
      <c r="X255" s="19">
        <f t="shared" si="80"/>
        <v>18917011.414185513</v>
      </c>
      <c r="Y255" s="19">
        <f t="shared" si="80"/>
        <v>19651829.762450848</v>
      </c>
      <c r="Z255" s="19">
        <f t="shared" si="80"/>
        <v>20475114.066415571</v>
      </c>
      <c r="AA255" s="19">
        <f t="shared" si="80"/>
        <v>21378873.350734789</v>
      </c>
      <c r="AB255" s="19">
        <f t="shared" si="80"/>
        <v>22357792.607836206</v>
      </c>
    </row>
    <row r="256" spans="2:28">
      <c r="B256" s="18" t="s">
        <v>332</v>
      </c>
      <c r="H256" s="21">
        <f>H208</f>
        <v>-157000</v>
      </c>
      <c r="I256" s="21">
        <f t="shared" ref="I256:AB256" si="81">I208</f>
        <v>-64000</v>
      </c>
      <c r="J256" s="21">
        <f t="shared" si="81"/>
        <v>49000.25</v>
      </c>
      <c r="K256" s="21">
        <f t="shared" si="81"/>
        <v>-28000</v>
      </c>
      <c r="L256" s="21">
        <f t="shared" si="81"/>
        <v>-92000</v>
      </c>
      <c r="M256" s="21">
        <f t="shared" si="81"/>
        <v>-58399.95</v>
      </c>
      <c r="N256" s="21">
        <f t="shared" si="81"/>
        <v>-58399.95</v>
      </c>
      <c r="O256" s="21">
        <f t="shared" si="81"/>
        <v>-58399.95</v>
      </c>
      <c r="P256" s="21">
        <f t="shared" si="81"/>
        <v>-58399.95</v>
      </c>
      <c r="Q256" s="21">
        <f t="shared" si="81"/>
        <v>-58399.95</v>
      </c>
      <c r="R256" s="21">
        <f t="shared" si="81"/>
        <v>-58399.95</v>
      </c>
      <c r="S256" s="21">
        <f t="shared" si="81"/>
        <v>-58399.95</v>
      </c>
      <c r="T256" s="21">
        <f t="shared" si="81"/>
        <v>-58399.95</v>
      </c>
      <c r="U256" s="21">
        <f t="shared" si="81"/>
        <v>-58399.95</v>
      </c>
      <c r="V256" s="21">
        <f t="shared" si="81"/>
        <v>-58399.95</v>
      </c>
      <c r="W256" s="21">
        <f t="shared" si="81"/>
        <v>-58399.95</v>
      </c>
      <c r="X256" s="21">
        <f t="shared" si="81"/>
        <v>-58399.95</v>
      </c>
      <c r="Y256" s="21">
        <f t="shared" si="81"/>
        <v>-58399.95</v>
      </c>
      <c r="Z256" s="21">
        <f t="shared" si="81"/>
        <v>-58399.95</v>
      </c>
      <c r="AA256" s="21">
        <f t="shared" si="81"/>
        <v>-58399.95</v>
      </c>
      <c r="AB256" s="21">
        <f t="shared" si="81"/>
        <v>-58399.95</v>
      </c>
    </row>
    <row r="257" spans="1:28" ht="15" thickBot="1">
      <c r="C257" s="35" t="s">
        <v>234</v>
      </c>
      <c r="D257" s="35"/>
      <c r="E257" s="35"/>
      <c r="F257" s="35"/>
      <c r="G257" s="35"/>
      <c r="H257" s="48">
        <f>H253-H255+H256</f>
        <v>-39000</v>
      </c>
      <c r="I257" s="48">
        <f t="shared" ref="I257:AB257" si="82">I253-I255+I256</f>
        <v>274000</v>
      </c>
      <c r="J257" s="48">
        <f t="shared" si="82"/>
        <v>-241000</v>
      </c>
      <c r="K257" s="48">
        <f t="shared" si="82"/>
        <v>596000</v>
      </c>
      <c r="L257" s="48">
        <f t="shared" si="82"/>
        <v>2370000</v>
      </c>
      <c r="M257" s="48">
        <f t="shared" si="82"/>
        <v>4502995.4181289012</v>
      </c>
      <c r="N257" s="48">
        <f t="shared" si="82"/>
        <v>5718727.8856057609</v>
      </c>
      <c r="O257" s="48">
        <f t="shared" si="82"/>
        <v>9209919.1109043229</v>
      </c>
      <c r="P257" s="48">
        <f t="shared" si="82"/>
        <v>12280982.544542249</v>
      </c>
      <c r="Q257" s="48">
        <f t="shared" si="82"/>
        <v>15975072.438754261</v>
      </c>
      <c r="R257" s="48">
        <f t="shared" si="82"/>
        <v>20342160.008925807</v>
      </c>
      <c r="S257" s="48">
        <f t="shared" si="82"/>
        <v>21686532.863807231</v>
      </c>
      <c r="T257" s="48">
        <f t="shared" si="82"/>
        <v>22395320.961183675</v>
      </c>
      <c r="U257" s="48">
        <f t="shared" si="82"/>
        <v>22549051.202583287</v>
      </c>
      <c r="V257" s="48">
        <f t="shared" si="82"/>
        <v>30527860.679950122</v>
      </c>
      <c r="W257" s="48">
        <f t="shared" si="82"/>
        <v>31417620.558064152</v>
      </c>
      <c r="X257" s="48">
        <f t="shared" si="82"/>
        <v>32510608.512744568</v>
      </c>
      <c r="Y257" s="48">
        <f t="shared" si="82"/>
        <v>33775729.333324462</v>
      </c>
      <c r="Z257" s="48">
        <f t="shared" si="82"/>
        <v>35193160.072038546</v>
      </c>
      <c r="AA257" s="48">
        <f t="shared" si="82"/>
        <v>36749142.839866459</v>
      </c>
      <c r="AB257" s="48">
        <f t="shared" si="82"/>
        <v>38434526.903491423</v>
      </c>
    </row>
    <row r="259" spans="1:28">
      <c r="C259" s="18" t="s">
        <v>1</v>
      </c>
      <c r="H259" s="21">
        <f>IF(H5,H45,G259)</f>
        <v>453000</v>
      </c>
      <c r="I259" s="21">
        <f t="shared" ref="I259:AB259" si="83">IF(I5,I45,H259)</f>
        <v>457000</v>
      </c>
      <c r="J259" s="21">
        <f t="shared" si="83"/>
        <v>462000</v>
      </c>
      <c r="K259" s="21">
        <f t="shared" si="83"/>
        <v>467000</v>
      </c>
      <c r="L259" s="21">
        <f t="shared" si="83"/>
        <v>474000</v>
      </c>
      <c r="M259" s="21">
        <f t="shared" si="83"/>
        <v>474000</v>
      </c>
      <c r="N259" s="21">
        <f t="shared" si="83"/>
        <v>474000</v>
      </c>
      <c r="O259" s="21">
        <f t="shared" si="83"/>
        <v>474000</v>
      </c>
      <c r="P259" s="21">
        <f t="shared" si="83"/>
        <v>474000</v>
      </c>
      <c r="Q259" s="21">
        <f t="shared" si="83"/>
        <v>474000</v>
      </c>
      <c r="R259" s="21">
        <f t="shared" si="83"/>
        <v>474000</v>
      </c>
      <c r="S259" s="21">
        <f t="shared" si="83"/>
        <v>474000</v>
      </c>
      <c r="T259" s="21">
        <f t="shared" si="83"/>
        <v>474000</v>
      </c>
      <c r="U259" s="21">
        <f t="shared" si="83"/>
        <v>474000</v>
      </c>
      <c r="V259" s="21">
        <f t="shared" si="83"/>
        <v>474000</v>
      </c>
      <c r="W259" s="21">
        <f t="shared" si="83"/>
        <v>474000</v>
      </c>
      <c r="X259" s="21">
        <f t="shared" si="83"/>
        <v>474000</v>
      </c>
      <c r="Y259" s="21">
        <f t="shared" si="83"/>
        <v>474000</v>
      </c>
      <c r="Z259" s="21">
        <f t="shared" si="83"/>
        <v>474000</v>
      </c>
      <c r="AA259" s="21">
        <f t="shared" si="83"/>
        <v>474000</v>
      </c>
      <c r="AB259" s="21">
        <f t="shared" si="83"/>
        <v>474000</v>
      </c>
    </row>
    <row r="260" spans="1:28">
      <c r="C260" s="18" t="s">
        <v>350</v>
      </c>
      <c r="H260" s="34">
        <f>H257/H259</f>
        <v>-8.6092715231788075E-2</v>
      </c>
      <c r="I260" s="34">
        <f t="shared" ref="I260:AB260" si="84">I257/I259</f>
        <v>0.59956236323851209</v>
      </c>
      <c r="J260" s="34">
        <f t="shared" si="84"/>
        <v>-0.52164502164502169</v>
      </c>
      <c r="K260" s="34">
        <f t="shared" si="84"/>
        <v>1.2762312633832977</v>
      </c>
      <c r="L260" s="34">
        <f t="shared" si="84"/>
        <v>5</v>
      </c>
      <c r="M260" s="34">
        <f t="shared" si="84"/>
        <v>9.4999903336052771</v>
      </c>
      <c r="N260" s="34">
        <f t="shared" si="84"/>
        <v>12.064826762881353</v>
      </c>
      <c r="O260" s="34">
        <f t="shared" si="84"/>
        <v>19.43020909473486</v>
      </c>
      <c r="P260" s="34">
        <f t="shared" si="84"/>
        <v>25.909245874561709</v>
      </c>
      <c r="Q260" s="34">
        <f t="shared" si="84"/>
        <v>33.702684469945694</v>
      </c>
      <c r="R260" s="34">
        <f t="shared" si="84"/>
        <v>42.915949385919426</v>
      </c>
      <c r="S260" s="34">
        <f t="shared" si="84"/>
        <v>45.752179037567998</v>
      </c>
      <c r="T260" s="34">
        <f t="shared" si="84"/>
        <v>47.247512576336867</v>
      </c>
      <c r="U260" s="34">
        <f t="shared" si="84"/>
        <v>47.571837980133516</v>
      </c>
      <c r="V260" s="34">
        <f t="shared" si="84"/>
        <v>64.404769366983373</v>
      </c>
      <c r="W260" s="34">
        <f t="shared" si="84"/>
        <v>66.281899911527745</v>
      </c>
      <c r="X260" s="34">
        <f t="shared" si="84"/>
        <v>68.587781672456899</v>
      </c>
      <c r="Y260" s="34">
        <f t="shared" si="84"/>
        <v>71.256812939503078</v>
      </c>
      <c r="Z260" s="34">
        <f t="shared" si="84"/>
        <v>74.247173147760648</v>
      </c>
      <c r="AA260" s="34">
        <f t="shared" si="84"/>
        <v>77.529837214908142</v>
      </c>
      <c r="AB260" s="34">
        <f t="shared" si="84"/>
        <v>81.08549979639541</v>
      </c>
    </row>
    <row r="262" spans="1:28">
      <c r="C262" s="18" t="s">
        <v>351</v>
      </c>
      <c r="G262" s="18" t="b">
        <f>AND(H262:AB262)</f>
        <v>1</v>
      </c>
      <c r="H262" s="61" t="b">
        <f>IF(H5,H253=H30,TRUE)</f>
        <v>1</v>
      </c>
      <c r="I262" s="61" t="b">
        <f t="shared" ref="I262:AB262" si="85">IF(I5,I253=I30,TRUE)</f>
        <v>1</v>
      </c>
      <c r="J262" s="61" t="b">
        <f t="shared" si="85"/>
        <v>1</v>
      </c>
      <c r="K262" s="61" t="b">
        <f t="shared" si="85"/>
        <v>1</v>
      </c>
      <c r="L262" s="61" t="b">
        <f t="shared" si="85"/>
        <v>1</v>
      </c>
      <c r="M262" s="61" t="b">
        <f t="shared" si="85"/>
        <v>1</v>
      </c>
      <c r="N262" s="61" t="b">
        <f t="shared" si="85"/>
        <v>1</v>
      </c>
      <c r="O262" s="61" t="b">
        <f t="shared" si="85"/>
        <v>1</v>
      </c>
      <c r="P262" s="61" t="b">
        <f t="shared" si="85"/>
        <v>1</v>
      </c>
      <c r="Q262" s="61" t="b">
        <f t="shared" si="85"/>
        <v>1</v>
      </c>
      <c r="R262" s="61" t="b">
        <f t="shared" si="85"/>
        <v>1</v>
      </c>
      <c r="S262" s="61" t="b">
        <f t="shared" si="85"/>
        <v>1</v>
      </c>
      <c r="T262" s="61" t="b">
        <f t="shared" si="85"/>
        <v>1</v>
      </c>
      <c r="U262" s="61" t="b">
        <f t="shared" si="85"/>
        <v>1</v>
      </c>
      <c r="V262" s="61" t="b">
        <f t="shared" si="85"/>
        <v>1</v>
      </c>
      <c r="W262" s="61" t="b">
        <f t="shared" si="85"/>
        <v>1</v>
      </c>
      <c r="X262" s="61" t="b">
        <f t="shared" si="85"/>
        <v>1</v>
      </c>
      <c r="Y262" s="61" t="b">
        <f t="shared" si="85"/>
        <v>1</v>
      </c>
      <c r="Z262" s="61" t="b">
        <f t="shared" si="85"/>
        <v>1</v>
      </c>
      <c r="AA262" s="61" t="b">
        <f t="shared" si="85"/>
        <v>1</v>
      </c>
      <c r="AB262" s="61" t="b">
        <f t="shared" si="85"/>
        <v>1</v>
      </c>
    </row>
    <row r="263" spans="1:28">
      <c r="C263" s="18" t="s">
        <v>352</v>
      </c>
      <c r="G263" s="18" t="b">
        <f>AND(H263:AB263)</f>
        <v>1</v>
      </c>
      <c r="H263" s="62" t="b">
        <f>IF(H5,H257=H38,TRUE)</f>
        <v>1</v>
      </c>
      <c r="I263" s="62" t="b">
        <f t="shared" ref="I263:AB263" si="86">IF(I5,I257=I38,TRUE)</f>
        <v>1</v>
      </c>
      <c r="J263" s="62" t="b">
        <f t="shared" si="86"/>
        <v>1</v>
      </c>
      <c r="K263" s="62" t="b">
        <f t="shared" si="86"/>
        <v>1</v>
      </c>
      <c r="L263" s="62" t="b">
        <f t="shared" si="86"/>
        <v>1</v>
      </c>
      <c r="M263" s="62" t="b">
        <f t="shared" si="86"/>
        <v>1</v>
      </c>
      <c r="N263" s="62" t="b">
        <f t="shared" si="86"/>
        <v>1</v>
      </c>
      <c r="O263" s="62" t="b">
        <f t="shared" si="86"/>
        <v>1</v>
      </c>
      <c r="P263" s="62" t="b">
        <f t="shared" si="86"/>
        <v>1</v>
      </c>
      <c r="Q263" s="62" t="b">
        <f t="shared" si="86"/>
        <v>1</v>
      </c>
      <c r="R263" s="62" t="b">
        <f t="shared" si="86"/>
        <v>1</v>
      </c>
      <c r="S263" s="62" t="b">
        <f t="shared" si="86"/>
        <v>1</v>
      </c>
      <c r="T263" s="62" t="b">
        <f t="shared" si="86"/>
        <v>1</v>
      </c>
      <c r="U263" s="62" t="b">
        <f t="shared" si="86"/>
        <v>1</v>
      </c>
      <c r="V263" s="62" t="b">
        <f t="shared" si="86"/>
        <v>1</v>
      </c>
      <c r="W263" s="62" t="b">
        <f t="shared" si="86"/>
        <v>1</v>
      </c>
      <c r="X263" s="62" t="b">
        <f t="shared" si="86"/>
        <v>1</v>
      </c>
      <c r="Y263" s="62" t="b">
        <f t="shared" si="86"/>
        <v>1</v>
      </c>
      <c r="Z263" s="62" t="b">
        <f t="shared" si="86"/>
        <v>1</v>
      </c>
      <c r="AA263" s="62" t="b">
        <f t="shared" si="86"/>
        <v>1</v>
      </c>
      <c r="AB263" s="62" t="b">
        <f t="shared" si="86"/>
        <v>1</v>
      </c>
    </row>
    <row r="265" spans="1:28" s="31" customFormat="1">
      <c r="A265" s="31" t="s">
        <v>353</v>
      </c>
    </row>
    <row r="266" spans="1:28">
      <c r="C266" s="18" t="s">
        <v>8</v>
      </c>
      <c r="H266" s="21">
        <f>H245</f>
        <v>2670000</v>
      </c>
      <c r="I266" s="21">
        <f t="shared" ref="I266:AB266" si="87">I245</f>
        <v>3650000</v>
      </c>
      <c r="J266" s="21">
        <f t="shared" si="87"/>
        <v>4490000</v>
      </c>
      <c r="K266" s="21">
        <f t="shared" si="87"/>
        <v>8060000</v>
      </c>
      <c r="L266" s="21">
        <f t="shared" si="87"/>
        <v>11840000</v>
      </c>
      <c r="M266" s="21">
        <f t="shared" si="87"/>
        <v>16234903.488675393</v>
      </c>
      <c r="N266" s="21">
        <f t="shared" si="87"/>
        <v>18152815.953531034</v>
      </c>
      <c r="O266" s="21">
        <f t="shared" si="87"/>
        <v>23864352.754631773</v>
      </c>
      <c r="P266" s="21">
        <f t="shared" si="87"/>
        <v>30743371.62493211</v>
      </c>
      <c r="Q266" s="21">
        <f t="shared" si="87"/>
        <v>38891979.907511562</v>
      </c>
      <c r="R266" s="21">
        <f t="shared" si="87"/>
        <v>48398563.172431231</v>
      </c>
      <c r="S266" s="21">
        <f t="shared" si="87"/>
        <v>55658347.648295909</v>
      </c>
      <c r="T266" s="21">
        <f t="shared" si="87"/>
        <v>62002027.460432559</v>
      </c>
      <c r="U266" s="21">
        <f t="shared" si="87"/>
        <v>67371560.547120035</v>
      </c>
      <c r="V266" s="21">
        <f t="shared" si="87"/>
        <v>84860287.37671265</v>
      </c>
      <c r="W266" s="21">
        <f t="shared" si="87"/>
        <v>89103301.745548248</v>
      </c>
      <c r="X266" s="21">
        <f t="shared" si="87"/>
        <v>93558466.832825691</v>
      </c>
      <c r="Y266" s="21">
        <f t="shared" si="87"/>
        <v>98236390.174466997</v>
      </c>
      <c r="Z266" s="21">
        <f t="shared" si="87"/>
        <v>103148209.68319032</v>
      </c>
      <c r="AA266" s="21">
        <f t="shared" si="87"/>
        <v>108305620.16734987</v>
      </c>
      <c r="AB266" s="21">
        <f t="shared" si="87"/>
        <v>113720901.17571735</v>
      </c>
    </row>
    <row r="267" spans="1:28">
      <c r="C267" s="18" t="s">
        <v>96</v>
      </c>
      <c r="H267" s="21">
        <f>H255</f>
        <v>428000</v>
      </c>
      <c r="I267" s="21">
        <f t="shared" ref="I267:AB267" si="88">I255</f>
        <v>161000</v>
      </c>
      <c r="J267" s="21">
        <f t="shared" si="88"/>
        <v>167000</v>
      </c>
      <c r="K267" s="21">
        <f t="shared" si="88"/>
        <v>950000</v>
      </c>
      <c r="L267" s="21">
        <f t="shared" si="88"/>
        <v>1430000</v>
      </c>
      <c r="M267" s="21">
        <f t="shared" si="88"/>
        <v>2649388.8612608975</v>
      </c>
      <c r="N267" s="21">
        <f t="shared" si="88"/>
        <v>3355521.0418018843</v>
      </c>
      <c r="O267" s="21">
        <f t="shared" si="88"/>
        <v>5383304.734806329</v>
      </c>
      <c r="P267" s="21">
        <f t="shared" si="88"/>
        <v>7167066.1930119498</v>
      </c>
      <c r="Q267" s="21">
        <f t="shared" si="88"/>
        <v>9312699.2347354144</v>
      </c>
      <c r="R267" s="21">
        <f t="shared" si="88"/>
        <v>11849228.570781441</v>
      </c>
      <c r="S267" s="21">
        <f t="shared" si="88"/>
        <v>12630078.766752373</v>
      </c>
      <c r="T267" s="21">
        <f t="shared" si="88"/>
        <v>13041763.161248032</v>
      </c>
      <c r="U267" s="21">
        <f t="shared" si="88"/>
        <v>13131054.081313608</v>
      </c>
      <c r="V267" s="21">
        <f t="shared" si="88"/>
        <v>17765374.776940972</v>
      </c>
      <c r="W267" s="21">
        <f t="shared" si="88"/>
        <v>18282172.756511673</v>
      </c>
      <c r="X267" s="21">
        <f t="shared" si="88"/>
        <v>18917011.414185513</v>
      </c>
      <c r="Y267" s="21">
        <f t="shared" si="88"/>
        <v>19651829.762450848</v>
      </c>
      <c r="Z267" s="21">
        <f t="shared" si="88"/>
        <v>20475114.066415571</v>
      </c>
      <c r="AA267" s="21">
        <f t="shared" si="88"/>
        <v>21378873.350734789</v>
      </c>
      <c r="AB267" s="21">
        <f t="shared" si="88"/>
        <v>22357792.607836206</v>
      </c>
    </row>
    <row r="268" spans="1:28">
      <c r="C268" s="18" t="s">
        <v>354</v>
      </c>
      <c r="H268" s="21">
        <f>H183</f>
        <v>0</v>
      </c>
      <c r="I268" s="21">
        <f t="shared" ref="I268:AB268" si="89">I183</f>
        <v>-1033000</v>
      </c>
      <c r="J268" s="21">
        <f t="shared" si="89"/>
        <v>-1519998.4999999981</v>
      </c>
      <c r="K268" s="21">
        <f t="shared" si="89"/>
        <v>-4080001.5000000019</v>
      </c>
      <c r="L268" s="21">
        <f t="shared" si="89"/>
        <v>-4160000</v>
      </c>
      <c r="M268" s="21">
        <f t="shared" si="89"/>
        <v>1944898.8615083173</v>
      </c>
      <c r="N268" s="21">
        <f t="shared" si="89"/>
        <v>-4477148.6268491894</v>
      </c>
      <c r="O268" s="21">
        <f t="shared" si="89"/>
        <v>-4208020.744756341</v>
      </c>
      <c r="P268" s="21">
        <f t="shared" si="89"/>
        <v>-4684181.5170198306</v>
      </c>
      <c r="Q268" s="21">
        <f t="shared" si="89"/>
        <v>-5153781.7522782981</v>
      </c>
      <c r="R268" s="21">
        <f t="shared" si="89"/>
        <v>-5608548.8357918337</v>
      </c>
      <c r="S268" s="21">
        <f t="shared" si="89"/>
        <v>-6151017.3922780827</v>
      </c>
      <c r="T268" s="21">
        <f t="shared" si="89"/>
        <v>-5374826.8953739479</v>
      </c>
      <c r="U268" s="21">
        <f t="shared" si="89"/>
        <v>-4549458.94253885</v>
      </c>
      <c r="V268" s="21">
        <f t="shared" si="89"/>
        <v>-1406235.3004176915</v>
      </c>
      <c r="W268" s="21">
        <f t="shared" si="89"/>
        <v>-2924416.057289809</v>
      </c>
      <c r="X268" s="21">
        <f t="shared" si="89"/>
        <v>-3070636.860154286</v>
      </c>
      <c r="Y268" s="21">
        <f t="shared" si="89"/>
        <v>-3224168.7031619847</v>
      </c>
      <c r="Z268" s="21">
        <f t="shared" si="89"/>
        <v>-3385377.1383201182</v>
      </c>
      <c r="AA268" s="21">
        <f t="shared" si="89"/>
        <v>-3554645.9952360988</v>
      </c>
      <c r="AB268" s="21">
        <f t="shared" si="89"/>
        <v>-3732378.2949979007</v>
      </c>
    </row>
    <row r="269" spans="1:28">
      <c r="C269" s="18" t="s">
        <v>355</v>
      </c>
      <c r="H269" s="21">
        <f>H256</f>
        <v>-157000</v>
      </c>
      <c r="I269" s="21">
        <f t="shared" ref="I269:AB269" si="90">I256</f>
        <v>-64000</v>
      </c>
      <c r="J269" s="21">
        <f t="shared" si="90"/>
        <v>49000.25</v>
      </c>
      <c r="K269" s="21">
        <f t="shared" si="90"/>
        <v>-28000</v>
      </c>
      <c r="L269" s="21">
        <f t="shared" si="90"/>
        <v>-92000</v>
      </c>
      <c r="M269" s="21">
        <f t="shared" si="90"/>
        <v>-58399.95</v>
      </c>
      <c r="N269" s="21">
        <f t="shared" si="90"/>
        <v>-58399.95</v>
      </c>
      <c r="O269" s="21">
        <f t="shared" si="90"/>
        <v>-58399.95</v>
      </c>
      <c r="P269" s="21">
        <f t="shared" si="90"/>
        <v>-58399.95</v>
      </c>
      <c r="Q269" s="21">
        <f t="shared" si="90"/>
        <v>-58399.95</v>
      </c>
      <c r="R269" s="21">
        <f t="shared" si="90"/>
        <v>-58399.95</v>
      </c>
      <c r="S269" s="21">
        <f t="shared" si="90"/>
        <v>-58399.95</v>
      </c>
      <c r="T269" s="21">
        <f t="shared" si="90"/>
        <v>-58399.95</v>
      </c>
      <c r="U269" s="21">
        <f t="shared" si="90"/>
        <v>-58399.95</v>
      </c>
      <c r="V269" s="21">
        <f t="shared" si="90"/>
        <v>-58399.95</v>
      </c>
      <c r="W269" s="21">
        <f t="shared" si="90"/>
        <v>-58399.95</v>
      </c>
      <c r="X269" s="21">
        <f t="shared" si="90"/>
        <v>-58399.95</v>
      </c>
      <c r="Y269" s="21">
        <f t="shared" si="90"/>
        <v>-58399.95</v>
      </c>
      <c r="Z269" s="21">
        <f t="shared" si="90"/>
        <v>-58399.95</v>
      </c>
      <c r="AA269" s="21">
        <f t="shared" si="90"/>
        <v>-58399.95</v>
      </c>
      <c r="AB269" s="21">
        <f t="shared" si="90"/>
        <v>-58399.95</v>
      </c>
    </row>
    <row r="270" spans="1:28">
      <c r="C270" s="18" t="s">
        <v>356</v>
      </c>
      <c r="H270" s="21">
        <f>H252</f>
        <v>-239000</v>
      </c>
      <c r="I270" s="21">
        <f t="shared" ref="I270:AB270" si="91">I252</f>
        <v>-250000</v>
      </c>
      <c r="J270" s="21">
        <f t="shared" si="91"/>
        <v>-251000</v>
      </c>
      <c r="K270" s="21">
        <f t="shared" si="91"/>
        <v>-427000</v>
      </c>
      <c r="L270" s="21">
        <f t="shared" si="91"/>
        <v>-144000</v>
      </c>
      <c r="M270" s="21">
        <f t="shared" si="91"/>
        <v>93333.333333333343</v>
      </c>
      <c r="N270" s="21">
        <f t="shared" si="91"/>
        <v>-262200</v>
      </c>
      <c r="O270" s="21">
        <f t="shared" si="91"/>
        <v>-262200</v>
      </c>
      <c r="P270" s="21">
        <f t="shared" si="91"/>
        <v>-262200</v>
      </c>
      <c r="Q270" s="21">
        <f t="shared" si="91"/>
        <v>-262200</v>
      </c>
      <c r="R270" s="21">
        <f t="shared" si="91"/>
        <v>-262200</v>
      </c>
      <c r="S270" s="21">
        <f t="shared" si="91"/>
        <v>-262200</v>
      </c>
      <c r="T270" s="21">
        <f t="shared" si="91"/>
        <v>-262200</v>
      </c>
      <c r="U270" s="21">
        <f t="shared" si="91"/>
        <v>-262200</v>
      </c>
      <c r="V270" s="21">
        <f t="shared" si="91"/>
        <v>-262200</v>
      </c>
      <c r="W270" s="21">
        <f t="shared" si="91"/>
        <v>-262200</v>
      </c>
      <c r="X270" s="21">
        <f t="shared" si="91"/>
        <v>-262200</v>
      </c>
      <c r="Y270" s="21">
        <f t="shared" si="91"/>
        <v>-262200</v>
      </c>
      <c r="Z270" s="21">
        <f t="shared" si="91"/>
        <v>-262200</v>
      </c>
      <c r="AA270" s="21">
        <f t="shared" si="91"/>
        <v>-262200</v>
      </c>
      <c r="AB270" s="21">
        <f t="shared" si="91"/>
        <v>-262200</v>
      </c>
    </row>
    <row r="271" spans="1:28">
      <c r="C271" s="18" t="s">
        <v>357</v>
      </c>
      <c r="H271" s="21">
        <f>H248</f>
        <v>0</v>
      </c>
      <c r="I271" s="21">
        <f t="shared" ref="I271:AB271" si="92">I248</f>
        <v>0</v>
      </c>
      <c r="J271" s="21">
        <f t="shared" si="92"/>
        <v>0</v>
      </c>
      <c r="K271" s="21">
        <f t="shared" si="92"/>
        <v>0</v>
      </c>
      <c r="L271" s="21">
        <f t="shared" si="92"/>
        <v>-67000</v>
      </c>
      <c r="M271" s="21">
        <f t="shared" si="92"/>
        <v>-193333.33333333331</v>
      </c>
      <c r="N271" s="21">
        <f t="shared" si="92"/>
        <v>0</v>
      </c>
      <c r="O271" s="21">
        <f t="shared" si="92"/>
        <v>0</v>
      </c>
      <c r="P271" s="21">
        <f t="shared" si="92"/>
        <v>0</v>
      </c>
      <c r="Q271" s="21">
        <f t="shared" si="92"/>
        <v>0</v>
      </c>
      <c r="R271" s="21">
        <f t="shared" si="92"/>
        <v>0</v>
      </c>
      <c r="S271" s="21">
        <f t="shared" si="92"/>
        <v>0</v>
      </c>
      <c r="T271" s="21">
        <f t="shared" si="92"/>
        <v>0</v>
      </c>
      <c r="U271" s="21">
        <f t="shared" si="92"/>
        <v>0</v>
      </c>
      <c r="V271" s="21">
        <f t="shared" si="92"/>
        <v>0</v>
      </c>
      <c r="W271" s="21">
        <f t="shared" si="92"/>
        <v>0</v>
      </c>
      <c r="X271" s="21">
        <f t="shared" si="92"/>
        <v>0</v>
      </c>
      <c r="Y271" s="21">
        <f t="shared" si="92"/>
        <v>0</v>
      </c>
      <c r="Z271" s="21">
        <f t="shared" si="92"/>
        <v>0</v>
      </c>
      <c r="AA271" s="21">
        <f t="shared" si="92"/>
        <v>0</v>
      </c>
      <c r="AB271" s="21">
        <f t="shared" si="92"/>
        <v>0</v>
      </c>
    </row>
    <row r="272" spans="1:28" ht="15" thickBot="1">
      <c r="D272" s="35" t="s">
        <v>358</v>
      </c>
      <c r="E272" s="35"/>
      <c r="F272" s="35"/>
      <c r="G272" s="35"/>
      <c r="H272" s="48">
        <f>H266-H267-H268+H269+H270-H271</f>
        <v>1846000</v>
      </c>
      <c r="I272" s="48">
        <f t="shared" ref="I272:AB272" si="93">I266-I267-I268+I269+I270-I271</f>
        <v>4208000</v>
      </c>
      <c r="J272" s="48">
        <f t="shared" si="93"/>
        <v>5640998.7499999981</v>
      </c>
      <c r="K272" s="48">
        <f t="shared" si="93"/>
        <v>10735001.500000002</v>
      </c>
      <c r="L272" s="48">
        <f t="shared" si="93"/>
        <v>14401000</v>
      </c>
      <c r="M272" s="48">
        <f t="shared" si="93"/>
        <v>11868882.482572846</v>
      </c>
      <c r="N272" s="48">
        <f t="shared" si="93"/>
        <v>18953843.58857834</v>
      </c>
      <c r="O272" s="48">
        <f t="shared" si="93"/>
        <v>22368468.814581785</v>
      </c>
      <c r="P272" s="48">
        <f t="shared" si="93"/>
        <v>27939886.998939991</v>
      </c>
      <c r="Q272" s="48">
        <f t="shared" si="93"/>
        <v>34412462.475054443</v>
      </c>
      <c r="R272" s="48">
        <f t="shared" si="93"/>
        <v>41837283.487441622</v>
      </c>
      <c r="S272" s="48">
        <f t="shared" si="93"/>
        <v>48858686.323821612</v>
      </c>
      <c r="T272" s="48">
        <f t="shared" si="93"/>
        <v>54014491.244558476</v>
      </c>
      <c r="U272" s="48">
        <f t="shared" si="93"/>
        <v>58469365.458345272</v>
      </c>
      <c r="V272" s="48">
        <f t="shared" si="93"/>
        <v>68180547.950189367</v>
      </c>
      <c r="W272" s="48">
        <f t="shared" si="93"/>
        <v>73424945.096326381</v>
      </c>
      <c r="X272" s="48">
        <f t="shared" si="93"/>
        <v>77391492.328794464</v>
      </c>
      <c r="Y272" s="48">
        <f t="shared" si="93"/>
        <v>81488129.165178135</v>
      </c>
      <c r="Z272" s="48">
        <f t="shared" si="93"/>
        <v>85737872.805094853</v>
      </c>
      <c r="AA272" s="48">
        <f t="shared" si="93"/>
        <v>90160792.861851186</v>
      </c>
      <c r="AB272" s="48">
        <f t="shared" si="93"/>
        <v>94774886.91287905</v>
      </c>
    </row>
    <row r="273" spans="1:28">
      <c r="C273" s="18" t="s">
        <v>95</v>
      </c>
      <c r="H273" s="61">
        <f>H157</f>
        <v>3790000</v>
      </c>
      <c r="I273" s="61">
        <f t="shared" ref="I273:AB273" si="94">I157</f>
        <v>3440000</v>
      </c>
      <c r="J273" s="61">
        <f t="shared" si="94"/>
        <v>4890000</v>
      </c>
      <c r="K273" s="61">
        <f t="shared" si="94"/>
        <v>4590000</v>
      </c>
      <c r="L273" s="61">
        <f t="shared" si="94"/>
        <v>6740000</v>
      </c>
      <c r="M273" s="61">
        <f t="shared" si="94"/>
        <v>8794968.9697340261</v>
      </c>
      <c r="N273" s="61">
        <f t="shared" si="94"/>
        <v>13614611.965148274</v>
      </c>
      <c r="O273" s="61">
        <f t="shared" si="94"/>
        <v>16337534.358177926</v>
      </c>
      <c r="P273" s="61">
        <f t="shared" si="94"/>
        <v>19378292.130071502</v>
      </c>
      <c r="Q273" s="61">
        <f t="shared" si="94"/>
        <v>22734710.783391099</v>
      </c>
      <c r="R273" s="61">
        <f t="shared" si="94"/>
        <v>35198955.034495436</v>
      </c>
      <c r="S273" s="61">
        <f t="shared" si="94"/>
        <v>40478798.289669745</v>
      </c>
      <c r="T273" s="61">
        <f t="shared" si="94"/>
        <v>45092383.607587308</v>
      </c>
      <c r="U273" s="61">
        <f t="shared" si="94"/>
        <v>48997498.579723664</v>
      </c>
      <c r="V273" s="61">
        <f t="shared" si="94"/>
        <v>45694000.895152941</v>
      </c>
      <c r="W273" s="61">
        <f t="shared" si="94"/>
        <v>47978700.939910591</v>
      </c>
      <c r="X273" s="61">
        <f t="shared" si="94"/>
        <v>50377635.986906126</v>
      </c>
      <c r="Y273" s="61">
        <f t="shared" si="94"/>
        <v>52896517.786251433</v>
      </c>
      <c r="Z273" s="61">
        <f t="shared" si="94"/>
        <v>55541343.675564013</v>
      </c>
      <c r="AA273" s="61">
        <f t="shared" si="94"/>
        <v>58318410.859342217</v>
      </c>
      <c r="AB273" s="61">
        <f t="shared" si="94"/>
        <v>61234331.402309336</v>
      </c>
    </row>
    <row r="274" spans="1:28">
      <c r="C274" s="18" t="s">
        <v>359</v>
      </c>
      <c r="H274" s="21">
        <f>H161</f>
        <v>745000</v>
      </c>
      <c r="I274" s="21">
        <f t="shared" ref="I274:AB274" si="95">I161</f>
        <v>312000</v>
      </c>
      <c r="J274" s="21">
        <f t="shared" si="95"/>
        <v>979000</v>
      </c>
      <c r="K274" s="21">
        <f t="shared" si="95"/>
        <v>795000</v>
      </c>
      <c r="L274" s="21">
        <f t="shared" si="95"/>
        <v>116000</v>
      </c>
      <c r="M274" s="21">
        <f t="shared" si="95"/>
        <v>1407195.0351574442</v>
      </c>
      <c r="N274" s="21">
        <f t="shared" si="95"/>
        <v>1815281.5953531032</v>
      </c>
      <c r="O274" s="21">
        <f t="shared" si="95"/>
        <v>2178337.9144237237</v>
      </c>
      <c r="P274" s="21">
        <f t="shared" si="95"/>
        <v>2583772.2840095339</v>
      </c>
      <c r="Q274" s="21">
        <f t="shared" si="95"/>
        <v>3031294.7711188137</v>
      </c>
      <c r="R274" s="21">
        <f t="shared" si="95"/>
        <v>3519895.5034495434</v>
      </c>
      <c r="S274" s="21">
        <f t="shared" si="95"/>
        <v>4047879.8289669747</v>
      </c>
      <c r="T274" s="21">
        <f t="shared" si="95"/>
        <v>4509238.3607587311</v>
      </c>
      <c r="U274" s="21">
        <f t="shared" si="95"/>
        <v>4899749.8579723667</v>
      </c>
      <c r="V274" s="21">
        <f t="shared" si="95"/>
        <v>5222171.5308746211</v>
      </c>
      <c r="W274" s="21">
        <f t="shared" si="95"/>
        <v>5483280.1074183527</v>
      </c>
      <c r="X274" s="21">
        <f t="shared" si="95"/>
        <v>5757444.1127892714</v>
      </c>
      <c r="Y274" s="21">
        <f t="shared" si="95"/>
        <v>6045316.3184287352</v>
      </c>
      <c r="Z274" s="21">
        <f t="shared" si="95"/>
        <v>6347582.1343501722</v>
      </c>
      <c r="AA274" s="21">
        <f t="shared" si="95"/>
        <v>6664961.2410676815</v>
      </c>
      <c r="AB274" s="21">
        <f t="shared" si="95"/>
        <v>6998209.3031210667</v>
      </c>
    </row>
    <row r="275" spans="1:28" ht="15" thickBot="1">
      <c r="D275" s="35" t="s">
        <v>360</v>
      </c>
      <c r="E275" s="35"/>
      <c r="F275" s="35"/>
      <c r="G275" s="35"/>
      <c r="H275" s="48">
        <f>H272-H273-H274</f>
        <v>-2689000</v>
      </c>
      <c r="I275" s="48">
        <f t="shared" ref="I275:AB275" si="96">I272-I273-I274</f>
        <v>456000</v>
      </c>
      <c r="J275" s="48">
        <f t="shared" si="96"/>
        <v>-228001.25000000186</v>
      </c>
      <c r="K275" s="48">
        <f t="shared" si="96"/>
        <v>5350001.5000000019</v>
      </c>
      <c r="L275" s="48">
        <f t="shared" si="96"/>
        <v>7545000</v>
      </c>
      <c r="M275" s="48">
        <f t="shared" si="96"/>
        <v>1666718.4776813758</v>
      </c>
      <c r="N275" s="48">
        <f t="shared" si="96"/>
        <v>3523950.0280769626</v>
      </c>
      <c r="O275" s="48">
        <f t="shared" si="96"/>
        <v>3852596.5419801353</v>
      </c>
      <c r="P275" s="48">
        <f t="shared" si="96"/>
        <v>5977822.5848589549</v>
      </c>
      <c r="Q275" s="48">
        <f t="shared" si="96"/>
        <v>8646456.9205445293</v>
      </c>
      <c r="R275" s="48">
        <f t="shared" si="96"/>
        <v>3118432.9494966427</v>
      </c>
      <c r="S275" s="48">
        <f t="shared" si="96"/>
        <v>4332008.2051848918</v>
      </c>
      <c r="T275" s="48">
        <f t="shared" si="96"/>
        <v>4412869.2762124371</v>
      </c>
      <c r="U275" s="48">
        <f t="shared" si="96"/>
        <v>4572117.0206492413</v>
      </c>
      <c r="V275" s="48">
        <f t="shared" si="96"/>
        <v>17264375.524161804</v>
      </c>
      <c r="W275" s="48">
        <f t="shared" si="96"/>
        <v>19962964.048997439</v>
      </c>
      <c r="X275" s="48">
        <f t="shared" si="96"/>
        <v>21256412.229099065</v>
      </c>
      <c r="Y275" s="48">
        <f t="shared" si="96"/>
        <v>22546295.060497966</v>
      </c>
      <c r="Z275" s="48">
        <f t="shared" si="96"/>
        <v>23848946.995180666</v>
      </c>
      <c r="AA275" s="48">
        <f t="shared" si="96"/>
        <v>25177420.761441287</v>
      </c>
      <c r="AB275" s="48">
        <f t="shared" si="96"/>
        <v>26542346.207448646</v>
      </c>
    </row>
    <row r="276" spans="1:28">
      <c r="C276" s="18" t="s">
        <v>345</v>
      </c>
      <c r="H276" s="21">
        <f>H250</f>
        <v>92000</v>
      </c>
      <c r="I276" s="21">
        <f t="shared" ref="I276:AB277" si="97">I250</f>
        <v>141000</v>
      </c>
      <c r="J276" s="21">
        <f t="shared" si="97"/>
        <v>210000</v>
      </c>
      <c r="K276" s="21">
        <f t="shared" si="97"/>
        <v>459000</v>
      </c>
      <c r="L276" s="21">
        <f t="shared" si="97"/>
        <v>484000</v>
      </c>
      <c r="M276" s="21">
        <f t="shared" si="97"/>
        <v>415755.24997707317</v>
      </c>
      <c r="N276" s="21">
        <f t="shared" si="97"/>
        <v>0</v>
      </c>
      <c r="O276" s="21">
        <f t="shared" si="97"/>
        <v>0</v>
      </c>
      <c r="P276" s="21">
        <f t="shared" si="97"/>
        <v>0</v>
      </c>
      <c r="Q276" s="21">
        <f t="shared" si="97"/>
        <v>0</v>
      </c>
      <c r="R276" s="21">
        <f t="shared" si="97"/>
        <v>0</v>
      </c>
      <c r="S276" s="21">
        <f t="shared" si="97"/>
        <v>0</v>
      </c>
      <c r="T276" s="21">
        <f t="shared" si="97"/>
        <v>0</v>
      </c>
      <c r="U276" s="21">
        <f t="shared" si="97"/>
        <v>0</v>
      </c>
      <c r="V276" s="21">
        <f t="shared" si="97"/>
        <v>0</v>
      </c>
      <c r="W276" s="21">
        <f t="shared" si="97"/>
        <v>0</v>
      </c>
      <c r="X276" s="21">
        <f t="shared" si="97"/>
        <v>0</v>
      </c>
      <c r="Y276" s="21">
        <f t="shared" si="97"/>
        <v>0</v>
      </c>
      <c r="Z276" s="21">
        <f t="shared" si="97"/>
        <v>0</v>
      </c>
      <c r="AA276" s="21">
        <f t="shared" si="97"/>
        <v>0</v>
      </c>
      <c r="AB276" s="21">
        <f t="shared" si="97"/>
        <v>0</v>
      </c>
    </row>
    <row r="277" spans="1:28">
      <c r="C277" s="18" t="s">
        <v>346</v>
      </c>
      <c r="H277" s="21">
        <f>H251</f>
        <v>40000</v>
      </c>
      <c r="I277" s="21">
        <f t="shared" si="97"/>
        <v>38000</v>
      </c>
      <c r="J277" s="21">
        <f t="shared" si="97"/>
        <v>39000</v>
      </c>
      <c r="K277" s="21">
        <f t="shared" si="97"/>
        <v>50000</v>
      </c>
      <c r="L277" s="21">
        <f t="shared" si="97"/>
        <v>100000</v>
      </c>
      <c r="M277" s="21">
        <f t="shared" si="97"/>
        <v>100000</v>
      </c>
      <c r="N277" s="21">
        <f t="shared" si="97"/>
        <v>28604.469854670548</v>
      </c>
      <c r="O277" s="21">
        <f t="shared" si="97"/>
        <v>41912.40953600275</v>
      </c>
      <c r="P277" s="21">
        <f t="shared" si="97"/>
        <v>56501.317389593831</v>
      </c>
      <c r="Q277" s="21">
        <f t="shared" si="97"/>
        <v>79106.014532311747</v>
      </c>
      <c r="R277" s="21">
        <f t="shared" si="97"/>
        <v>111792.14652360915</v>
      </c>
      <c r="S277" s="21">
        <f t="shared" si="97"/>
        <v>123892.63386588392</v>
      </c>
      <c r="T277" s="21">
        <f t="shared" si="97"/>
        <v>140584.52687600109</v>
      </c>
      <c r="U277" s="21">
        <f t="shared" si="97"/>
        <v>157641.85522621061</v>
      </c>
      <c r="V277" s="21">
        <f t="shared" si="97"/>
        <v>175359.62587942451</v>
      </c>
      <c r="W277" s="21">
        <f t="shared" si="97"/>
        <v>240689.21999832781</v>
      </c>
      <c r="X277" s="21">
        <f t="shared" si="97"/>
        <v>316372.50626540312</v>
      </c>
      <c r="Y277" s="21">
        <f t="shared" si="97"/>
        <v>397184.58618810202</v>
      </c>
      <c r="Z277" s="21">
        <f t="shared" si="97"/>
        <v>483131.31646225846</v>
      </c>
      <c r="AA277" s="21">
        <f t="shared" si="97"/>
        <v>574279.76490444958</v>
      </c>
      <c r="AB277" s="21">
        <f t="shared" si="97"/>
        <v>670746.14634796244</v>
      </c>
    </row>
    <row r="278" spans="1:28">
      <c r="C278" s="18" t="s">
        <v>361</v>
      </c>
    </row>
    <row r="279" spans="1:28" ht="15" thickBot="1">
      <c r="D279" s="35" t="s">
        <v>360</v>
      </c>
      <c r="E279" s="35"/>
      <c r="F279" s="35"/>
      <c r="G279" s="35"/>
      <c r="H279" s="48">
        <f>H275-H276+H277-H278</f>
        <v>-2741000</v>
      </c>
      <c r="I279" s="48">
        <f t="shared" ref="I279:AB279" si="98">I275-I276+I277-I278</f>
        <v>353000</v>
      </c>
      <c r="J279" s="48">
        <f t="shared" si="98"/>
        <v>-399001.25000000186</v>
      </c>
      <c r="K279" s="48">
        <f t="shared" si="98"/>
        <v>4941001.5000000019</v>
      </c>
      <c r="L279" s="48">
        <f t="shared" si="98"/>
        <v>7161000</v>
      </c>
      <c r="M279" s="48">
        <f t="shared" si="98"/>
        <v>1350963.2277043026</v>
      </c>
      <c r="N279" s="48">
        <f t="shared" si="98"/>
        <v>3552554.4979316331</v>
      </c>
      <c r="O279" s="48">
        <f t="shared" si="98"/>
        <v>3894508.9515161379</v>
      </c>
      <c r="P279" s="48">
        <f t="shared" si="98"/>
        <v>6034323.9022485483</v>
      </c>
      <c r="Q279" s="48">
        <f t="shared" si="98"/>
        <v>8725562.9350768402</v>
      </c>
      <c r="R279" s="48">
        <f t="shared" si="98"/>
        <v>3230225.096020252</v>
      </c>
      <c r="S279" s="48">
        <f t="shared" si="98"/>
        <v>4455900.8390507754</v>
      </c>
      <c r="T279" s="48">
        <f t="shared" si="98"/>
        <v>4553453.8030884378</v>
      </c>
      <c r="U279" s="48">
        <f t="shared" si="98"/>
        <v>4729758.8758754516</v>
      </c>
      <c r="V279" s="48">
        <f t="shared" si="98"/>
        <v>17439735.15004123</v>
      </c>
      <c r="W279" s="48">
        <f t="shared" si="98"/>
        <v>20203653.268995766</v>
      </c>
      <c r="X279" s="48">
        <f t="shared" si="98"/>
        <v>21572784.735364467</v>
      </c>
      <c r="Y279" s="48">
        <f t="shared" si="98"/>
        <v>22943479.646686066</v>
      </c>
      <c r="Z279" s="48">
        <f t="shared" si="98"/>
        <v>24332078.311642926</v>
      </c>
      <c r="AA279" s="48">
        <f t="shared" si="98"/>
        <v>25751700.526345737</v>
      </c>
      <c r="AB279" s="48">
        <f t="shared" si="98"/>
        <v>27213092.353796609</v>
      </c>
    </row>
    <row r="281" spans="1:28" s="31" customFormat="1">
      <c r="A281" s="31" t="s">
        <v>270</v>
      </c>
    </row>
    <row r="282" spans="1:28">
      <c r="B282" s="18" t="s">
        <v>362</v>
      </c>
    </row>
    <row r="283" spans="1:28">
      <c r="C283" s="18" t="s">
        <v>51</v>
      </c>
      <c r="H283" s="19">
        <f>G286</f>
        <v>0</v>
      </c>
      <c r="I283" s="19">
        <f t="shared" ref="I283:AB283" si="99">H286</f>
        <v>8189999.5</v>
      </c>
      <c r="J283" s="19">
        <f t="shared" si="99"/>
        <v>9750000</v>
      </c>
      <c r="K283" s="19">
        <f t="shared" si="99"/>
        <v>10740000</v>
      </c>
      <c r="L283" s="19">
        <f t="shared" si="99"/>
        <v>13380000</v>
      </c>
      <c r="M283" s="19">
        <f t="shared" si="99"/>
        <v>19290000</v>
      </c>
      <c r="N283" s="19">
        <f t="shared" si="99"/>
        <v>23792995.4181289</v>
      </c>
      <c r="O283" s="19">
        <f t="shared" si="99"/>
        <v>29511723.30373466</v>
      </c>
      <c r="P283" s="19">
        <f t="shared" si="99"/>
        <v>38721642.414638981</v>
      </c>
      <c r="Q283" s="19">
        <f t="shared" si="99"/>
        <v>51002624.959181234</v>
      </c>
      <c r="R283" s="19">
        <f t="shared" si="99"/>
        <v>66977697.397935495</v>
      </c>
      <c r="S283" s="19">
        <f t="shared" si="99"/>
        <v>87319857.406861305</v>
      </c>
      <c r="T283" s="19">
        <f t="shared" si="99"/>
        <v>109006390.27066854</v>
      </c>
      <c r="U283" s="19">
        <f t="shared" si="99"/>
        <v>131401711.2318522</v>
      </c>
      <c r="V283" s="19">
        <f t="shared" si="99"/>
        <v>153950762.43443549</v>
      </c>
      <c r="W283" s="19">
        <f t="shared" si="99"/>
        <v>184478623.1143856</v>
      </c>
      <c r="X283" s="19">
        <f t="shared" si="99"/>
        <v>215896243.67244977</v>
      </c>
      <c r="Y283" s="19">
        <f t="shared" si="99"/>
        <v>248406852.18519434</v>
      </c>
      <c r="Z283" s="19">
        <f t="shared" si="99"/>
        <v>282182581.51851881</v>
      </c>
      <c r="AA283" s="19">
        <f t="shared" si="99"/>
        <v>317375741.59055734</v>
      </c>
      <c r="AB283" s="19">
        <f t="shared" si="99"/>
        <v>354124884.4304238</v>
      </c>
    </row>
    <row r="284" spans="1:28">
      <c r="C284" s="18" t="s">
        <v>52</v>
      </c>
      <c r="H284" s="21">
        <f>H257</f>
        <v>-39000</v>
      </c>
      <c r="I284" s="21">
        <f t="shared" ref="I284:AB284" si="100">I257</f>
        <v>274000</v>
      </c>
      <c r="J284" s="21">
        <f t="shared" si="100"/>
        <v>-241000</v>
      </c>
      <c r="K284" s="21">
        <f t="shared" si="100"/>
        <v>596000</v>
      </c>
      <c r="L284" s="21">
        <f t="shared" si="100"/>
        <v>2370000</v>
      </c>
      <c r="M284" s="21">
        <f t="shared" si="100"/>
        <v>4502995.4181289012</v>
      </c>
      <c r="N284" s="21">
        <f t="shared" si="100"/>
        <v>5718727.8856057609</v>
      </c>
      <c r="O284" s="21">
        <f t="shared" si="100"/>
        <v>9209919.1109043229</v>
      </c>
      <c r="P284" s="21">
        <f t="shared" si="100"/>
        <v>12280982.544542249</v>
      </c>
      <c r="Q284" s="21">
        <f t="shared" si="100"/>
        <v>15975072.438754261</v>
      </c>
      <c r="R284" s="21">
        <f t="shared" si="100"/>
        <v>20342160.008925807</v>
      </c>
      <c r="S284" s="21">
        <f t="shared" si="100"/>
        <v>21686532.863807231</v>
      </c>
      <c r="T284" s="21">
        <f t="shared" si="100"/>
        <v>22395320.961183675</v>
      </c>
      <c r="U284" s="21">
        <f t="shared" si="100"/>
        <v>22549051.202583287</v>
      </c>
      <c r="V284" s="21">
        <f t="shared" si="100"/>
        <v>30527860.679950122</v>
      </c>
      <c r="W284" s="21">
        <f t="shared" si="100"/>
        <v>31417620.558064152</v>
      </c>
      <c r="X284" s="21">
        <f t="shared" si="100"/>
        <v>32510608.512744568</v>
      </c>
      <c r="Y284" s="21">
        <f t="shared" si="100"/>
        <v>33775729.333324462</v>
      </c>
      <c r="Z284" s="21">
        <f t="shared" si="100"/>
        <v>35193160.072038546</v>
      </c>
      <c r="AA284" s="21">
        <f t="shared" si="100"/>
        <v>36749142.839866459</v>
      </c>
      <c r="AB284" s="21">
        <f t="shared" si="100"/>
        <v>38434526.903491423</v>
      </c>
    </row>
    <row r="285" spans="1:28">
      <c r="C285" s="18" t="s">
        <v>361</v>
      </c>
      <c r="H285" s="19">
        <f>H278</f>
        <v>0</v>
      </c>
      <c r="I285" s="19">
        <f t="shared" ref="I285:AB285" si="101">I278</f>
        <v>0</v>
      </c>
      <c r="J285" s="19">
        <f t="shared" si="101"/>
        <v>0</v>
      </c>
      <c r="K285" s="19">
        <f t="shared" si="101"/>
        <v>0</v>
      </c>
      <c r="L285" s="19">
        <f t="shared" si="101"/>
        <v>0</v>
      </c>
      <c r="M285" s="19">
        <f t="shared" si="101"/>
        <v>0</v>
      </c>
      <c r="N285" s="19">
        <f t="shared" si="101"/>
        <v>0</v>
      </c>
      <c r="O285" s="19">
        <f t="shared" si="101"/>
        <v>0</v>
      </c>
      <c r="P285" s="19">
        <f t="shared" si="101"/>
        <v>0</v>
      </c>
      <c r="Q285" s="19">
        <f t="shared" si="101"/>
        <v>0</v>
      </c>
      <c r="R285" s="19">
        <f t="shared" si="101"/>
        <v>0</v>
      </c>
      <c r="S285" s="19">
        <f t="shared" si="101"/>
        <v>0</v>
      </c>
      <c r="T285" s="19">
        <f t="shared" si="101"/>
        <v>0</v>
      </c>
      <c r="U285" s="19">
        <f t="shared" si="101"/>
        <v>0</v>
      </c>
      <c r="V285" s="19">
        <f t="shared" si="101"/>
        <v>0</v>
      </c>
      <c r="W285" s="19">
        <f t="shared" si="101"/>
        <v>0</v>
      </c>
      <c r="X285" s="19">
        <f t="shared" si="101"/>
        <v>0</v>
      </c>
      <c r="Y285" s="19">
        <f t="shared" si="101"/>
        <v>0</v>
      </c>
      <c r="Z285" s="19">
        <f t="shared" si="101"/>
        <v>0</v>
      </c>
      <c r="AA285" s="19">
        <f t="shared" si="101"/>
        <v>0</v>
      </c>
      <c r="AB285" s="19">
        <f t="shared" si="101"/>
        <v>0</v>
      </c>
    </row>
    <row r="286" spans="1:28">
      <c r="C286" s="18" t="s">
        <v>54</v>
      </c>
      <c r="H286" s="19">
        <f>IF(H5,H125,H283+H284-H285)</f>
        <v>8189999.5</v>
      </c>
      <c r="I286" s="19">
        <f t="shared" ref="I286:AB286" si="102">IF(I5,I125,I283+I284-I285)</f>
        <v>9750000</v>
      </c>
      <c r="J286" s="19">
        <f t="shared" si="102"/>
        <v>10740000</v>
      </c>
      <c r="K286" s="19">
        <f t="shared" si="102"/>
        <v>13380000</v>
      </c>
      <c r="L286" s="19">
        <f t="shared" si="102"/>
        <v>19290000</v>
      </c>
      <c r="M286" s="19">
        <f t="shared" si="102"/>
        <v>23792995.4181289</v>
      </c>
      <c r="N286" s="19">
        <f t="shared" si="102"/>
        <v>29511723.30373466</v>
      </c>
      <c r="O286" s="19">
        <f t="shared" si="102"/>
        <v>38721642.414638981</v>
      </c>
      <c r="P286" s="19">
        <f t="shared" si="102"/>
        <v>51002624.959181234</v>
      </c>
      <c r="Q286" s="19">
        <f t="shared" si="102"/>
        <v>66977697.397935495</v>
      </c>
      <c r="R286" s="19">
        <f t="shared" si="102"/>
        <v>87319857.406861305</v>
      </c>
      <c r="S286" s="19">
        <f t="shared" si="102"/>
        <v>109006390.27066854</v>
      </c>
      <c r="T286" s="19">
        <f t="shared" si="102"/>
        <v>131401711.2318522</v>
      </c>
      <c r="U286" s="19">
        <f t="shared" si="102"/>
        <v>153950762.43443549</v>
      </c>
      <c r="V286" s="19">
        <f t="shared" si="102"/>
        <v>184478623.1143856</v>
      </c>
      <c r="W286" s="19">
        <f t="shared" si="102"/>
        <v>215896243.67244977</v>
      </c>
      <c r="X286" s="19">
        <f t="shared" si="102"/>
        <v>248406852.18519434</v>
      </c>
      <c r="Y286" s="19">
        <f t="shared" si="102"/>
        <v>282182581.51851881</v>
      </c>
      <c r="Z286" s="19">
        <f t="shared" si="102"/>
        <v>317375741.59055734</v>
      </c>
      <c r="AA286" s="19">
        <f t="shared" si="102"/>
        <v>354124884.4304238</v>
      </c>
      <c r="AB286" s="19">
        <f t="shared" si="102"/>
        <v>392559411.33391523</v>
      </c>
    </row>
    <row r="288" spans="1:28">
      <c r="C288" s="18" t="s">
        <v>271</v>
      </c>
      <c r="E288" s="18" t="s">
        <v>363</v>
      </c>
      <c r="F288" s="18" t="s">
        <v>364</v>
      </c>
    </row>
    <row r="289" spans="3:28">
      <c r="D289" s="18" t="s">
        <v>272</v>
      </c>
      <c r="E289" s="62"/>
      <c r="F289" s="63">
        <v>-1</v>
      </c>
      <c r="H289" s="21">
        <f>H224</f>
        <v>11601000</v>
      </c>
      <c r="I289" s="21">
        <f t="shared" ref="I289:AB289" si="103">I224</f>
        <v>12970000</v>
      </c>
      <c r="J289" s="21">
        <f t="shared" si="103"/>
        <v>18306000</v>
      </c>
      <c r="K289" s="21">
        <f t="shared" si="103"/>
        <v>20228000</v>
      </c>
      <c r="L289" s="21">
        <f t="shared" si="103"/>
        <v>26695000</v>
      </c>
      <c r="M289" s="21">
        <f t="shared" si="103"/>
        <v>7635963.2277043024</v>
      </c>
      <c r="N289" s="21">
        <f t="shared" si="103"/>
        <v>11188517.725635935</v>
      </c>
      <c r="O289" s="21">
        <f t="shared" si="103"/>
        <v>15083026.677152073</v>
      </c>
      <c r="P289" s="21">
        <f t="shared" si="103"/>
        <v>21117350.579400621</v>
      </c>
      <c r="Q289" s="21">
        <f t="shared" si="103"/>
        <v>29842913.514477462</v>
      </c>
      <c r="R289" s="21">
        <f t="shared" si="103"/>
        <v>33073138.610497713</v>
      </c>
      <c r="S289" s="21">
        <f t="shared" si="103"/>
        <v>37529039.44954849</v>
      </c>
      <c r="T289" s="21">
        <f t="shared" si="103"/>
        <v>42082493.252636924</v>
      </c>
      <c r="U289" s="21">
        <f t="shared" si="103"/>
        <v>46812252.128512375</v>
      </c>
      <c r="V289" s="21">
        <f t="shared" si="103"/>
        <v>64251987.278553605</v>
      </c>
      <c r="W289" s="21">
        <f t="shared" si="103"/>
        <v>84455640.547549367</v>
      </c>
      <c r="X289" s="21">
        <f t="shared" si="103"/>
        <v>106028425.28291383</v>
      </c>
      <c r="Y289" s="21">
        <f t="shared" si="103"/>
        <v>128971904.9295999</v>
      </c>
      <c r="Z289" s="21">
        <f t="shared" si="103"/>
        <v>153303983.24124283</v>
      </c>
      <c r="AA289" s="21">
        <f t="shared" si="103"/>
        <v>179055683.76758856</v>
      </c>
      <c r="AB289" s="21">
        <f t="shared" si="103"/>
        <v>206268776.12138516</v>
      </c>
    </row>
    <row r="290" spans="3:28">
      <c r="D290" s="18" t="s">
        <v>273</v>
      </c>
      <c r="E290" s="63">
        <v>1</v>
      </c>
      <c r="F290" s="62"/>
      <c r="H290" s="21">
        <f>H166</f>
        <v>3360000</v>
      </c>
      <c r="I290" s="21">
        <f t="shared" ref="I290:AB290" si="104">I166</f>
        <v>4770000</v>
      </c>
      <c r="J290" s="21">
        <f t="shared" si="104"/>
        <v>5609999.9999999991</v>
      </c>
      <c r="K290" s="21">
        <f t="shared" si="104"/>
        <v>5650000</v>
      </c>
      <c r="L290" s="21">
        <f t="shared" si="104"/>
        <v>8340000</v>
      </c>
      <c r="M290" s="21">
        <f t="shared" si="104"/>
        <v>8794968.9697340261</v>
      </c>
      <c r="N290" s="21">
        <f t="shared" si="104"/>
        <v>11345509.970956896</v>
      </c>
      <c r="O290" s="21">
        <f t="shared" si="104"/>
        <v>13614611.965148274</v>
      </c>
      <c r="P290" s="21">
        <f t="shared" si="104"/>
        <v>16148576.775059588</v>
      </c>
      <c r="Q290" s="21">
        <f t="shared" si="104"/>
        <v>18945592.319492586</v>
      </c>
      <c r="R290" s="21">
        <f t="shared" si="104"/>
        <v>21999346.896559648</v>
      </c>
      <c r="S290" s="21">
        <f t="shared" si="104"/>
        <v>25299248.931043595</v>
      </c>
      <c r="T290" s="21">
        <f t="shared" si="104"/>
        <v>28182739.754742071</v>
      </c>
      <c r="U290" s="21">
        <f t="shared" si="104"/>
        <v>30623436.612327293</v>
      </c>
      <c r="V290" s="21">
        <f t="shared" si="104"/>
        <v>32638572.067966387</v>
      </c>
      <c r="W290" s="21">
        <f t="shared" si="104"/>
        <v>34270500.67136471</v>
      </c>
      <c r="X290" s="21">
        <f t="shared" si="104"/>
        <v>35984025.70493295</v>
      </c>
      <c r="Y290" s="21">
        <f t="shared" si="104"/>
        <v>37783226.990179591</v>
      </c>
      <c r="Z290" s="21">
        <f t="shared" si="104"/>
        <v>39672388.339688577</v>
      </c>
      <c r="AA290" s="21">
        <f t="shared" si="104"/>
        <v>41656007.756673008</v>
      </c>
      <c r="AB290" s="21">
        <f t="shared" si="104"/>
        <v>43738808.144506663</v>
      </c>
    </row>
    <row r="291" spans="3:28">
      <c r="D291" s="18" t="s">
        <v>274</v>
      </c>
      <c r="E291" s="63">
        <v>1</v>
      </c>
      <c r="F291" s="62"/>
      <c r="H291" s="21">
        <f>H169</f>
        <v>6030000</v>
      </c>
      <c r="I291" s="21">
        <f t="shared" ref="I291:AB291" si="105">I169</f>
        <v>7410000.0000000009</v>
      </c>
      <c r="J291" s="21">
        <f t="shared" si="105"/>
        <v>8300000.0000000009</v>
      </c>
      <c r="K291" s="21">
        <f t="shared" si="105"/>
        <v>10240000</v>
      </c>
      <c r="L291" s="21">
        <f t="shared" si="105"/>
        <v>11460000</v>
      </c>
      <c r="M291" s="21">
        <f t="shared" si="105"/>
        <v>15382492.112482853</v>
      </c>
      <c r="N291" s="21">
        <f t="shared" si="105"/>
        <v>20762283.246851116</v>
      </c>
      <c r="O291" s="21">
        <f t="shared" si="105"/>
        <v>24602593.854662158</v>
      </c>
      <c r="P291" s="21">
        <f t="shared" si="105"/>
        <v>28816048.180633526</v>
      </c>
      <c r="Q291" s="21">
        <f t="shared" si="105"/>
        <v>33383579.115222912</v>
      </c>
      <c r="R291" s="21">
        <f t="shared" si="105"/>
        <v>38278863.600013778</v>
      </c>
      <c r="S291" s="21">
        <f t="shared" si="105"/>
        <v>44020693.140015848</v>
      </c>
      <c r="T291" s="21">
        <f t="shared" si="105"/>
        <v>49037967.173251189</v>
      </c>
      <c r="U291" s="21">
        <f t="shared" si="105"/>
        <v>53284779.705449484</v>
      </c>
      <c r="V291" s="21">
        <f t="shared" si="105"/>
        <v>56791115.398261495</v>
      </c>
      <c r="W291" s="21">
        <f t="shared" si="105"/>
        <v>59630671.168174587</v>
      </c>
      <c r="X291" s="21">
        <f t="shared" si="105"/>
        <v>62612204.726583317</v>
      </c>
      <c r="Y291" s="21">
        <f t="shared" si="105"/>
        <v>65742814.962912485</v>
      </c>
      <c r="Z291" s="21">
        <f t="shared" si="105"/>
        <v>69029955.71105811</v>
      </c>
      <c r="AA291" s="21">
        <f t="shared" si="105"/>
        <v>72481453.496611029</v>
      </c>
      <c r="AB291" s="21">
        <f t="shared" si="105"/>
        <v>76105526.171441585</v>
      </c>
    </row>
    <row r="292" spans="3:28">
      <c r="D292" s="18" t="s">
        <v>275</v>
      </c>
      <c r="E292" s="63">
        <v>1</v>
      </c>
      <c r="F292" s="62"/>
    </row>
    <row r="293" spans="3:28">
      <c r="D293" s="18" t="s">
        <v>276</v>
      </c>
      <c r="E293" s="63">
        <v>1</v>
      </c>
      <c r="F293" s="62"/>
      <c r="H293" s="21">
        <f>H172</f>
        <v>453000</v>
      </c>
      <c r="I293" s="21">
        <f t="shared" ref="I293:AB293" si="106">I172</f>
        <v>0</v>
      </c>
      <c r="J293" s="21">
        <f t="shared" si="106"/>
        <v>0</v>
      </c>
      <c r="K293" s="21">
        <f t="shared" si="106"/>
        <v>0</v>
      </c>
      <c r="L293" s="21">
        <f t="shared" si="106"/>
        <v>0</v>
      </c>
      <c r="M293" s="21">
        <f t="shared" si="106"/>
        <v>0</v>
      </c>
      <c r="N293" s="21">
        <f t="shared" si="106"/>
        <v>0</v>
      </c>
      <c r="O293" s="21">
        <f t="shared" si="106"/>
        <v>0</v>
      </c>
      <c r="P293" s="21">
        <f t="shared" si="106"/>
        <v>0</v>
      </c>
      <c r="Q293" s="21">
        <f t="shared" si="106"/>
        <v>0</v>
      </c>
      <c r="R293" s="21">
        <f t="shared" si="106"/>
        <v>0</v>
      </c>
      <c r="S293" s="21">
        <f t="shared" si="106"/>
        <v>0</v>
      </c>
      <c r="T293" s="21">
        <f t="shared" si="106"/>
        <v>0</v>
      </c>
      <c r="U293" s="21">
        <f t="shared" si="106"/>
        <v>0</v>
      </c>
      <c r="V293" s="21">
        <f t="shared" si="106"/>
        <v>0</v>
      </c>
      <c r="W293" s="21">
        <f t="shared" si="106"/>
        <v>0</v>
      </c>
      <c r="X293" s="21">
        <f t="shared" si="106"/>
        <v>0</v>
      </c>
      <c r="Y293" s="21">
        <f t="shared" si="106"/>
        <v>0</v>
      </c>
      <c r="Z293" s="21">
        <f t="shared" si="106"/>
        <v>0</v>
      </c>
      <c r="AA293" s="21">
        <f t="shared" si="106"/>
        <v>0</v>
      </c>
      <c r="AB293" s="21">
        <f t="shared" si="106"/>
        <v>0</v>
      </c>
    </row>
    <row r="294" spans="3:28" ht="15" thickBot="1">
      <c r="D294" s="35" t="s">
        <v>277</v>
      </c>
      <c r="E294" s="64"/>
      <c r="F294" s="64"/>
      <c r="G294" s="35"/>
      <c r="H294" s="48">
        <f>SUM(H289:H293)</f>
        <v>21444000</v>
      </c>
      <c r="I294" s="48">
        <f t="shared" ref="I294:AB294" si="107">SUM(I289:I293)</f>
        <v>25150000</v>
      </c>
      <c r="J294" s="48">
        <f t="shared" si="107"/>
        <v>32216000</v>
      </c>
      <c r="K294" s="48">
        <f t="shared" si="107"/>
        <v>36118000</v>
      </c>
      <c r="L294" s="48">
        <f t="shared" si="107"/>
        <v>46495000</v>
      </c>
      <c r="M294" s="48">
        <f t="shared" si="107"/>
        <v>31813424.309921183</v>
      </c>
      <c r="N294" s="48">
        <f t="shared" si="107"/>
        <v>43296310.943443947</v>
      </c>
      <c r="O294" s="48">
        <f t="shared" si="107"/>
        <v>53300232.496962503</v>
      </c>
      <c r="P294" s="48">
        <f t="shared" si="107"/>
        <v>66081975.53509374</v>
      </c>
      <c r="Q294" s="48">
        <f t="shared" si="107"/>
        <v>82172084.949192956</v>
      </c>
      <c r="R294" s="48">
        <f t="shared" si="107"/>
        <v>93351349.107071131</v>
      </c>
      <c r="S294" s="48">
        <f t="shared" si="107"/>
        <v>106848981.52060793</v>
      </c>
      <c r="T294" s="48">
        <f t="shared" si="107"/>
        <v>119303200.18063018</v>
      </c>
      <c r="U294" s="48">
        <f t="shared" si="107"/>
        <v>130720468.44628915</v>
      </c>
      <c r="V294" s="48">
        <f t="shared" si="107"/>
        <v>153681674.74478149</v>
      </c>
      <c r="W294" s="48">
        <f t="shared" si="107"/>
        <v>178356812.38708866</v>
      </c>
      <c r="X294" s="48">
        <f t="shared" si="107"/>
        <v>204624655.71443009</v>
      </c>
      <c r="Y294" s="48">
        <f t="shared" si="107"/>
        <v>232497946.88269198</v>
      </c>
      <c r="Z294" s="48">
        <f t="shared" si="107"/>
        <v>262006327.29198951</v>
      </c>
      <c r="AA294" s="48">
        <f t="shared" si="107"/>
        <v>293193145.02087259</v>
      </c>
      <c r="AB294" s="48">
        <f t="shared" si="107"/>
        <v>326113110.43733341</v>
      </c>
    </row>
    <row r="295" spans="3:28">
      <c r="D295" s="18" t="s">
        <v>278</v>
      </c>
      <c r="E295" s="62"/>
      <c r="F295" s="62"/>
    </row>
    <row r="296" spans="3:28">
      <c r="D296" s="18" t="s">
        <v>105</v>
      </c>
      <c r="E296" s="62"/>
      <c r="F296" s="62"/>
    </row>
    <row r="297" spans="3:28">
      <c r="D297" s="18" t="s">
        <v>279</v>
      </c>
      <c r="E297" s="63">
        <v>1</v>
      </c>
      <c r="F297" s="62"/>
      <c r="H297" s="21">
        <f>H190</f>
        <v>7060000</v>
      </c>
      <c r="I297" s="21">
        <f t="shared" ref="I297:AB297" si="108">I190</f>
        <v>10950000</v>
      </c>
      <c r="J297" s="21">
        <f t="shared" si="108"/>
        <v>16970000</v>
      </c>
      <c r="K297" s="21">
        <f t="shared" si="108"/>
        <v>21840000</v>
      </c>
      <c r="L297" s="21">
        <f t="shared" si="108"/>
        <v>29110000</v>
      </c>
      <c r="M297" s="21">
        <f t="shared" si="108"/>
        <v>29171968.969734028</v>
      </c>
      <c r="N297" s="21">
        <f t="shared" si="108"/>
        <v>34326709.933659434</v>
      </c>
      <c r="O297" s="21">
        <f t="shared" si="108"/>
        <v>42082566.808422506</v>
      </c>
      <c r="P297" s="21">
        <f t="shared" si="108"/>
        <v>50940217.236388385</v>
      </c>
      <c r="Q297" s="21">
        <f t="shared" si="108"/>
        <v>60939873.710682392</v>
      </c>
      <c r="R297" s="21">
        <f t="shared" si="108"/>
        <v>80903860.317507237</v>
      </c>
      <c r="S297" s="21">
        <f t="shared" si="108"/>
        <v>101156693.52780017</v>
      </c>
      <c r="T297" s="21">
        <f t="shared" si="108"/>
        <v>120959903.75343743</v>
      </c>
      <c r="U297" s="21">
        <f t="shared" si="108"/>
        <v>139717426.39480174</v>
      </c>
      <c r="V297" s="21">
        <f t="shared" si="108"/>
        <v>150482070.69125423</v>
      </c>
      <c r="W297" s="21">
        <f t="shared" si="108"/>
        <v>160840253.95835125</v>
      </c>
      <c r="X297" s="21">
        <f t="shared" si="108"/>
        <v>171007826.45566955</v>
      </c>
      <c r="Y297" s="21">
        <f t="shared" si="108"/>
        <v>181152387.6280036</v>
      </c>
      <c r="Z297" s="21">
        <f t="shared" si="108"/>
        <v>191405634.39656672</v>
      </c>
      <c r="AA297" s="21">
        <f t="shared" si="108"/>
        <v>201872636.65676725</v>
      </c>
      <c r="AB297" s="21">
        <f t="shared" si="108"/>
        <v>212638808.89488477</v>
      </c>
    </row>
    <row r="298" spans="3:28">
      <c r="D298" s="18" t="s">
        <v>280</v>
      </c>
      <c r="E298" s="62"/>
      <c r="F298" s="62">
        <v>-1</v>
      </c>
    </row>
    <row r="299" spans="3:28">
      <c r="D299" s="18" t="s">
        <v>281</v>
      </c>
      <c r="E299" s="63">
        <v>1</v>
      </c>
      <c r="F299" s="62"/>
      <c r="H299" s="21">
        <f>H199</f>
        <v>3280000</v>
      </c>
      <c r="I299" s="21">
        <f t="shared" ref="I299:AB299" si="109">I199</f>
        <v>3300000</v>
      </c>
      <c r="J299" s="21">
        <f t="shared" si="109"/>
        <v>4080000</v>
      </c>
      <c r="K299" s="21">
        <f t="shared" si="109"/>
        <v>4750000</v>
      </c>
      <c r="L299" s="21">
        <f t="shared" si="109"/>
        <v>4640000</v>
      </c>
      <c r="M299" s="21">
        <f t="shared" si="109"/>
        <v>5785164.3591822572</v>
      </c>
      <c r="N299" s="21">
        <f t="shared" si="109"/>
        <v>7273745.4097801698</v>
      </c>
      <c r="O299" s="21">
        <f t="shared" si="109"/>
        <v>9041319.4391616285</v>
      </c>
      <c r="P299" s="21">
        <f t="shared" si="109"/>
        <v>11114509.170509284</v>
      </c>
      <c r="Q299" s="21">
        <f t="shared" si="109"/>
        <v>13518143.952170996</v>
      </c>
      <c r="R299" s="21">
        <f t="shared" si="109"/>
        <v>16274641.094043545</v>
      </c>
      <c r="S299" s="21">
        <f t="shared" si="109"/>
        <v>19403457.300785139</v>
      </c>
      <c r="T299" s="21">
        <f t="shared" si="109"/>
        <v>22816941.128617059</v>
      </c>
      <c r="U299" s="21">
        <f t="shared" si="109"/>
        <v>26428169.756499432</v>
      </c>
      <c r="V299" s="21">
        <f t="shared" si="109"/>
        <v>30157886.290373508</v>
      </c>
      <c r="W299" s="21">
        <f t="shared" si="109"/>
        <v>33938086.369634666</v>
      </c>
      <c r="X299" s="21">
        <f t="shared" si="109"/>
        <v>37778974.50985074</v>
      </c>
      <c r="Y299" s="21">
        <f t="shared" si="109"/>
        <v>41690831.727317072</v>
      </c>
      <c r="Z299" s="21">
        <f t="shared" si="109"/>
        <v>45684043.857469693</v>
      </c>
      <c r="AA299" s="21">
        <f t="shared" si="109"/>
        <v>49769129.906025983</v>
      </c>
      <c r="AB299" s="21">
        <f t="shared" si="109"/>
        <v>53956770.512601174</v>
      </c>
    </row>
    <row r="300" spans="3:28">
      <c r="D300" s="18" t="s">
        <v>172</v>
      </c>
      <c r="E300" s="63"/>
      <c r="F300" s="62">
        <v>-1</v>
      </c>
      <c r="H300" s="21">
        <f>H204</f>
        <v>648000</v>
      </c>
      <c r="I300" s="21">
        <f t="shared" ref="I300:AB300" si="110">I204</f>
        <v>538000</v>
      </c>
      <c r="J300" s="21">
        <f t="shared" si="110"/>
        <v>971000</v>
      </c>
      <c r="K300" s="21">
        <f t="shared" si="110"/>
        <v>1950000</v>
      </c>
      <c r="L300" s="21">
        <f t="shared" si="110"/>
        <v>2700000</v>
      </c>
      <c r="M300" s="21">
        <f t="shared" si="110"/>
        <v>2700000</v>
      </c>
      <c r="N300" s="21">
        <f t="shared" si="110"/>
        <v>2700000</v>
      </c>
      <c r="O300" s="21">
        <f t="shared" si="110"/>
        <v>2700000</v>
      </c>
      <c r="P300" s="21">
        <f t="shared" si="110"/>
        <v>2700000</v>
      </c>
      <c r="Q300" s="21">
        <f t="shared" si="110"/>
        <v>2700000</v>
      </c>
      <c r="R300" s="21">
        <f t="shared" si="110"/>
        <v>2700000</v>
      </c>
      <c r="S300" s="21">
        <f t="shared" si="110"/>
        <v>2700000</v>
      </c>
      <c r="T300" s="21">
        <f t="shared" si="110"/>
        <v>2700000</v>
      </c>
      <c r="U300" s="21">
        <f t="shared" si="110"/>
        <v>2700000</v>
      </c>
      <c r="V300" s="21">
        <f t="shared" si="110"/>
        <v>2700000</v>
      </c>
      <c r="W300" s="21">
        <f t="shared" si="110"/>
        <v>2700000</v>
      </c>
      <c r="X300" s="21">
        <f t="shared" si="110"/>
        <v>2700000</v>
      </c>
      <c r="Y300" s="21">
        <f t="shared" si="110"/>
        <v>2700000</v>
      </c>
      <c r="Z300" s="21">
        <f t="shared" si="110"/>
        <v>2700000</v>
      </c>
      <c r="AA300" s="21">
        <f t="shared" si="110"/>
        <v>2700000</v>
      </c>
      <c r="AB300" s="21">
        <f t="shared" si="110"/>
        <v>2700000</v>
      </c>
    </row>
    <row r="301" spans="3:28" ht="15" thickBot="1">
      <c r="D301" s="35" t="s">
        <v>282</v>
      </c>
      <c r="E301" s="64"/>
      <c r="F301" s="64"/>
      <c r="G301" s="35"/>
      <c r="H301" s="48">
        <f>SUM(H294:H300)</f>
        <v>32432000</v>
      </c>
      <c r="I301" s="48">
        <f t="shared" ref="I301:AB301" si="111">SUM(I294:I300)</f>
        <v>39938000</v>
      </c>
      <c r="J301" s="48">
        <f t="shared" si="111"/>
        <v>54237000</v>
      </c>
      <c r="K301" s="48">
        <f t="shared" si="111"/>
        <v>64658000</v>
      </c>
      <c r="L301" s="48">
        <f t="shared" si="111"/>
        <v>82945000</v>
      </c>
      <c r="M301" s="48">
        <f t="shared" si="111"/>
        <v>69470557.638837472</v>
      </c>
      <c r="N301" s="48">
        <f t="shared" si="111"/>
        <v>87596766.286883563</v>
      </c>
      <c r="O301" s="48">
        <f t="shared" si="111"/>
        <v>107124118.74454664</v>
      </c>
      <c r="P301" s="48">
        <f t="shared" si="111"/>
        <v>130836701.9419914</v>
      </c>
      <c r="Q301" s="48">
        <f t="shared" si="111"/>
        <v>159330102.61204633</v>
      </c>
      <c r="R301" s="48">
        <f t="shared" si="111"/>
        <v>193229850.51862192</v>
      </c>
      <c r="S301" s="48">
        <f t="shared" si="111"/>
        <v>230109132.34919322</v>
      </c>
      <c r="T301" s="48">
        <f t="shared" si="111"/>
        <v>265780045.06268466</v>
      </c>
      <c r="U301" s="48">
        <f t="shared" si="111"/>
        <v>299566064.59759033</v>
      </c>
      <c r="V301" s="48">
        <f t="shared" si="111"/>
        <v>337021631.72640926</v>
      </c>
      <c r="W301" s="48">
        <f t="shared" si="111"/>
        <v>375835152.7150746</v>
      </c>
      <c r="X301" s="48">
        <f t="shared" si="111"/>
        <v>416111456.67995036</v>
      </c>
      <c r="Y301" s="48">
        <f t="shared" si="111"/>
        <v>458041166.23801267</v>
      </c>
      <c r="Z301" s="48">
        <f t="shared" si="111"/>
        <v>501796005.54602587</v>
      </c>
      <c r="AA301" s="48">
        <f t="shared" si="111"/>
        <v>547534911.58366585</v>
      </c>
      <c r="AB301" s="48">
        <f t="shared" si="111"/>
        <v>595408689.84481931</v>
      </c>
    </row>
    <row r="302" spans="3:28">
      <c r="D302" s="50"/>
      <c r="E302" s="62"/>
      <c r="F302" s="62"/>
    </row>
    <row r="303" spans="3:28">
      <c r="C303" s="18" t="s">
        <v>283</v>
      </c>
      <c r="E303" s="62"/>
      <c r="F303" s="62"/>
    </row>
    <row r="304" spans="3:28">
      <c r="D304" s="18" t="s">
        <v>284</v>
      </c>
      <c r="E304" s="62"/>
      <c r="F304" s="63">
        <v>1</v>
      </c>
      <c r="H304" s="21">
        <f>H225</f>
        <v>4970000</v>
      </c>
      <c r="I304" s="21">
        <f t="shared" ref="I304:AB304" si="112">I225</f>
        <v>6920000</v>
      </c>
      <c r="J304" s="21">
        <f t="shared" si="112"/>
        <v>16090000</v>
      </c>
      <c r="K304" s="21">
        <f t="shared" si="112"/>
        <v>17520000</v>
      </c>
      <c r="L304" s="21">
        <f t="shared" si="112"/>
        <v>20410000</v>
      </c>
      <c r="M304" s="21">
        <f t="shared" si="112"/>
        <v>0</v>
      </c>
      <c r="N304" s="21">
        <f t="shared" si="112"/>
        <v>0</v>
      </c>
      <c r="O304" s="21">
        <f t="shared" si="112"/>
        <v>0</v>
      </c>
      <c r="P304" s="21">
        <f t="shared" si="112"/>
        <v>0</v>
      </c>
      <c r="Q304" s="21">
        <f t="shared" si="112"/>
        <v>0</v>
      </c>
      <c r="R304" s="21">
        <f t="shared" si="112"/>
        <v>0</v>
      </c>
      <c r="S304" s="21">
        <f t="shared" si="112"/>
        <v>0</v>
      </c>
      <c r="T304" s="21">
        <f t="shared" si="112"/>
        <v>0</v>
      </c>
      <c r="U304" s="21">
        <f t="shared" si="112"/>
        <v>0</v>
      </c>
      <c r="V304" s="21">
        <f t="shared" si="112"/>
        <v>0</v>
      </c>
      <c r="W304" s="21">
        <f t="shared" si="112"/>
        <v>0</v>
      </c>
      <c r="X304" s="21">
        <f t="shared" si="112"/>
        <v>0</v>
      </c>
      <c r="Y304" s="21">
        <f t="shared" si="112"/>
        <v>0</v>
      </c>
      <c r="Z304" s="21">
        <f t="shared" si="112"/>
        <v>0</v>
      </c>
      <c r="AA304" s="21">
        <f t="shared" si="112"/>
        <v>0</v>
      </c>
      <c r="AB304" s="21">
        <f t="shared" si="112"/>
        <v>0</v>
      </c>
    </row>
    <row r="305" spans="4:28">
      <c r="D305" s="18" t="s">
        <v>285</v>
      </c>
      <c r="E305" s="63">
        <v>-1</v>
      </c>
      <c r="F305" s="62"/>
      <c r="H305" s="21">
        <f>H177</f>
        <v>13320000</v>
      </c>
      <c r="I305" s="21">
        <f t="shared" ref="I305:AB305" si="113">I177</f>
        <v>15130000</v>
      </c>
      <c r="J305" s="21">
        <f t="shared" si="113"/>
        <v>16459998.999999998</v>
      </c>
      <c r="K305" s="21">
        <f t="shared" si="113"/>
        <v>20400000</v>
      </c>
      <c r="L305" s="21">
        <f t="shared" si="113"/>
        <v>25310000</v>
      </c>
      <c r="M305" s="21">
        <f t="shared" si="113"/>
        <v>28739605.663080923</v>
      </c>
      <c r="N305" s="21">
        <f t="shared" si="113"/>
        <v>37576329.023809232</v>
      </c>
      <c r="O305" s="21">
        <f t="shared" si="113"/>
        <v>44717019.578700066</v>
      </c>
      <c r="P305" s="21">
        <f t="shared" si="113"/>
        <v>52601069.497726731</v>
      </c>
      <c r="Q305" s="21">
        <f t="shared" si="113"/>
        <v>61203575.966821216</v>
      </c>
      <c r="R305" s="21">
        <f t="shared" si="113"/>
        <v>70485907.456577092</v>
      </c>
      <c r="S305" s="21">
        <f t="shared" si="113"/>
        <v>81058793.575063661</v>
      </c>
      <c r="T305" s="21">
        <f t="shared" si="113"/>
        <v>90297498.174193576</v>
      </c>
      <c r="U305" s="21">
        <f t="shared" si="113"/>
        <v>98117490.905896619</v>
      </c>
      <c r="V305" s="21">
        <f t="shared" si="113"/>
        <v>102224007.7168707</v>
      </c>
      <c r="W305" s="21">
        <f t="shared" si="113"/>
        <v>107335208.10271426</v>
      </c>
      <c r="X305" s="21">
        <f t="shared" si="113"/>
        <v>112701968.50784998</v>
      </c>
      <c r="Y305" s="21">
        <f t="shared" si="113"/>
        <v>118337066.93324247</v>
      </c>
      <c r="Z305" s="21">
        <f t="shared" si="113"/>
        <v>124253920.2799046</v>
      </c>
      <c r="AA305" s="21">
        <f t="shared" si="113"/>
        <v>130466616.29389986</v>
      </c>
      <c r="AB305" s="21">
        <f t="shared" si="113"/>
        <v>136989947.10859486</v>
      </c>
    </row>
    <row r="306" spans="4:28">
      <c r="D306" s="18" t="s">
        <v>286</v>
      </c>
      <c r="E306" s="63"/>
      <c r="F306" s="62">
        <v>1</v>
      </c>
    </row>
    <row r="307" spans="4:28">
      <c r="D307" s="18" t="s">
        <v>287</v>
      </c>
      <c r="E307" s="63"/>
      <c r="F307" s="62">
        <v>1</v>
      </c>
      <c r="H307" s="21">
        <f>H180</f>
        <v>4550000</v>
      </c>
      <c r="I307" s="21">
        <f t="shared" ref="I307:AB307" si="114">I180</f>
        <v>6110000</v>
      </c>
      <c r="J307" s="21">
        <f t="shared" si="114"/>
        <v>8029999.5</v>
      </c>
      <c r="K307" s="21">
        <f t="shared" si="114"/>
        <v>10150000</v>
      </c>
      <c r="L307" s="21">
        <f t="shared" si="114"/>
        <v>13310000</v>
      </c>
      <c r="M307" s="21">
        <f t="shared" si="114"/>
        <v>12312956.557627639</v>
      </c>
      <c r="N307" s="21">
        <f t="shared" si="114"/>
        <v>15883713.959339654</v>
      </c>
      <c r="O307" s="21">
        <f t="shared" si="114"/>
        <v>19060456.751207583</v>
      </c>
      <c r="P307" s="21">
        <f t="shared" si="114"/>
        <v>22608007.485083424</v>
      </c>
      <c r="Q307" s="21">
        <f t="shared" si="114"/>
        <v>26523829.24728962</v>
      </c>
      <c r="R307" s="21">
        <f t="shared" si="114"/>
        <v>30799085.655183509</v>
      </c>
      <c r="S307" s="21">
        <f t="shared" si="114"/>
        <v>35418948.503461033</v>
      </c>
      <c r="T307" s="21">
        <f t="shared" si="114"/>
        <v>39455835.656638898</v>
      </c>
      <c r="U307" s="21">
        <f t="shared" si="114"/>
        <v>42872811.257258207</v>
      </c>
      <c r="V307" s="21">
        <f t="shared" si="114"/>
        <v>45694000.895152941</v>
      </c>
      <c r="W307" s="21">
        <f t="shared" si="114"/>
        <v>47978700.939910591</v>
      </c>
      <c r="X307" s="21">
        <f t="shared" si="114"/>
        <v>50377635.986906126</v>
      </c>
      <c r="Y307" s="21">
        <f t="shared" si="114"/>
        <v>52896517.786251433</v>
      </c>
      <c r="Z307" s="21">
        <f t="shared" si="114"/>
        <v>55541343.675564013</v>
      </c>
      <c r="AA307" s="21">
        <f t="shared" si="114"/>
        <v>58318410.859342217</v>
      </c>
      <c r="AB307" s="21">
        <f t="shared" si="114"/>
        <v>61234331.402309336</v>
      </c>
    </row>
    <row r="308" spans="4:28" ht="15" thickBot="1">
      <c r="D308" s="35" t="s">
        <v>288</v>
      </c>
      <c r="E308" s="64"/>
      <c r="F308" s="64"/>
      <c r="G308" s="35"/>
      <c r="H308" s="48">
        <f>SUM(H304:H307)</f>
        <v>22840000</v>
      </c>
      <c r="I308" s="48">
        <f t="shared" ref="I308:AB308" si="115">SUM(I304:I307)</f>
        <v>28160000</v>
      </c>
      <c r="J308" s="48">
        <f t="shared" si="115"/>
        <v>40579998.5</v>
      </c>
      <c r="K308" s="48">
        <f t="shared" si="115"/>
        <v>48070000</v>
      </c>
      <c r="L308" s="48">
        <f t="shared" si="115"/>
        <v>59030000</v>
      </c>
      <c r="M308" s="48">
        <f t="shared" si="115"/>
        <v>41052562.220708564</v>
      </c>
      <c r="N308" s="48">
        <f t="shared" si="115"/>
        <v>53460042.983148888</v>
      </c>
      <c r="O308" s="48">
        <f t="shared" si="115"/>
        <v>63777476.329907648</v>
      </c>
      <c r="P308" s="48">
        <f t="shared" si="115"/>
        <v>75209076.982810155</v>
      </c>
      <c r="Q308" s="48">
        <f t="shared" si="115"/>
        <v>87727405.214110836</v>
      </c>
      <c r="R308" s="48">
        <f t="shared" si="115"/>
        <v>101284993.1117606</v>
      </c>
      <c r="S308" s="48">
        <f t="shared" si="115"/>
        <v>116477742.07852469</v>
      </c>
      <c r="T308" s="48">
        <f t="shared" si="115"/>
        <v>129753333.83083248</v>
      </c>
      <c r="U308" s="48">
        <f t="shared" si="115"/>
        <v>140990302.16315484</v>
      </c>
      <c r="V308" s="48">
        <f t="shared" si="115"/>
        <v>147918008.61202365</v>
      </c>
      <c r="W308" s="48">
        <f t="shared" si="115"/>
        <v>155313909.04262483</v>
      </c>
      <c r="X308" s="48">
        <f t="shared" si="115"/>
        <v>163079604.4947561</v>
      </c>
      <c r="Y308" s="48">
        <f t="shared" si="115"/>
        <v>171233584.7194939</v>
      </c>
      <c r="Z308" s="48">
        <f t="shared" si="115"/>
        <v>179795263.95546862</v>
      </c>
      <c r="AA308" s="48">
        <f t="shared" si="115"/>
        <v>188785027.15324208</v>
      </c>
      <c r="AB308" s="48">
        <f t="shared" si="115"/>
        <v>198224278.51090419</v>
      </c>
    </row>
    <row r="309" spans="4:28">
      <c r="D309" s="18" t="s">
        <v>289</v>
      </c>
      <c r="E309" s="62"/>
      <c r="F309" s="62">
        <v>1</v>
      </c>
    </row>
    <row r="310" spans="4:28">
      <c r="D310" s="18" t="s">
        <v>290</v>
      </c>
      <c r="E310" s="62"/>
      <c r="F310" s="63">
        <v>1</v>
      </c>
      <c r="H310" s="21">
        <f t="shared" ref="H310:AB313" si="116">H210</f>
        <v>336000</v>
      </c>
      <c r="I310" s="21">
        <f t="shared" si="116"/>
        <v>457000</v>
      </c>
      <c r="J310" s="21">
        <f t="shared" si="116"/>
        <v>510000</v>
      </c>
      <c r="K310" s="21">
        <f t="shared" si="116"/>
        <v>932000</v>
      </c>
      <c r="L310" s="21">
        <f t="shared" si="116"/>
        <v>1400000</v>
      </c>
      <c r="M310" s="21">
        <f t="shared" si="116"/>
        <v>1400000</v>
      </c>
      <c r="N310" s="21">
        <f t="shared" si="116"/>
        <v>1400000</v>
      </c>
      <c r="O310" s="21">
        <f t="shared" si="116"/>
        <v>1400000</v>
      </c>
      <c r="P310" s="21">
        <f t="shared" si="116"/>
        <v>1400000</v>
      </c>
      <c r="Q310" s="21">
        <f t="shared" si="116"/>
        <v>1400000</v>
      </c>
      <c r="R310" s="21">
        <f t="shared" si="116"/>
        <v>1400000</v>
      </c>
      <c r="S310" s="21">
        <f t="shared" si="116"/>
        <v>1400000</v>
      </c>
      <c r="T310" s="21">
        <f t="shared" si="116"/>
        <v>1400000</v>
      </c>
      <c r="U310" s="21">
        <f t="shared" si="116"/>
        <v>1400000</v>
      </c>
      <c r="V310" s="21">
        <f t="shared" si="116"/>
        <v>1400000</v>
      </c>
      <c r="W310" s="21">
        <f t="shared" si="116"/>
        <v>1400000</v>
      </c>
      <c r="X310" s="21">
        <f t="shared" si="116"/>
        <v>1400000</v>
      </c>
      <c r="Y310" s="21">
        <f t="shared" si="116"/>
        <v>1400000</v>
      </c>
      <c r="Z310" s="21">
        <f t="shared" si="116"/>
        <v>1400000</v>
      </c>
      <c r="AA310" s="21">
        <f t="shared" si="116"/>
        <v>1400000</v>
      </c>
      <c r="AB310" s="21">
        <f t="shared" si="116"/>
        <v>1400000</v>
      </c>
    </row>
    <row r="311" spans="4:28">
      <c r="D311" s="18" t="s">
        <v>291</v>
      </c>
      <c r="E311" s="63">
        <v>-1</v>
      </c>
      <c r="F311" s="62"/>
      <c r="H311" s="21">
        <f t="shared" si="116"/>
        <v>-123000</v>
      </c>
      <c r="I311" s="21">
        <f t="shared" si="116"/>
        <v>344000</v>
      </c>
      <c r="J311" s="21">
        <f t="shared" si="116"/>
        <v>750000</v>
      </c>
      <c r="K311" s="21">
        <f t="shared" si="116"/>
        <v>325000</v>
      </c>
      <c r="L311" s="21">
        <f t="shared" si="116"/>
        <v>-62000</v>
      </c>
      <c r="M311" s="21">
        <f t="shared" si="116"/>
        <v>-62000</v>
      </c>
      <c r="N311" s="21">
        <f t="shared" si="116"/>
        <v>-62000</v>
      </c>
      <c r="O311" s="21">
        <f t="shared" si="116"/>
        <v>-62000</v>
      </c>
      <c r="P311" s="21">
        <f t="shared" si="116"/>
        <v>-62000</v>
      </c>
      <c r="Q311" s="21">
        <f t="shared" si="116"/>
        <v>-62000</v>
      </c>
      <c r="R311" s="21">
        <f t="shared" si="116"/>
        <v>-62000</v>
      </c>
      <c r="S311" s="21">
        <f t="shared" si="116"/>
        <v>-62000</v>
      </c>
      <c r="T311" s="21">
        <f t="shared" si="116"/>
        <v>-62000</v>
      </c>
      <c r="U311" s="21">
        <f t="shared" si="116"/>
        <v>-62000</v>
      </c>
      <c r="V311" s="21">
        <f t="shared" si="116"/>
        <v>-62000</v>
      </c>
      <c r="W311" s="21">
        <f t="shared" si="116"/>
        <v>-62000</v>
      </c>
      <c r="X311" s="21">
        <f t="shared" si="116"/>
        <v>-62000</v>
      </c>
      <c r="Y311" s="21">
        <f t="shared" si="116"/>
        <v>-62000</v>
      </c>
      <c r="Z311" s="21">
        <f t="shared" si="116"/>
        <v>-62000</v>
      </c>
      <c r="AA311" s="21">
        <f t="shared" si="116"/>
        <v>-62000</v>
      </c>
      <c r="AB311" s="21">
        <f t="shared" si="116"/>
        <v>-62000</v>
      </c>
    </row>
    <row r="312" spans="4:28">
      <c r="D312" s="18" t="s">
        <v>292</v>
      </c>
      <c r="E312" s="63">
        <v>-1</v>
      </c>
      <c r="F312" s="62"/>
      <c r="H312" s="21">
        <f t="shared" si="116"/>
        <v>1200000</v>
      </c>
      <c r="I312" s="21">
        <f t="shared" si="116"/>
        <v>1220000</v>
      </c>
      <c r="J312" s="21">
        <f t="shared" si="116"/>
        <v>1660000</v>
      </c>
      <c r="K312" s="21">
        <f t="shared" si="116"/>
        <v>1960000</v>
      </c>
      <c r="L312" s="21">
        <f t="shared" si="116"/>
        <v>3300000</v>
      </c>
      <c r="M312" s="21">
        <f t="shared" si="116"/>
        <v>3300000</v>
      </c>
      <c r="N312" s="21">
        <f t="shared" si="116"/>
        <v>3300000</v>
      </c>
      <c r="O312" s="21">
        <f t="shared" si="116"/>
        <v>3300000</v>
      </c>
      <c r="P312" s="21">
        <f t="shared" si="116"/>
        <v>3300000</v>
      </c>
      <c r="Q312" s="21">
        <f t="shared" si="116"/>
        <v>3300000</v>
      </c>
      <c r="R312" s="21">
        <f t="shared" si="116"/>
        <v>3300000</v>
      </c>
      <c r="S312" s="21">
        <f t="shared" si="116"/>
        <v>3300000</v>
      </c>
      <c r="T312" s="21">
        <f t="shared" si="116"/>
        <v>3300000</v>
      </c>
      <c r="U312" s="21">
        <f t="shared" si="116"/>
        <v>3300000</v>
      </c>
      <c r="V312" s="21">
        <f t="shared" si="116"/>
        <v>3300000</v>
      </c>
      <c r="W312" s="21">
        <f t="shared" si="116"/>
        <v>3300000</v>
      </c>
      <c r="X312" s="21">
        <f t="shared" si="116"/>
        <v>3300000</v>
      </c>
      <c r="Y312" s="21">
        <f t="shared" si="116"/>
        <v>3300000</v>
      </c>
      <c r="Z312" s="21">
        <f t="shared" si="116"/>
        <v>3300000</v>
      </c>
      <c r="AA312" s="21">
        <f t="shared" si="116"/>
        <v>3300000</v>
      </c>
      <c r="AB312" s="21">
        <f t="shared" si="116"/>
        <v>3300000</v>
      </c>
    </row>
    <row r="313" spans="4:28">
      <c r="D313" s="18" t="s">
        <v>293</v>
      </c>
      <c r="E313" s="63">
        <v>-1</v>
      </c>
      <c r="F313" s="62"/>
      <c r="H313" s="21">
        <f t="shared" si="116"/>
        <v>-10999.5</v>
      </c>
      <c r="I313" s="21">
        <f t="shared" si="116"/>
        <v>7000</v>
      </c>
      <c r="J313" s="21">
        <f t="shared" si="116"/>
        <v>-2998.5</v>
      </c>
      <c r="K313" s="21">
        <f t="shared" si="116"/>
        <v>-9000</v>
      </c>
      <c r="L313" s="21">
        <f t="shared" si="116"/>
        <v>-13000</v>
      </c>
      <c r="M313" s="21">
        <f t="shared" si="116"/>
        <v>-13000</v>
      </c>
      <c r="N313" s="21">
        <f t="shared" si="116"/>
        <v>-13000</v>
      </c>
      <c r="O313" s="21">
        <f t="shared" si="116"/>
        <v>-13000</v>
      </c>
      <c r="P313" s="21">
        <f t="shared" si="116"/>
        <v>-13000</v>
      </c>
      <c r="Q313" s="21">
        <f t="shared" si="116"/>
        <v>-13000</v>
      </c>
      <c r="R313" s="21">
        <f t="shared" si="116"/>
        <v>-13000</v>
      </c>
      <c r="S313" s="21">
        <f t="shared" si="116"/>
        <v>-13000</v>
      </c>
      <c r="T313" s="21">
        <f t="shared" si="116"/>
        <v>-13000</v>
      </c>
      <c r="U313" s="21">
        <f t="shared" si="116"/>
        <v>-13000</v>
      </c>
      <c r="V313" s="21">
        <f t="shared" si="116"/>
        <v>-13000</v>
      </c>
      <c r="W313" s="21">
        <f t="shared" si="116"/>
        <v>-13000</v>
      </c>
      <c r="X313" s="21">
        <f t="shared" si="116"/>
        <v>-13000</v>
      </c>
      <c r="Y313" s="21">
        <f t="shared" si="116"/>
        <v>-13000</v>
      </c>
      <c r="Z313" s="21">
        <f t="shared" si="116"/>
        <v>-13000</v>
      </c>
      <c r="AA313" s="21">
        <f t="shared" si="116"/>
        <v>-13000</v>
      </c>
      <c r="AB313" s="21">
        <f t="shared" si="116"/>
        <v>-13000</v>
      </c>
    </row>
    <row r="314" spans="4:28" ht="15" thickBot="1">
      <c r="D314" s="35" t="s">
        <v>294</v>
      </c>
      <c r="E314" s="64"/>
      <c r="F314" s="64"/>
      <c r="G314" s="35"/>
      <c r="H314" s="48">
        <f>SUM(H308:H313)</f>
        <v>24242000.5</v>
      </c>
      <c r="I314" s="48">
        <f t="shared" ref="I314:AB314" si="117">SUM(I308:I313)</f>
        <v>30188000</v>
      </c>
      <c r="J314" s="48">
        <f t="shared" si="117"/>
        <v>43497000</v>
      </c>
      <c r="K314" s="48">
        <f t="shared" si="117"/>
        <v>51278000</v>
      </c>
      <c r="L314" s="48">
        <f t="shared" si="117"/>
        <v>63655000</v>
      </c>
      <c r="M314" s="48">
        <f t="shared" si="117"/>
        <v>45677562.220708564</v>
      </c>
      <c r="N314" s="48">
        <f t="shared" si="117"/>
        <v>58085042.983148888</v>
      </c>
      <c r="O314" s="48">
        <f t="shared" si="117"/>
        <v>68402476.329907656</v>
      </c>
      <c r="P314" s="48">
        <f t="shared" si="117"/>
        <v>79834076.982810155</v>
      </c>
      <c r="Q314" s="48">
        <f t="shared" si="117"/>
        <v>92352405.214110836</v>
      </c>
      <c r="R314" s="48">
        <f t="shared" si="117"/>
        <v>105909993.1117606</v>
      </c>
      <c r="S314" s="48">
        <f t="shared" si="117"/>
        <v>121102742.07852469</v>
      </c>
      <c r="T314" s="48">
        <f t="shared" si="117"/>
        <v>134378333.83083248</v>
      </c>
      <c r="U314" s="48">
        <f t="shared" si="117"/>
        <v>145615302.16315484</v>
      </c>
      <c r="V314" s="48">
        <f t="shared" si="117"/>
        <v>152543008.61202365</v>
      </c>
      <c r="W314" s="48">
        <f t="shared" si="117"/>
        <v>159938909.04262483</v>
      </c>
      <c r="X314" s="48">
        <f t="shared" si="117"/>
        <v>167704604.4947561</v>
      </c>
      <c r="Y314" s="48">
        <f t="shared" si="117"/>
        <v>175858584.7194939</v>
      </c>
      <c r="Z314" s="48">
        <f t="shared" si="117"/>
        <v>184420263.95546862</v>
      </c>
      <c r="AA314" s="48">
        <f t="shared" si="117"/>
        <v>193410027.15324208</v>
      </c>
      <c r="AB314" s="48">
        <f t="shared" si="117"/>
        <v>202849278.51090419</v>
      </c>
    </row>
    <row r="315" spans="4:28">
      <c r="D315" s="18" t="s">
        <v>295</v>
      </c>
      <c r="E315" s="62"/>
      <c r="F315" s="62">
        <v>1</v>
      </c>
    </row>
    <row r="316" spans="4:28">
      <c r="D316" s="18" t="s">
        <v>296</v>
      </c>
      <c r="E316" s="62"/>
      <c r="F316" s="62">
        <v>1</v>
      </c>
    </row>
    <row r="317" spans="4:28">
      <c r="D317" s="18" t="s">
        <v>297</v>
      </c>
      <c r="E317" s="62"/>
      <c r="F317" s="63">
        <v>1</v>
      </c>
      <c r="H317" s="21">
        <f>H286</f>
        <v>8189999.5</v>
      </c>
      <c r="I317" s="21">
        <f t="shared" ref="I317:AB317" si="118">I286</f>
        <v>9750000</v>
      </c>
      <c r="J317" s="21">
        <f t="shared" si="118"/>
        <v>10740000</v>
      </c>
      <c r="K317" s="21">
        <f t="shared" si="118"/>
        <v>13380000</v>
      </c>
      <c r="L317" s="21">
        <f t="shared" si="118"/>
        <v>19290000</v>
      </c>
      <c r="M317" s="21">
        <f t="shared" si="118"/>
        <v>23792995.4181289</v>
      </c>
      <c r="N317" s="21">
        <f t="shared" si="118"/>
        <v>29511723.30373466</v>
      </c>
      <c r="O317" s="21">
        <f t="shared" si="118"/>
        <v>38721642.414638981</v>
      </c>
      <c r="P317" s="21">
        <f t="shared" si="118"/>
        <v>51002624.959181234</v>
      </c>
      <c r="Q317" s="21">
        <f t="shared" si="118"/>
        <v>66977697.397935495</v>
      </c>
      <c r="R317" s="21">
        <f t="shared" si="118"/>
        <v>87319857.406861305</v>
      </c>
      <c r="S317" s="21">
        <f t="shared" si="118"/>
        <v>109006390.27066854</v>
      </c>
      <c r="T317" s="21">
        <f t="shared" si="118"/>
        <v>131401711.2318522</v>
      </c>
      <c r="U317" s="21">
        <f t="shared" si="118"/>
        <v>153950762.43443549</v>
      </c>
      <c r="V317" s="21">
        <f t="shared" si="118"/>
        <v>184478623.1143856</v>
      </c>
      <c r="W317" s="21">
        <f t="shared" si="118"/>
        <v>215896243.67244977</v>
      </c>
      <c r="X317" s="21">
        <f t="shared" si="118"/>
        <v>248406852.18519434</v>
      </c>
      <c r="Y317" s="21">
        <f t="shared" si="118"/>
        <v>282182581.51851881</v>
      </c>
      <c r="Z317" s="21">
        <f t="shared" si="118"/>
        <v>317375741.59055734</v>
      </c>
      <c r="AA317" s="21">
        <f t="shared" si="118"/>
        <v>354124884.4304238</v>
      </c>
      <c r="AB317" s="21">
        <f t="shared" si="118"/>
        <v>392559411.33391523</v>
      </c>
    </row>
    <row r="318" spans="4:28" ht="15" thickBot="1">
      <c r="D318" s="35" t="s">
        <v>283</v>
      </c>
      <c r="E318" s="64"/>
      <c r="F318" s="64"/>
      <c r="G318" s="35"/>
      <c r="H318" s="48">
        <f>H317+H314</f>
        <v>32432000</v>
      </c>
      <c r="I318" s="48">
        <f t="shared" ref="I318:AB318" si="119">I317+I314</f>
        <v>39938000</v>
      </c>
      <c r="J318" s="48">
        <f t="shared" si="119"/>
        <v>54237000</v>
      </c>
      <c r="K318" s="48">
        <f t="shared" si="119"/>
        <v>64658000</v>
      </c>
      <c r="L318" s="48">
        <f t="shared" si="119"/>
        <v>82945000</v>
      </c>
      <c r="M318" s="48">
        <f t="shared" si="119"/>
        <v>69470557.638837457</v>
      </c>
      <c r="N318" s="48">
        <f t="shared" si="119"/>
        <v>87596766.286883548</v>
      </c>
      <c r="O318" s="48">
        <f t="shared" si="119"/>
        <v>107124118.74454664</v>
      </c>
      <c r="P318" s="48">
        <f t="shared" si="119"/>
        <v>130836701.94199139</v>
      </c>
      <c r="Q318" s="48">
        <f t="shared" si="119"/>
        <v>159330102.61204633</v>
      </c>
      <c r="R318" s="48">
        <f t="shared" si="119"/>
        <v>193229850.51862192</v>
      </c>
      <c r="S318" s="48">
        <f t="shared" si="119"/>
        <v>230109132.34919322</v>
      </c>
      <c r="T318" s="48">
        <f t="shared" si="119"/>
        <v>265780045.06268468</v>
      </c>
      <c r="U318" s="48">
        <f t="shared" si="119"/>
        <v>299566064.59759033</v>
      </c>
      <c r="V318" s="48">
        <f t="shared" si="119"/>
        <v>337021631.72640926</v>
      </c>
      <c r="W318" s="48">
        <f t="shared" si="119"/>
        <v>375835152.7150746</v>
      </c>
      <c r="X318" s="48">
        <f t="shared" si="119"/>
        <v>416111456.67995048</v>
      </c>
      <c r="Y318" s="48">
        <f t="shared" si="119"/>
        <v>458041166.23801267</v>
      </c>
      <c r="Z318" s="48">
        <f t="shared" si="119"/>
        <v>501796005.54602599</v>
      </c>
      <c r="AA318" s="48">
        <f t="shared" si="119"/>
        <v>547534911.58366585</v>
      </c>
      <c r="AB318" s="48">
        <f t="shared" si="119"/>
        <v>595408689.84481943</v>
      </c>
    </row>
    <row r="320" spans="4:28">
      <c r="D320" s="18" t="s">
        <v>62</v>
      </c>
      <c r="H320" s="21">
        <f>H318-H301</f>
        <v>0</v>
      </c>
      <c r="I320" s="21">
        <f t="shared" ref="I320:AB320" si="120">I318-I301</f>
        <v>0</v>
      </c>
      <c r="J320" s="21">
        <f t="shared" si="120"/>
        <v>0</v>
      </c>
      <c r="K320" s="21">
        <f t="shared" si="120"/>
        <v>0</v>
      </c>
      <c r="L320" s="21">
        <f t="shared" si="120"/>
        <v>0</v>
      </c>
      <c r="M320" s="21">
        <f t="shared" si="120"/>
        <v>0</v>
      </c>
      <c r="N320" s="21">
        <f t="shared" si="120"/>
        <v>0</v>
      </c>
      <c r="O320" s="21">
        <f t="shared" si="120"/>
        <v>0</v>
      </c>
      <c r="P320" s="21">
        <f t="shared" si="120"/>
        <v>0</v>
      </c>
      <c r="Q320" s="21">
        <f t="shared" si="120"/>
        <v>0</v>
      </c>
      <c r="R320" s="21">
        <f t="shared" si="120"/>
        <v>0</v>
      </c>
      <c r="S320" s="21">
        <f t="shared" si="120"/>
        <v>0</v>
      </c>
      <c r="T320" s="21">
        <f t="shared" si="120"/>
        <v>0</v>
      </c>
      <c r="U320" s="21">
        <f t="shared" si="120"/>
        <v>0</v>
      </c>
      <c r="V320" s="21">
        <f t="shared" si="120"/>
        <v>0</v>
      </c>
      <c r="W320" s="21">
        <f t="shared" si="120"/>
        <v>0</v>
      </c>
      <c r="X320" s="21">
        <f t="shared" si="120"/>
        <v>0</v>
      </c>
      <c r="Y320" s="21">
        <f t="shared" si="120"/>
        <v>0</v>
      </c>
      <c r="Z320" s="21">
        <f t="shared" si="120"/>
        <v>0</v>
      </c>
      <c r="AA320" s="21">
        <f t="shared" si="120"/>
        <v>0</v>
      </c>
      <c r="AB320" s="21">
        <f t="shared" si="120"/>
        <v>0</v>
      </c>
    </row>
    <row r="321" spans="4:28">
      <c r="G321" s="18" t="b">
        <f>AND(H321:AB321)</f>
        <v>1</v>
      </c>
      <c r="H321" s="21" t="b">
        <f>H320=0</f>
        <v>1</v>
      </c>
      <c r="I321" s="21" t="b">
        <f t="shared" ref="I321:AB321" si="121">I320=0</f>
        <v>1</v>
      </c>
      <c r="J321" s="21" t="b">
        <f t="shared" si="121"/>
        <v>1</v>
      </c>
      <c r="K321" s="21" t="b">
        <f t="shared" si="121"/>
        <v>1</v>
      </c>
      <c r="L321" s="21" t="b">
        <f t="shared" si="121"/>
        <v>1</v>
      </c>
      <c r="M321" s="21" t="b">
        <f t="shared" si="121"/>
        <v>1</v>
      </c>
      <c r="N321" s="21" t="b">
        <f t="shared" si="121"/>
        <v>1</v>
      </c>
      <c r="O321" s="21" t="b">
        <f t="shared" si="121"/>
        <v>1</v>
      </c>
      <c r="P321" s="21" t="b">
        <f t="shared" si="121"/>
        <v>1</v>
      </c>
      <c r="Q321" s="21" t="b">
        <f t="shared" si="121"/>
        <v>1</v>
      </c>
      <c r="R321" s="21" t="b">
        <f t="shared" si="121"/>
        <v>1</v>
      </c>
      <c r="S321" s="21" t="b">
        <f t="shared" si="121"/>
        <v>1</v>
      </c>
      <c r="T321" s="21" t="b">
        <f t="shared" si="121"/>
        <v>1</v>
      </c>
      <c r="U321" s="21" t="b">
        <f t="shared" si="121"/>
        <v>1</v>
      </c>
      <c r="V321" s="21" t="b">
        <f t="shared" si="121"/>
        <v>1</v>
      </c>
      <c r="W321" s="21" t="b">
        <f t="shared" si="121"/>
        <v>1</v>
      </c>
      <c r="X321" s="21" t="b">
        <f t="shared" si="121"/>
        <v>1</v>
      </c>
      <c r="Y321" s="21" t="b">
        <f t="shared" si="121"/>
        <v>1</v>
      </c>
      <c r="Z321" s="21" t="b">
        <f t="shared" si="121"/>
        <v>1</v>
      </c>
      <c r="AA321" s="21" t="b">
        <f t="shared" si="121"/>
        <v>1</v>
      </c>
      <c r="AB321" s="21" t="b">
        <f t="shared" si="121"/>
        <v>1</v>
      </c>
    </row>
    <row r="322" spans="4:28">
      <c r="D322" s="18" t="s">
        <v>86</v>
      </c>
      <c r="E322" s="18">
        <v>1</v>
      </c>
      <c r="H322" s="61">
        <f>SUMPRODUCT(H289:H318,$E$289:$E$318)</f>
        <v>5796999.5</v>
      </c>
      <c r="I322" s="61">
        <f t="shared" ref="I322:AB322" si="122">SUMPRODUCT(I289:I318,$E$289:$E$318)</f>
        <v>9729000</v>
      </c>
      <c r="J322" s="61">
        <f t="shared" si="122"/>
        <v>16092999.5</v>
      </c>
      <c r="K322" s="61">
        <f t="shared" si="122"/>
        <v>19804000</v>
      </c>
      <c r="L322" s="61">
        <f t="shared" si="122"/>
        <v>25015000</v>
      </c>
      <c r="M322" s="61">
        <f t="shared" si="122"/>
        <v>27169988.748052247</v>
      </c>
      <c r="N322" s="61">
        <f t="shared" si="122"/>
        <v>32906919.537438385</v>
      </c>
      <c r="O322" s="61">
        <f t="shared" si="122"/>
        <v>41399072.488694504</v>
      </c>
      <c r="P322" s="61">
        <f t="shared" si="122"/>
        <v>51193281.864864044</v>
      </c>
      <c r="Q322" s="61">
        <f t="shared" si="122"/>
        <v>62358613.130747668</v>
      </c>
      <c r="R322" s="61">
        <f t="shared" si="122"/>
        <v>83745804.451547116</v>
      </c>
      <c r="S322" s="61">
        <f t="shared" si="122"/>
        <v>105596299.32458107</v>
      </c>
      <c r="T322" s="61">
        <f t="shared" si="122"/>
        <v>127475053.63585417</v>
      </c>
      <c r="U322" s="61">
        <f t="shared" si="122"/>
        <v>148711321.56318134</v>
      </c>
      <c r="V322" s="61">
        <f t="shared" si="122"/>
        <v>164620636.73098496</v>
      </c>
      <c r="W322" s="61">
        <f t="shared" si="122"/>
        <v>178119304.06481099</v>
      </c>
      <c r="X322" s="61">
        <f t="shared" si="122"/>
        <v>191456062.88918656</v>
      </c>
      <c r="Y322" s="61">
        <f t="shared" si="122"/>
        <v>204807194.37517032</v>
      </c>
      <c r="Z322" s="61">
        <f t="shared" si="122"/>
        <v>218313102.0248785</v>
      </c>
      <c r="AA322" s="61">
        <f t="shared" si="122"/>
        <v>232087611.52217743</v>
      </c>
      <c r="AB322" s="61">
        <f t="shared" si="122"/>
        <v>246224966.61483935</v>
      </c>
    </row>
    <row r="323" spans="4:28">
      <c r="D323" s="18" t="s">
        <v>86</v>
      </c>
      <c r="E323" s="18">
        <v>2</v>
      </c>
      <c r="H323" s="60">
        <f>SUMPRODUCT(H289:H318,$F$289:$F$318)</f>
        <v>5796999.5</v>
      </c>
      <c r="I323" s="60">
        <f t="shared" ref="I323:AB323" si="123">SUMPRODUCT(I289:I318,$F$289:$F$318)</f>
        <v>9729000</v>
      </c>
      <c r="J323" s="60">
        <f t="shared" si="123"/>
        <v>16092999.5</v>
      </c>
      <c r="K323" s="60">
        <f t="shared" si="123"/>
        <v>19804000</v>
      </c>
      <c r="L323" s="60">
        <f t="shared" si="123"/>
        <v>25015000</v>
      </c>
      <c r="M323" s="60">
        <f t="shared" si="123"/>
        <v>27169988.748052239</v>
      </c>
      <c r="N323" s="60">
        <f t="shared" si="123"/>
        <v>32906919.537438378</v>
      </c>
      <c r="O323" s="60">
        <f t="shared" si="123"/>
        <v>41399072.488694489</v>
      </c>
      <c r="P323" s="60">
        <f t="shared" si="123"/>
        <v>51193281.864864036</v>
      </c>
      <c r="Q323" s="60">
        <f t="shared" si="123"/>
        <v>62358613.130747654</v>
      </c>
      <c r="R323" s="60">
        <f t="shared" si="123"/>
        <v>83745804.451547101</v>
      </c>
      <c r="S323" s="60">
        <f t="shared" si="123"/>
        <v>105596299.32458109</v>
      </c>
      <c r="T323" s="60">
        <f t="shared" si="123"/>
        <v>127475053.63585418</v>
      </c>
      <c r="U323" s="60">
        <f t="shared" si="123"/>
        <v>148711321.56318131</v>
      </c>
      <c r="V323" s="60">
        <f t="shared" si="123"/>
        <v>164620636.73098493</v>
      </c>
      <c r="W323" s="60">
        <f t="shared" si="123"/>
        <v>178119304.06481099</v>
      </c>
      <c r="X323" s="60">
        <f t="shared" si="123"/>
        <v>191456062.88918662</v>
      </c>
      <c r="Y323" s="60">
        <f t="shared" si="123"/>
        <v>204807194.37517035</v>
      </c>
      <c r="Z323" s="60">
        <f t="shared" si="123"/>
        <v>218313102.02487853</v>
      </c>
      <c r="AA323" s="60">
        <f t="shared" si="123"/>
        <v>232087611.52217746</v>
      </c>
      <c r="AB323" s="60">
        <f t="shared" si="123"/>
        <v>246224966.6148394</v>
      </c>
    </row>
    <row r="324" spans="4:28">
      <c r="D324" s="18" t="s">
        <v>9</v>
      </c>
      <c r="E324" s="18">
        <v>3</v>
      </c>
      <c r="H324" s="19">
        <f>H323-H317</f>
        <v>-2393000</v>
      </c>
      <c r="I324" s="19">
        <f t="shared" ref="I324:AB324" si="124">I323-I317</f>
        <v>-21000</v>
      </c>
      <c r="J324" s="19">
        <f t="shared" si="124"/>
        <v>5352999.5</v>
      </c>
      <c r="K324" s="19">
        <f t="shared" si="124"/>
        <v>6424000</v>
      </c>
      <c r="L324" s="19">
        <f t="shared" si="124"/>
        <v>5725000</v>
      </c>
      <c r="M324" s="19">
        <f t="shared" si="124"/>
        <v>3376993.3299233392</v>
      </c>
      <c r="N324" s="19">
        <f t="shared" si="124"/>
        <v>3395196.2337037176</v>
      </c>
      <c r="O324" s="19">
        <f t="shared" si="124"/>
        <v>2677430.0740555078</v>
      </c>
      <c r="P324" s="19">
        <f t="shared" si="124"/>
        <v>190656.9056828022</v>
      </c>
      <c r="Q324" s="19">
        <f t="shared" si="124"/>
        <v>-4619084.2671878412</v>
      </c>
      <c r="R324" s="19">
        <f t="shared" si="124"/>
        <v>-3574052.9553142041</v>
      </c>
      <c r="S324" s="19">
        <f t="shared" si="124"/>
        <v>-3410090.9460874498</v>
      </c>
      <c r="T324" s="19">
        <f t="shared" si="124"/>
        <v>-3926657.595998019</v>
      </c>
      <c r="U324" s="19">
        <f t="shared" si="124"/>
        <v>-5239440.8712541759</v>
      </c>
      <c r="V324" s="19">
        <f t="shared" si="124"/>
        <v>-19857986.383400679</v>
      </c>
      <c r="W324" s="19">
        <f t="shared" si="124"/>
        <v>-37776939.607638776</v>
      </c>
      <c r="X324" s="19">
        <f t="shared" si="124"/>
        <v>-56950789.296007723</v>
      </c>
      <c r="Y324" s="19">
        <f t="shared" si="124"/>
        <v>-77375387.143348455</v>
      </c>
      <c r="Z324" s="19">
        <f t="shared" si="124"/>
        <v>-99062639.565678805</v>
      </c>
      <c r="AA324" s="19">
        <f t="shared" si="124"/>
        <v>-122037272.90824634</v>
      </c>
      <c r="AB324" s="19">
        <f t="shared" si="124"/>
        <v>-146334444.71907583</v>
      </c>
    </row>
    <row r="325" spans="4:28">
      <c r="D325" s="18" t="s">
        <v>75</v>
      </c>
      <c r="E325" s="18">
        <v>4</v>
      </c>
      <c r="H325" s="20">
        <f>H249/AVERAGE(G322:H322)</f>
        <v>0.14438503919139548</v>
      </c>
      <c r="I325" s="20">
        <f t="shared" ref="I325:AB325" si="125">I249/AVERAGE(H322:I322)</f>
        <v>0.10975138830836624</v>
      </c>
      <c r="J325" s="20">
        <f t="shared" si="125"/>
        <v>2.3158528060540005E-2</v>
      </c>
      <c r="K325" s="20">
        <f t="shared" si="125"/>
        <v>0.13427306090025715</v>
      </c>
      <c r="L325" s="20">
        <f t="shared" si="125"/>
        <v>0.19723777862067426</v>
      </c>
      <c r="M325" s="20">
        <f t="shared" si="125"/>
        <v>0.28487909356159347</v>
      </c>
      <c r="N325" s="20">
        <f t="shared" si="125"/>
        <v>0.31180846933879414</v>
      </c>
      <c r="O325" s="20">
        <f t="shared" si="125"/>
        <v>0.40028834769998911</v>
      </c>
      <c r="P325" s="20">
        <f t="shared" si="125"/>
        <v>0.42578347872859812</v>
      </c>
      <c r="Q325" s="20">
        <f t="shared" si="125"/>
        <v>0.44964930985861501</v>
      </c>
      <c r="R325" s="20">
        <f t="shared" si="125"/>
        <v>0.44352110523877764</v>
      </c>
      <c r="S325" s="20">
        <f t="shared" si="125"/>
        <v>0.36456042537164501</v>
      </c>
      <c r="T325" s="20">
        <f t="shared" si="125"/>
        <v>0.30563258069387739</v>
      </c>
      <c r="U325" s="20">
        <f t="shared" si="125"/>
        <v>0.25955707158139241</v>
      </c>
      <c r="V325" s="20">
        <f t="shared" si="125"/>
        <v>0.3091831171305931</v>
      </c>
      <c r="W325" s="20">
        <f t="shared" si="125"/>
        <v>0.29048090472908256</v>
      </c>
      <c r="X325" s="20">
        <f t="shared" si="125"/>
        <v>0.27832941245278719</v>
      </c>
      <c r="Y325" s="20">
        <f t="shared" si="125"/>
        <v>0.26927035742804423</v>
      </c>
      <c r="Z325" s="20">
        <f t="shared" si="125"/>
        <v>0.26236388679172545</v>
      </c>
      <c r="AA325" s="20">
        <f t="shared" si="125"/>
        <v>0.25699042934420369</v>
      </c>
      <c r="AB325" s="20">
        <f t="shared" si="125"/>
        <v>0.25273085458214933</v>
      </c>
    </row>
    <row r="326" spans="4:28">
      <c r="D326" s="18" t="s">
        <v>365</v>
      </c>
      <c r="E326" s="18">
        <v>5</v>
      </c>
      <c r="H326" s="20">
        <f t="shared" ref="H326:AB326" si="126">H257/H317</f>
        <v>-4.7619050526193562E-3</v>
      </c>
      <c r="I326" s="20">
        <f t="shared" si="126"/>
        <v>2.8102564102564103E-2</v>
      </c>
      <c r="J326" s="20">
        <f t="shared" si="126"/>
        <v>-2.2439478584729982E-2</v>
      </c>
      <c r="K326" s="20">
        <f t="shared" si="126"/>
        <v>4.4544095665171896E-2</v>
      </c>
      <c r="L326" s="20">
        <f t="shared" si="126"/>
        <v>0.12286158631415241</v>
      </c>
      <c r="M326" s="20">
        <f t="shared" si="126"/>
        <v>0.18925718847059822</v>
      </c>
      <c r="N326" s="20">
        <f t="shared" si="126"/>
        <v>0.1937781750915937</v>
      </c>
      <c r="O326" s="20">
        <f t="shared" si="126"/>
        <v>0.23784939213793396</v>
      </c>
      <c r="P326" s="20">
        <f t="shared" si="126"/>
        <v>0.24079118583349482</v>
      </c>
      <c r="Q326" s="20">
        <f t="shared" si="126"/>
        <v>0.23851331203342729</v>
      </c>
      <c r="R326" s="20">
        <f t="shared" si="126"/>
        <v>0.23296144328480531</v>
      </c>
      <c r="S326" s="20">
        <f t="shared" si="126"/>
        <v>0.19894735354467241</v>
      </c>
      <c r="T326" s="20">
        <f t="shared" si="126"/>
        <v>0.1704340130066356</v>
      </c>
      <c r="U326" s="20">
        <f t="shared" si="126"/>
        <v>0.14646924020390267</v>
      </c>
      <c r="V326" s="20">
        <f t="shared" si="126"/>
        <v>0.16548183287893137</v>
      </c>
      <c r="W326" s="20">
        <f t="shared" si="126"/>
        <v>0.14552184893837183</v>
      </c>
      <c r="X326" s="20">
        <f t="shared" si="126"/>
        <v>0.13087645621187208</v>
      </c>
      <c r="Y326" s="20">
        <f t="shared" si="126"/>
        <v>0.11969459330751732</v>
      </c>
      <c r="Z326" s="20">
        <f t="shared" si="126"/>
        <v>0.11088799634044123</v>
      </c>
      <c r="AA326" s="20">
        <f t="shared" si="126"/>
        <v>0.10377452829663174</v>
      </c>
      <c r="AB326" s="20">
        <f t="shared" si="126"/>
        <v>9.7907541619983232E-2</v>
      </c>
    </row>
    <row r="327" spans="4:28">
      <c r="D327" s="18" t="s">
        <v>350</v>
      </c>
      <c r="E327" s="18">
        <v>6</v>
      </c>
      <c r="H327" s="34">
        <f>H260</f>
        <v>-8.6092715231788075E-2</v>
      </c>
      <c r="I327" s="34">
        <f t="shared" ref="I327:AB327" si="127">I260</f>
        <v>0.59956236323851209</v>
      </c>
      <c r="J327" s="34">
        <f t="shared" si="127"/>
        <v>-0.52164502164502169</v>
      </c>
      <c r="K327" s="34">
        <f t="shared" si="127"/>
        <v>1.2762312633832977</v>
      </c>
      <c r="L327" s="34">
        <f t="shared" si="127"/>
        <v>5</v>
      </c>
      <c r="M327" s="34">
        <f t="shared" si="127"/>
        <v>9.4999903336052771</v>
      </c>
      <c r="N327" s="34">
        <f t="shared" si="127"/>
        <v>12.064826762881353</v>
      </c>
      <c r="O327" s="34">
        <f t="shared" si="127"/>
        <v>19.43020909473486</v>
      </c>
      <c r="P327" s="34">
        <f t="shared" si="127"/>
        <v>25.909245874561709</v>
      </c>
      <c r="Q327" s="34">
        <f t="shared" si="127"/>
        <v>33.702684469945694</v>
      </c>
      <c r="R327" s="34">
        <f t="shared" si="127"/>
        <v>42.915949385919426</v>
      </c>
      <c r="S327" s="34">
        <f t="shared" si="127"/>
        <v>45.752179037567998</v>
      </c>
      <c r="T327" s="34">
        <f t="shared" si="127"/>
        <v>47.247512576336867</v>
      </c>
      <c r="U327" s="34">
        <f t="shared" si="127"/>
        <v>47.571837980133516</v>
      </c>
      <c r="V327" s="34">
        <f t="shared" si="127"/>
        <v>64.404769366983373</v>
      </c>
      <c r="W327" s="34">
        <f t="shared" si="127"/>
        <v>66.281899911527745</v>
      </c>
      <c r="X327" s="34">
        <f t="shared" si="127"/>
        <v>68.587781672456899</v>
      </c>
      <c r="Y327" s="34">
        <f t="shared" si="127"/>
        <v>71.256812939503078</v>
      </c>
      <c r="Z327" s="34">
        <f t="shared" si="127"/>
        <v>74.247173147760648</v>
      </c>
      <c r="AA327" s="34">
        <f t="shared" si="127"/>
        <v>77.529837214908142</v>
      </c>
      <c r="AB327" s="34">
        <f t="shared" si="127"/>
        <v>81.08549979639541</v>
      </c>
    </row>
    <row r="328" spans="4:28">
      <c r="D328" s="18" t="s">
        <v>460</v>
      </c>
      <c r="E328" s="18">
        <v>7</v>
      </c>
      <c r="H328" s="21">
        <f>H240</f>
        <v>61090000</v>
      </c>
      <c r="I328" s="21">
        <f t="shared" ref="I328:AB328" si="128">I240</f>
        <v>74450000</v>
      </c>
      <c r="J328" s="21">
        <f t="shared" si="128"/>
        <v>88990000</v>
      </c>
      <c r="K328" s="21">
        <f t="shared" si="128"/>
        <v>107010000</v>
      </c>
      <c r="L328" s="21">
        <f t="shared" si="128"/>
        <v>135990000</v>
      </c>
      <c r="M328" s="21">
        <f t="shared" si="128"/>
        <v>175899379.39468053</v>
      </c>
      <c r="N328" s="21">
        <f t="shared" si="128"/>
        <v>226910199.4191379</v>
      </c>
      <c r="O328" s="21">
        <f t="shared" si="128"/>
        <v>272292239.30296546</v>
      </c>
      <c r="P328" s="21">
        <f t="shared" si="128"/>
        <v>322971535.50119174</v>
      </c>
      <c r="Q328" s="21">
        <f t="shared" si="128"/>
        <v>378911846.38985169</v>
      </c>
      <c r="R328" s="21">
        <f t="shared" si="128"/>
        <v>439986937.93119293</v>
      </c>
      <c r="S328" s="21">
        <f t="shared" si="128"/>
        <v>505984978.62087184</v>
      </c>
      <c r="T328" s="21">
        <f t="shared" si="128"/>
        <v>563654795.09484136</v>
      </c>
      <c r="U328" s="21">
        <f t="shared" si="128"/>
        <v>612468732.24654579</v>
      </c>
      <c r="V328" s="21">
        <f t="shared" si="128"/>
        <v>652771441.35932767</v>
      </c>
      <c r="W328" s="21">
        <f t="shared" si="128"/>
        <v>685410013.42729414</v>
      </c>
      <c r="X328" s="21">
        <f t="shared" si="128"/>
        <v>719680514.09865892</v>
      </c>
      <c r="Y328" s="21">
        <f t="shared" si="128"/>
        <v>755664539.80359185</v>
      </c>
      <c r="Z328" s="21">
        <f t="shared" si="128"/>
        <v>793447766.79377151</v>
      </c>
      <c r="AA328" s="21">
        <f t="shared" si="128"/>
        <v>833120155.13346016</v>
      </c>
      <c r="AB328" s="21">
        <f t="shared" si="128"/>
        <v>874776162.89013326</v>
      </c>
    </row>
    <row r="329" spans="4:28">
      <c r="D329" s="18" t="s">
        <v>462</v>
      </c>
      <c r="E329" s="18">
        <v>8</v>
      </c>
      <c r="H329" s="21">
        <f>H266</f>
        <v>2670000</v>
      </c>
      <c r="I329" s="21">
        <f t="shared" ref="I329:AB329" si="129">I266</f>
        <v>3650000</v>
      </c>
      <c r="J329" s="21">
        <f t="shared" si="129"/>
        <v>4490000</v>
      </c>
      <c r="K329" s="21">
        <f t="shared" si="129"/>
        <v>8060000</v>
      </c>
      <c r="L329" s="21">
        <f t="shared" si="129"/>
        <v>11840000</v>
      </c>
      <c r="M329" s="21">
        <f t="shared" si="129"/>
        <v>16234903.488675393</v>
      </c>
      <c r="N329" s="21">
        <f t="shared" si="129"/>
        <v>18152815.953531034</v>
      </c>
      <c r="O329" s="21">
        <f t="shared" si="129"/>
        <v>23864352.754631773</v>
      </c>
      <c r="P329" s="21">
        <f t="shared" si="129"/>
        <v>30743371.62493211</v>
      </c>
      <c r="Q329" s="21">
        <f t="shared" si="129"/>
        <v>38891979.907511562</v>
      </c>
      <c r="R329" s="21">
        <f t="shared" si="129"/>
        <v>48398563.172431231</v>
      </c>
      <c r="S329" s="21">
        <f t="shared" si="129"/>
        <v>55658347.648295909</v>
      </c>
      <c r="T329" s="21">
        <f t="shared" si="129"/>
        <v>62002027.460432559</v>
      </c>
      <c r="U329" s="21">
        <f t="shared" si="129"/>
        <v>67371560.547120035</v>
      </c>
      <c r="V329" s="21">
        <f t="shared" si="129"/>
        <v>84860287.37671265</v>
      </c>
      <c r="W329" s="21">
        <f t="shared" si="129"/>
        <v>89103301.745548248</v>
      </c>
      <c r="X329" s="21">
        <f t="shared" si="129"/>
        <v>93558466.832825691</v>
      </c>
      <c r="Y329" s="21">
        <f t="shared" si="129"/>
        <v>98236390.174466997</v>
      </c>
      <c r="Z329" s="21">
        <f t="shared" si="129"/>
        <v>103148209.68319032</v>
      </c>
      <c r="AA329" s="21">
        <f t="shared" si="129"/>
        <v>108305620.16734987</v>
      </c>
      <c r="AB329" s="21">
        <f t="shared" si="129"/>
        <v>113720901.17571735</v>
      </c>
    </row>
    <row r="330" spans="4:28">
      <c r="D330" s="18" t="s">
        <v>461</v>
      </c>
      <c r="E330" s="18">
        <v>9</v>
      </c>
      <c r="H330" s="20">
        <f>H329/H328</f>
        <v>4.3706007529873955E-2</v>
      </c>
      <c r="I330" s="20">
        <f t="shared" ref="I330:AB330" si="130">I329/I328</f>
        <v>4.9026192075218265E-2</v>
      </c>
      <c r="J330" s="20">
        <f t="shared" si="130"/>
        <v>5.0455107315428703E-2</v>
      </c>
      <c r="K330" s="20">
        <f t="shared" si="130"/>
        <v>7.5320063545463042E-2</v>
      </c>
      <c r="L330" s="20">
        <f t="shared" si="130"/>
        <v>8.706522538421943E-2</v>
      </c>
      <c r="M330" s="20">
        <f t="shared" si="130"/>
        <v>9.2296536488896574E-2</v>
      </c>
      <c r="N330" s="20">
        <f t="shared" si="130"/>
        <v>8.0000000000000016E-2</v>
      </c>
      <c r="O330" s="20">
        <f t="shared" si="130"/>
        <v>8.7642427179421528E-2</v>
      </c>
      <c r="P330" s="20">
        <f t="shared" si="130"/>
        <v>9.5189105681477829E-2</v>
      </c>
      <c r="Q330" s="20">
        <f t="shared" si="130"/>
        <v>0.10264123510009424</v>
      </c>
      <c r="R330" s="20">
        <f t="shared" si="130"/>
        <v>0.11000000000000001</v>
      </c>
      <c r="S330" s="20">
        <f t="shared" si="130"/>
        <v>0.11000000000000001</v>
      </c>
      <c r="T330" s="20">
        <f t="shared" si="130"/>
        <v>0.11000000000000001</v>
      </c>
      <c r="U330" s="20">
        <f t="shared" si="130"/>
        <v>0.11</v>
      </c>
      <c r="V330" s="20">
        <f t="shared" si="130"/>
        <v>0.13000000000000009</v>
      </c>
      <c r="W330" s="20">
        <f t="shared" si="130"/>
        <v>0.13</v>
      </c>
      <c r="X330" s="20">
        <f t="shared" si="130"/>
        <v>0.13000000000000003</v>
      </c>
      <c r="Y330" s="20">
        <f t="shared" si="130"/>
        <v>0.13000000000000009</v>
      </c>
      <c r="Z330" s="20">
        <f t="shared" si="130"/>
        <v>0.13000000000000003</v>
      </c>
      <c r="AA330" s="20">
        <f t="shared" si="130"/>
        <v>0.13000000000000006</v>
      </c>
      <c r="AB330" s="20">
        <f t="shared" si="130"/>
        <v>0.13000000000000003</v>
      </c>
    </row>
    <row r="331" spans="4:28">
      <c r="D331" s="18" t="s">
        <v>463</v>
      </c>
      <c r="E331" s="18">
        <v>10</v>
      </c>
      <c r="H331" s="21">
        <f>H275</f>
        <v>-2689000</v>
      </c>
      <c r="I331" s="21">
        <f t="shared" ref="I331:AB331" si="131">I275</f>
        <v>456000</v>
      </c>
      <c r="J331" s="21">
        <f t="shared" si="131"/>
        <v>-228001.25000000186</v>
      </c>
      <c r="K331" s="21">
        <f t="shared" si="131"/>
        <v>5350001.5000000019</v>
      </c>
      <c r="L331" s="21">
        <f t="shared" si="131"/>
        <v>7545000</v>
      </c>
      <c r="M331" s="21">
        <f t="shared" si="131"/>
        <v>1666718.4776813758</v>
      </c>
      <c r="N331" s="21">
        <f t="shared" si="131"/>
        <v>3523950.0280769626</v>
      </c>
      <c r="O331" s="21">
        <f t="shared" si="131"/>
        <v>3852596.5419801353</v>
      </c>
      <c r="P331" s="21">
        <f t="shared" si="131"/>
        <v>5977822.5848589549</v>
      </c>
      <c r="Q331" s="21">
        <f t="shared" si="131"/>
        <v>8646456.9205445293</v>
      </c>
      <c r="R331" s="21">
        <f t="shared" si="131"/>
        <v>3118432.9494966427</v>
      </c>
      <c r="S331" s="21">
        <f t="shared" si="131"/>
        <v>4332008.2051848918</v>
      </c>
      <c r="T331" s="21">
        <f t="shared" si="131"/>
        <v>4412869.2762124371</v>
      </c>
      <c r="U331" s="21">
        <f t="shared" si="131"/>
        <v>4572117.0206492413</v>
      </c>
      <c r="V331" s="21">
        <f t="shared" si="131"/>
        <v>17264375.524161804</v>
      </c>
      <c r="W331" s="21">
        <f t="shared" si="131"/>
        <v>19962964.048997439</v>
      </c>
      <c r="X331" s="21">
        <f t="shared" si="131"/>
        <v>21256412.229099065</v>
      </c>
      <c r="Y331" s="21">
        <f t="shared" si="131"/>
        <v>22546295.060497966</v>
      </c>
      <c r="Z331" s="21">
        <f t="shared" si="131"/>
        <v>23848946.995180666</v>
      </c>
      <c r="AA331" s="21">
        <f t="shared" si="131"/>
        <v>25177420.761441287</v>
      </c>
      <c r="AB331" s="21">
        <f t="shared" si="131"/>
        <v>26542346.207448646</v>
      </c>
    </row>
    <row r="332" spans="4:28">
      <c r="D332" s="18" t="s">
        <v>89</v>
      </c>
      <c r="E332" s="18">
        <v>11</v>
      </c>
      <c r="H332" s="21">
        <f t="shared" ref="H332:AB332" si="132">H290+H291+H293-H305-H307</f>
        <v>-8027000</v>
      </c>
      <c r="I332" s="21">
        <f t="shared" si="132"/>
        <v>-9060000</v>
      </c>
      <c r="J332" s="21">
        <f t="shared" si="132"/>
        <v>-10579998.499999998</v>
      </c>
      <c r="K332" s="21">
        <f t="shared" si="132"/>
        <v>-14660000</v>
      </c>
      <c r="L332" s="21">
        <f t="shared" si="132"/>
        <v>-18820000</v>
      </c>
      <c r="M332" s="21">
        <f t="shared" si="132"/>
        <v>-16875101.138491683</v>
      </c>
      <c r="N332" s="21">
        <f t="shared" si="132"/>
        <v>-21352249.765340872</v>
      </c>
      <c r="O332" s="21">
        <f t="shared" si="132"/>
        <v>-25560270.510097213</v>
      </c>
      <c r="P332" s="21">
        <f t="shared" si="132"/>
        <v>-30244452.027117044</v>
      </c>
      <c r="Q332" s="21">
        <f t="shared" si="132"/>
        <v>-35398233.779395342</v>
      </c>
      <c r="R332" s="21">
        <f t="shared" si="132"/>
        <v>-41006782.615187176</v>
      </c>
      <c r="S332" s="21">
        <f t="shared" si="132"/>
        <v>-47157800.007465258</v>
      </c>
      <c r="T332" s="21">
        <f t="shared" si="132"/>
        <v>-52532626.902839206</v>
      </c>
      <c r="U332" s="21">
        <f t="shared" si="132"/>
        <v>-57082085.845378056</v>
      </c>
      <c r="V332" s="21">
        <f t="shared" si="132"/>
        <v>-58488321.145795748</v>
      </c>
      <c r="W332" s="21">
        <f t="shared" si="132"/>
        <v>-61412737.203085557</v>
      </c>
      <c r="X332" s="21">
        <f t="shared" si="132"/>
        <v>-64483374.063239843</v>
      </c>
      <c r="Y332" s="21">
        <f t="shared" si="132"/>
        <v>-67707542.766401827</v>
      </c>
      <c r="Z332" s="21">
        <f t="shared" si="132"/>
        <v>-71092919.904721946</v>
      </c>
      <c r="AA332" s="21">
        <f t="shared" si="132"/>
        <v>-74647565.899958044</v>
      </c>
      <c r="AB332" s="21">
        <f t="shared" si="132"/>
        <v>-78379944.194955945</v>
      </c>
    </row>
    <row r="333" spans="4:28">
      <c r="D333" s="18" t="s">
        <v>84</v>
      </c>
      <c r="E333" s="18">
        <v>12</v>
      </c>
      <c r="H333" s="20">
        <f t="shared" ref="H333:AB333" si="133">H332/H245</f>
        <v>-3.006367041198502</v>
      </c>
      <c r="I333" s="20">
        <f t="shared" si="133"/>
        <v>-2.4821917808219176</v>
      </c>
      <c r="J333" s="20">
        <f t="shared" si="133"/>
        <v>-2.3563471046770599</v>
      </c>
      <c r="K333" s="20">
        <f t="shared" si="133"/>
        <v>-1.8188585607940446</v>
      </c>
      <c r="L333" s="20">
        <f t="shared" si="133"/>
        <v>-1.589527027027027</v>
      </c>
      <c r="M333" s="20">
        <f t="shared" si="133"/>
        <v>-1.0394334127248035</v>
      </c>
      <c r="N333" s="20">
        <f t="shared" si="133"/>
        <v>-1.1762499999999996</v>
      </c>
      <c r="O333" s="20">
        <f t="shared" si="133"/>
        <v>-1.0710648963708553</v>
      </c>
      <c r="P333" s="20">
        <f t="shared" si="133"/>
        <v>-0.98377147425787048</v>
      </c>
      <c r="Q333" s="20">
        <f t="shared" si="133"/>
        <v>-0.91016795399913697</v>
      </c>
      <c r="R333" s="20">
        <f t="shared" si="133"/>
        <v>-0.84727272727272707</v>
      </c>
      <c r="S333" s="20">
        <f t="shared" si="133"/>
        <v>-0.84727272727272718</v>
      </c>
      <c r="T333" s="20">
        <f t="shared" si="133"/>
        <v>-0.84727272727272696</v>
      </c>
      <c r="U333" s="20">
        <f t="shared" si="133"/>
        <v>-0.84727272727272718</v>
      </c>
      <c r="V333" s="20">
        <f t="shared" si="133"/>
        <v>-0.68923076923076865</v>
      </c>
      <c r="W333" s="20">
        <f t="shared" si="133"/>
        <v>-0.6892307692307692</v>
      </c>
      <c r="X333" s="20">
        <f t="shared" si="133"/>
        <v>-0.68923076923076909</v>
      </c>
      <c r="Y333" s="20">
        <f t="shared" si="133"/>
        <v>-0.68923076923076876</v>
      </c>
      <c r="Z333" s="20">
        <f t="shared" si="133"/>
        <v>-0.68923076923076931</v>
      </c>
      <c r="AA333" s="20">
        <f t="shared" si="133"/>
        <v>-0.68923076923076898</v>
      </c>
      <c r="AB333" s="20">
        <f t="shared" si="133"/>
        <v>-0.68923076923076909</v>
      </c>
    </row>
    <row r="336" spans="4:28">
      <c r="E336" s="18">
        <v>4</v>
      </c>
    </row>
    <row r="337" spans="4:28">
      <c r="H337" s="42">
        <f>H3</f>
        <v>41274</v>
      </c>
      <c r="I337" s="42">
        <f t="shared" ref="I337:AB337" si="134">I3</f>
        <v>41639</v>
      </c>
      <c r="J337" s="42">
        <f t="shared" si="134"/>
        <v>42004</v>
      </c>
      <c r="K337" s="42">
        <f t="shared" si="134"/>
        <v>42369</v>
      </c>
      <c r="L337" s="42">
        <f t="shared" si="134"/>
        <v>42735</v>
      </c>
      <c r="M337" s="42">
        <f t="shared" si="134"/>
        <v>43100</v>
      </c>
      <c r="N337" s="42">
        <f t="shared" si="134"/>
        <v>43465</v>
      </c>
      <c r="O337" s="42">
        <f t="shared" si="134"/>
        <v>43830</v>
      </c>
      <c r="P337" s="42">
        <f t="shared" si="134"/>
        <v>44196</v>
      </c>
      <c r="Q337" s="42">
        <f t="shared" si="134"/>
        <v>44561</v>
      </c>
      <c r="R337" s="42">
        <f t="shared" si="134"/>
        <v>44926</v>
      </c>
      <c r="S337" s="42">
        <f t="shared" si="134"/>
        <v>45291</v>
      </c>
      <c r="T337" s="42">
        <f t="shared" si="134"/>
        <v>45657</v>
      </c>
      <c r="U337" s="42">
        <f t="shared" si="134"/>
        <v>46022</v>
      </c>
      <c r="V337" s="42">
        <f t="shared" si="134"/>
        <v>46387</v>
      </c>
      <c r="W337" s="42">
        <f t="shared" si="134"/>
        <v>46752</v>
      </c>
      <c r="X337" s="42">
        <f t="shared" si="134"/>
        <v>47118</v>
      </c>
      <c r="Y337" s="42">
        <f t="shared" si="134"/>
        <v>47483</v>
      </c>
      <c r="Z337" s="42">
        <f t="shared" si="134"/>
        <v>47848</v>
      </c>
      <c r="AA337" s="42">
        <f t="shared" si="134"/>
        <v>48213</v>
      </c>
      <c r="AB337" s="42">
        <f t="shared" si="134"/>
        <v>48579</v>
      </c>
    </row>
    <row r="338" spans="4:28">
      <c r="D338" s="18" t="s">
        <v>478</v>
      </c>
      <c r="H338" s="20">
        <f>IF(H5,H341)</f>
        <v>0.14438503919139548</v>
      </c>
      <c r="I338" s="20">
        <f t="shared" ref="I338:AB338" si="135">IF(I5,I341)</f>
        <v>0.10975138830836624</v>
      </c>
      <c r="J338" s="20">
        <f t="shared" si="135"/>
        <v>2.3158528060540005E-2</v>
      </c>
      <c r="K338" s="20">
        <f t="shared" si="135"/>
        <v>0.13427306090025715</v>
      </c>
      <c r="L338" s="20">
        <f t="shared" si="135"/>
        <v>0.19723777862067426</v>
      </c>
      <c r="M338" s="20" t="b">
        <f t="shared" si="135"/>
        <v>0</v>
      </c>
      <c r="N338" s="20" t="b">
        <f t="shared" si="135"/>
        <v>0</v>
      </c>
      <c r="O338" s="20" t="b">
        <f t="shared" si="135"/>
        <v>0</v>
      </c>
      <c r="P338" s="20" t="b">
        <f t="shared" si="135"/>
        <v>0</v>
      </c>
      <c r="Q338" s="20" t="b">
        <f t="shared" si="135"/>
        <v>0</v>
      </c>
      <c r="R338" s="20" t="b">
        <f t="shared" si="135"/>
        <v>0</v>
      </c>
      <c r="S338" s="20" t="b">
        <f t="shared" si="135"/>
        <v>0</v>
      </c>
      <c r="T338" s="20" t="b">
        <f t="shared" si="135"/>
        <v>0</v>
      </c>
      <c r="U338" s="20" t="b">
        <f t="shared" si="135"/>
        <v>0</v>
      </c>
      <c r="V338" s="20" t="b">
        <f t="shared" si="135"/>
        <v>0</v>
      </c>
      <c r="W338" s="20" t="b">
        <f t="shared" si="135"/>
        <v>0</v>
      </c>
      <c r="X338" s="20" t="b">
        <f t="shared" si="135"/>
        <v>0</v>
      </c>
      <c r="Y338" s="20" t="b">
        <f t="shared" si="135"/>
        <v>0</v>
      </c>
      <c r="Z338" s="20" t="b">
        <f t="shared" si="135"/>
        <v>0</v>
      </c>
      <c r="AA338" s="20" t="b">
        <f t="shared" si="135"/>
        <v>0</v>
      </c>
      <c r="AB338" s="20" t="b">
        <f t="shared" si="135"/>
        <v>0</v>
      </c>
    </row>
    <row r="339" spans="4:28">
      <c r="D339" s="18" t="s">
        <v>306</v>
      </c>
      <c r="H339" s="20" t="b">
        <f>IF(NOT(H5),H341)</f>
        <v>0</v>
      </c>
      <c r="I339" s="20" t="b">
        <f t="shared" ref="I339:AB339" si="136">IF(NOT(I5),I341)</f>
        <v>0</v>
      </c>
      <c r="J339" s="20" t="b">
        <f t="shared" si="136"/>
        <v>0</v>
      </c>
      <c r="K339" s="20" t="b">
        <f t="shared" si="136"/>
        <v>0</v>
      </c>
      <c r="L339" s="20" t="b">
        <f t="shared" si="136"/>
        <v>0</v>
      </c>
      <c r="M339" s="20">
        <f t="shared" si="136"/>
        <v>0.28487909356159347</v>
      </c>
      <c r="N339" s="20">
        <f t="shared" si="136"/>
        <v>0.31180846933879414</v>
      </c>
      <c r="O339" s="20">
        <f t="shared" si="136"/>
        <v>0.40028834769998911</v>
      </c>
      <c r="P339" s="20">
        <f t="shared" si="136"/>
        <v>0.42578347872859812</v>
      </c>
      <c r="Q339" s="20">
        <f t="shared" si="136"/>
        <v>0.44964930985861501</v>
      </c>
      <c r="R339" s="20">
        <f t="shared" si="136"/>
        <v>0.44352110523877764</v>
      </c>
      <c r="S339" s="20">
        <f t="shared" si="136"/>
        <v>0.36456042537164501</v>
      </c>
      <c r="T339" s="20">
        <f t="shared" si="136"/>
        <v>0.30563258069387739</v>
      </c>
      <c r="U339" s="20">
        <f t="shared" si="136"/>
        <v>0.25955707158139241</v>
      </c>
      <c r="V339" s="20">
        <f t="shared" si="136"/>
        <v>0.3091831171305931</v>
      </c>
      <c r="W339" s="20">
        <f t="shared" si="136"/>
        <v>0.29048090472908256</v>
      </c>
      <c r="X339" s="20">
        <f t="shared" si="136"/>
        <v>0.27832941245278719</v>
      </c>
      <c r="Y339" s="20">
        <f t="shared" si="136"/>
        <v>0.26927035742804423</v>
      </c>
      <c r="Z339" s="20">
        <f t="shared" si="136"/>
        <v>0.26236388679172545</v>
      </c>
      <c r="AA339" s="20">
        <f t="shared" si="136"/>
        <v>0.25699042934420369</v>
      </c>
      <c r="AB339" s="20">
        <f t="shared" si="136"/>
        <v>0.25273085458214933</v>
      </c>
    </row>
    <row r="340" spans="4:28"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</row>
    <row r="341" spans="4:28">
      <c r="D341" s="18" t="str">
        <f>INDEX(D322:D333,$E$336)</f>
        <v>ROIC</v>
      </c>
      <c r="H341" s="20">
        <f>INDEX(H322:H333,$E$336)</f>
        <v>0.14438503919139548</v>
      </c>
      <c r="I341" s="20">
        <f t="shared" ref="I341:AB341" si="137">INDEX(I322:I333,$E$336)</f>
        <v>0.10975138830836624</v>
      </c>
      <c r="J341" s="20">
        <f t="shared" si="137"/>
        <v>2.3158528060540005E-2</v>
      </c>
      <c r="K341" s="20">
        <f t="shared" si="137"/>
        <v>0.13427306090025715</v>
      </c>
      <c r="L341" s="20">
        <f t="shared" si="137"/>
        <v>0.19723777862067426</v>
      </c>
      <c r="M341" s="20">
        <f t="shared" si="137"/>
        <v>0.28487909356159347</v>
      </c>
      <c r="N341" s="20">
        <f t="shared" si="137"/>
        <v>0.31180846933879414</v>
      </c>
      <c r="O341" s="20">
        <f t="shared" si="137"/>
        <v>0.40028834769998911</v>
      </c>
      <c r="P341" s="20">
        <f t="shared" si="137"/>
        <v>0.42578347872859812</v>
      </c>
      <c r="Q341" s="20">
        <f t="shared" si="137"/>
        <v>0.44964930985861501</v>
      </c>
      <c r="R341" s="20">
        <f t="shared" si="137"/>
        <v>0.44352110523877764</v>
      </c>
      <c r="S341" s="20">
        <f t="shared" si="137"/>
        <v>0.36456042537164501</v>
      </c>
      <c r="T341" s="20">
        <f t="shared" si="137"/>
        <v>0.30563258069387739</v>
      </c>
      <c r="U341" s="20">
        <f t="shared" si="137"/>
        <v>0.25955707158139241</v>
      </c>
      <c r="V341" s="20">
        <f t="shared" si="137"/>
        <v>0.3091831171305931</v>
      </c>
      <c r="W341" s="20">
        <f t="shared" si="137"/>
        <v>0.29048090472908256</v>
      </c>
      <c r="X341" s="20">
        <f t="shared" si="137"/>
        <v>0.27832941245278719</v>
      </c>
      <c r="Y341" s="20">
        <f t="shared" si="137"/>
        <v>0.26927035742804423</v>
      </c>
      <c r="Z341" s="20">
        <f t="shared" si="137"/>
        <v>0.26236388679172545</v>
      </c>
      <c r="AA341" s="20">
        <f t="shared" si="137"/>
        <v>0.25699042934420369</v>
      </c>
      <c r="AB341" s="20">
        <f t="shared" si="137"/>
        <v>0.25273085458214933</v>
      </c>
    </row>
  </sheetData>
  <conditionalFormatting sqref="A1:XFD1048576">
    <cfRule type="containsText" dxfId="12" priority="1" operator="containsText" text="FALSE">
      <formula>NOT(ISERROR(SEARCH("FALSE",A1)))</formula>
    </cfRule>
    <cfRule type="cellIs" dxfId="11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Drop Down 3">
              <controlPr defaultSize="0" autoLine="0" autoPict="0">
                <anchor moveWithCells="1">
                  <from>
                    <xdr:col>3</xdr:col>
                    <xdr:colOff>717550</xdr:colOff>
                    <xdr:row>3</xdr:row>
                    <xdr:rowOff>0</xdr:rowOff>
                  </from>
                  <to>
                    <xdr:col>3</xdr:col>
                    <xdr:colOff>1936750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Check Box 4">
              <controlPr defaultSize="0" autoFill="0" autoLine="0" autoPict="0" macro="[0]!CheckBox2_Click">
                <anchor moveWithCells="1">
                  <from>
                    <xdr:col>3</xdr:col>
                    <xdr:colOff>1606550</xdr:colOff>
                    <xdr:row>0</xdr:row>
                    <xdr:rowOff>63500</xdr:rowOff>
                  </from>
                  <to>
                    <xdr:col>3</xdr:col>
                    <xdr:colOff>2470150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XFD121"/>
  <sheetViews>
    <sheetView showGridLines="0" zoomScale="70" zoomScaleNormal="70" workbookViewId="0">
      <pane xSplit="5" ySplit="5" topLeftCell="F6" activePane="bottomRight" state="frozen"/>
      <selection pane="topRight" activeCell="F1" sqref="F1"/>
      <selection pane="bottomLeft" activeCell="A4" sqref="A4"/>
      <selection pane="bottomRight" activeCell="D7" sqref="D7"/>
    </sheetView>
  </sheetViews>
  <sheetFormatPr defaultColWidth="8.81640625" defaultRowHeight="14.5"/>
  <cols>
    <col min="1" max="3" width="1.453125" style="18" customWidth="1"/>
    <col min="4" max="4" width="39.1796875" style="18" customWidth="1"/>
    <col min="5" max="5" width="15.453125" style="18" bestFit="1" customWidth="1"/>
    <col min="6" max="6" width="8.81640625" style="18"/>
    <col min="7" max="7" width="9" style="18" bestFit="1" customWidth="1"/>
    <col min="8" max="8" width="16.1796875" style="18" customWidth="1"/>
    <col min="9" max="10" width="17" style="18" customWidth="1"/>
    <col min="11" max="27" width="16.1796875" style="18" customWidth="1"/>
    <col min="28" max="16384" width="8.81640625" style="18"/>
  </cols>
  <sheetData>
    <row r="1" spans="1:27" s="31" customFormat="1">
      <c r="A1" s="31" t="s">
        <v>366</v>
      </c>
    </row>
    <row r="2" spans="1:27">
      <c r="B2" s="18" t="s">
        <v>49</v>
      </c>
      <c r="E2" s="34">
        <f ca="1">E72</f>
        <v>523.98073349690139</v>
      </c>
      <c r="H2" s="28">
        <v>1</v>
      </c>
      <c r="I2" s="28">
        <v>2</v>
      </c>
      <c r="J2" s="28">
        <v>3</v>
      </c>
      <c r="K2" s="28">
        <v>4</v>
      </c>
      <c r="L2" s="28">
        <v>5</v>
      </c>
      <c r="M2" s="28">
        <v>6</v>
      </c>
      <c r="N2" s="28">
        <v>7</v>
      </c>
      <c r="O2" s="28">
        <v>8</v>
      </c>
      <c r="P2" s="28">
        <v>9</v>
      </c>
      <c r="Q2" s="28">
        <v>10</v>
      </c>
      <c r="R2" s="28">
        <v>11</v>
      </c>
      <c r="S2" s="28">
        <v>12</v>
      </c>
      <c r="T2" s="28">
        <v>13</v>
      </c>
      <c r="U2" s="28">
        <v>14</v>
      </c>
      <c r="V2" s="28">
        <v>15</v>
      </c>
      <c r="W2" s="28">
        <v>16</v>
      </c>
      <c r="X2" s="28">
        <v>17</v>
      </c>
      <c r="Y2" s="28">
        <v>18</v>
      </c>
      <c r="Z2" s="28">
        <v>19</v>
      </c>
      <c r="AA2" s="28">
        <v>20</v>
      </c>
    </row>
    <row r="3" spans="1:27">
      <c r="B3" s="18" t="s">
        <v>70</v>
      </c>
      <c r="H3" s="18">
        <f>E9</f>
        <v>2018</v>
      </c>
      <c r="I3" s="18">
        <f>H3+1</f>
        <v>2019</v>
      </c>
      <c r="J3" s="18">
        <f t="shared" ref="J3:AA3" si="0">I3+1</f>
        <v>2020</v>
      </c>
      <c r="K3" s="18">
        <f t="shared" si="0"/>
        <v>2021</v>
      </c>
      <c r="L3" s="18">
        <f t="shared" si="0"/>
        <v>2022</v>
      </c>
      <c r="M3" s="18">
        <f t="shared" si="0"/>
        <v>2023</v>
      </c>
      <c r="N3" s="18">
        <f t="shared" si="0"/>
        <v>2024</v>
      </c>
      <c r="O3" s="18">
        <f t="shared" si="0"/>
        <v>2025</v>
      </c>
      <c r="P3" s="18">
        <f t="shared" si="0"/>
        <v>2026</v>
      </c>
      <c r="Q3" s="18">
        <f t="shared" si="0"/>
        <v>2027</v>
      </c>
      <c r="R3" s="18">
        <f t="shared" si="0"/>
        <v>2028</v>
      </c>
      <c r="S3" s="18">
        <f t="shared" si="0"/>
        <v>2029</v>
      </c>
      <c r="T3" s="18">
        <f t="shared" si="0"/>
        <v>2030</v>
      </c>
      <c r="U3" s="18">
        <f t="shared" si="0"/>
        <v>2031</v>
      </c>
      <c r="V3" s="18">
        <f t="shared" si="0"/>
        <v>2032</v>
      </c>
      <c r="W3" s="18">
        <f t="shared" si="0"/>
        <v>2033</v>
      </c>
      <c r="X3" s="18">
        <f t="shared" si="0"/>
        <v>2034</v>
      </c>
      <c r="Y3" s="18">
        <f t="shared" si="0"/>
        <v>2035</v>
      </c>
      <c r="Z3" s="18">
        <f t="shared" si="0"/>
        <v>2036</v>
      </c>
      <c r="AA3" s="18">
        <f t="shared" si="0"/>
        <v>2037</v>
      </c>
    </row>
    <row r="4" spans="1:27">
      <c r="B4" s="18" t="s">
        <v>367</v>
      </c>
      <c r="F4" s="18">
        <f>E9</f>
        <v>2018</v>
      </c>
      <c r="G4" s="18">
        <f>E10</f>
        <v>2030</v>
      </c>
      <c r="H4" s="18" t="b">
        <f>H3&lt;=$G$4</f>
        <v>1</v>
      </c>
      <c r="I4" s="18" t="b">
        <f t="shared" ref="I4:AA4" si="1">I3&lt;=$G$4</f>
        <v>1</v>
      </c>
      <c r="J4" s="18" t="b">
        <f t="shared" si="1"/>
        <v>1</v>
      </c>
      <c r="K4" s="18" t="b">
        <f t="shared" si="1"/>
        <v>1</v>
      </c>
      <c r="L4" s="18" t="b">
        <f t="shared" si="1"/>
        <v>1</v>
      </c>
      <c r="M4" s="18" t="b">
        <f t="shared" si="1"/>
        <v>1</v>
      </c>
      <c r="N4" s="18" t="b">
        <f t="shared" si="1"/>
        <v>1</v>
      </c>
      <c r="O4" s="18" t="b">
        <f t="shared" si="1"/>
        <v>1</v>
      </c>
      <c r="P4" s="18" t="b">
        <f t="shared" si="1"/>
        <v>1</v>
      </c>
      <c r="Q4" s="18" t="b">
        <f t="shared" si="1"/>
        <v>1</v>
      </c>
      <c r="R4" s="18" t="b">
        <f t="shared" si="1"/>
        <v>1</v>
      </c>
      <c r="S4" s="18" t="b">
        <f t="shared" si="1"/>
        <v>1</v>
      </c>
      <c r="T4" s="18" t="b">
        <f t="shared" si="1"/>
        <v>1</v>
      </c>
      <c r="U4" s="18" t="b">
        <f t="shared" si="1"/>
        <v>0</v>
      </c>
      <c r="V4" s="18" t="b">
        <f t="shared" si="1"/>
        <v>0</v>
      </c>
      <c r="W4" s="18" t="b">
        <f t="shared" si="1"/>
        <v>0</v>
      </c>
      <c r="X4" s="18" t="b">
        <f t="shared" si="1"/>
        <v>0</v>
      </c>
      <c r="Y4" s="18" t="b">
        <f t="shared" si="1"/>
        <v>0</v>
      </c>
      <c r="Z4" s="18" t="b">
        <f t="shared" si="1"/>
        <v>0</v>
      </c>
      <c r="AA4" s="18" t="b">
        <f t="shared" si="1"/>
        <v>0</v>
      </c>
    </row>
    <row r="5" spans="1:27">
      <c r="B5" s="18" t="s">
        <v>368</v>
      </c>
      <c r="G5" s="18">
        <f>E10</f>
        <v>2030</v>
      </c>
      <c r="H5" s="18" t="b">
        <f>H3=$G$5</f>
        <v>0</v>
      </c>
      <c r="I5" s="18" t="b">
        <f t="shared" ref="I5:AA5" si="2">I3=$G$5</f>
        <v>0</v>
      </c>
      <c r="J5" s="18" t="b">
        <f t="shared" si="2"/>
        <v>0</v>
      </c>
      <c r="K5" s="18" t="b">
        <f t="shared" si="2"/>
        <v>0</v>
      </c>
      <c r="L5" s="18" t="b">
        <f t="shared" si="2"/>
        <v>0</v>
      </c>
      <c r="M5" s="18" t="b">
        <f t="shared" si="2"/>
        <v>0</v>
      </c>
      <c r="N5" s="18" t="b">
        <f t="shared" si="2"/>
        <v>0</v>
      </c>
      <c r="O5" s="18" t="b">
        <f t="shared" si="2"/>
        <v>0</v>
      </c>
      <c r="P5" s="18" t="b">
        <f t="shared" si="2"/>
        <v>0</v>
      </c>
      <c r="Q5" s="18" t="b">
        <f t="shared" si="2"/>
        <v>0</v>
      </c>
      <c r="R5" s="18" t="b">
        <f t="shared" si="2"/>
        <v>0</v>
      </c>
      <c r="S5" s="18" t="b">
        <f t="shared" si="2"/>
        <v>0</v>
      </c>
      <c r="T5" s="18" t="b">
        <f t="shared" si="2"/>
        <v>1</v>
      </c>
      <c r="U5" s="18" t="b">
        <f t="shared" si="2"/>
        <v>0</v>
      </c>
      <c r="V5" s="18" t="b">
        <f t="shared" si="2"/>
        <v>0</v>
      </c>
      <c r="W5" s="18" t="b">
        <f t="shared" si="2"/>
        <v>0</v>
      </c>
      <c r="X5" s="18" t="b">
        <f t="shared" si="2"/>
        <v>0</v>
      </c>
      <c r="Y5" s="18" t="b">
        <f t="shared" si="2"/>
        <v>0</v>
      </c>
      <c r="Z5" s="18" t="b">
        <f t="shared" si="2"/>
        <v>0</v>
      </c>
      <c r="AA5" s="18" t="b">
        <f t="shared" si="2"/>
        <v>0</v>
      </c>
    </row>
    <row r="6" spans="1:27">
      <c r="G6" s="18" t="s">
        <v>746</v>
      </c>
      <c r="I6" s="34">
        <f ca="1">E2</f>
        <v>523.98073349690139</v>
      </c>
    </row>
    <row r="7" spans="1:27">
      <c r="G7" s="18" t="s">
        <v>779</v>
      </c>
      <c r="I7" s="34">
        <f>E82</f>
        <v>1182.3814665083357</v>
      </c>
    </row>
    <row r="8" spans="1:27" s="31" customFormat="1">
      <c r="A8" s="31" t="s">
        <v>369</v>
      </c>
    </row>
    <row r="9" spans="1:27">
      <c r="B9" s="18" t="s">
        <v>370</v>
      </c>
      <c r="E9" s="28">
        <v>2018</v>
      </c>
    </row>
    <row r="10" spans="1:27">
      <c r="B10" s="18" t="s">
        <v>367</v>
      </c>
      <c r="E10" s="28">
        <v>2030</v>
      </c>
    </row>
    <row r="12" spans="1:27">
      <c r="B12" s="18" t="s">
        <v>371</v>
      </c>
      <c r="E12" s="29">
        <v>0.09</v>
      </c>
    </row>
    <row r="13" spans="1:27">
      <c r="B13" s="18" t="s">
        <v>372</v>
      </c>
      <c r="E13" s="29">
        <v>0.04</v>
      </c>
    </row>
    <row r="14" spans="1:27">
      <c r="B14" s="18" t="s">
        <v>373</v>
      </c>
      <c r="E14" s="37">
        <v>14</v>
      </c>
    </row>
    <row r="15" spans="1:27">
      <c r="B15" s="18" t="s">
        <v>374</v>
      </c>
      <c r="E15" s="29">
        <v>0.15</v>
      </c>
    </row>
    <row r="17" spans="1:27">
      <c r="B17" s="18" t="s">
        <v>324</v>
      </c>
      <c r="E17" s="20">
        <f>LOOKUP(F17,'Amazon Assumptions'!2:2,'Amazon Assumptions'!31:31)</f>
        <v>0.23960066555740434</v>
      </c>
      <c r="F17" s="28">
        <v>2016</v>
      </c>
    </row>
    <row r="18" spans="1:27">
      <c r="B18" s="18" t="s">
        <v>375</v>
      </c>
      <c r="E18" s="34">
        <f>1/E17</f>
        <v>4.1736111111111107</v>
      </c>
    </row>
    <row r="19" spans="1:27">
      <c r="B19" s="18" t="s">
        <v>376</v>
      </c>
      <c r="E19" s="20">
        <f ca="1">'EV to EBITDA'!E9</f>
        <v>1.3491165055645986</v>
      </c>
    </row>
    <row r="20" spans="1:27">
      <c r="B20" s="18" t="s">
        <v>84</v>
      </c>
      <c r="E20" s="29">
        <v>-1.6</v>
      </c>
    </row>
    <row r="21" spans="1:27">
      <c r="B21" s="18" t="s">
        <v>377</v>
      </c>
      <c r="E21" s="20">
        <f>(E13/(1+E13))</f>
        <v>3.8461538461538464E-2</v>
      </c>
    </row>
    <row r="23" spans="1:27" s="31" customFormat="1">
      <c r="A23" s="31" t="s">
        <v>378</v>
      </c>
    </row>
    <row r="24" spans="1:27">
      <c r="B24" s="18" t="s">
        <v>8</v>
      </c>
      <c r="H24" s="19">
        <f>LOOKUP(H3,'Amazon Model'!4:4,'Amazon Model'!329:329)</f>
        <v>18152815.953531034</v>
      </c>
      <c r="I24" s="19">
        <f>LOOKUP(I3,'Amazon Model'!4:4,'Amazon Model'!329:329)</f>
        <v>23864352.754631773</v>
      </c>
      <c r="J24" s="19">
        <f>LOOKUP(J3,'Amazon Model'!4:4,'Amazon Model'!329:329)</f>
        <v>30743371.62493211</v>
      </c>
      <c r="K24" s="19">
        <f>LOOKUP(K3,'Amazon Model'!4:4,'Amazon Model'!329:329)</f>
        <v>38891979.907511562</v>
      </c>
      <c r="L24" s="19">
        <f>LOOKUP(L3,'Amazon Model'!4:4,'Amazon Model'!329:329)</f>
        <v>48398563.172431231</v>
      </c>
      <c r="M24" s="19">
        <f>LOOKUP(M3,'Amazon Model'!4:4,'Amazon Model'!329:329)</f>
        <v>55658347.648295909</v>
      </c>
      <c r="N24" s="19">
        <f>LOOKUP(N3,'Amazon Model'!4:4,'Amazon Model'!329:329)</f>
        <v>62002027.460432559</v>
      </c>
      <c r="O24" s="19">
        <f>LOOKUP(O3,'Amazon Model'!4:4,'Amazon Model'!329:329)</f>
        <v>67371560.547120035</v>
      </c>
      <c r="P24" s="19">
        <f>LOOKUP(P3,'Amazon Model'!4:4,'Amazon Model'!329:329)</f>
        <v>84860287.37671265</v>
      </c>
      <c r="Q24" s="19">
        <f>LOOKUP(Q3,'Amazon Model'!4:4,'Amazon Model'!329:329)</f>
        <v>89103301.745548248</v>
      </c>
      <c r="R24" s="19">
        <f>LOOKUP(R3,'Amazon Model'!4:4,'Amazon Model'!329:329)</f>
        <v>93558466.832825691</v>
      </c>
      <c r="S24" s="19">
        <f>LOOKUP(S3,'Amazon Model'!4:4,'Amazon Model'!329:329)</f>
        <v>98236390.174466997</v>
      </c>
      <c r="T24" s="19">
        <f>LOOKUP(T3,'Amazon Model'!4:4,'Amazon Model'!329:329)</f>
        <v>103148209.68319032</v>
      </c>
      <c r="U24" s="19">
        <f>LOOKUP(U3,'Amazon Model'!4:4,'Amazon Model'!329:329)</f>
        <v>108305620.16734987</v>
      </c>
      <c r="V24" s="19">
        <f>LOOKUP(V3,'Amazon Model'!4:4,'Amazon Model'!329:329)</f>
        <v>113720901.17571735</v>
      </c>
      <c r="W24" s="19">
        <f>LOOKUP(W3,'Amazon Model'!4:4,'Amazon Model'!329:329)</f>
        <v>113720901.17571735</v>
      </c>
      <c r="X24" s="19">
        <f>LOOKUP(X3,'Amazon Model'!4:4,'Amazon Model'!329:329)</f>
        <v>113720901.17571735</v>
      </c>
      <c r="Y24" s="19">
        <f>LOOKUP(Y3,'Amazon Model'!4:4,'Amazon Model'!329:329)</f>
        <v>113720901.17571735</v>
      </c>
      <c r="Z24" s="19">
        <f>LOOKUP(Z3,'Amazon Model'!4:4,'Amazon Model'!329:329)</f>
        <v>113720901.17571735</v>
      </c>
      <c r="AA24" s="19">
        <f>LOOKUP(AA3,'Amazon Model'!4:4,'Amazon Model'!329:329)</f>
        <v>113720901.17571735</v>
      </c>
    </row>
    <row r="25" spans="1:27">
      <c r="B25" s="18" t="s">
        <v>379</v>
      </c>
      <c r="H25" s="19">
        <f>LOOKUP(H$3,'Amazon Model'!4:4,'Amazon Model'!246:246)+LOOKUP(H$3,'Amazon Model'!$4:$4,'Amazon Model'!247:247)</f>
        <v>8786571.5459780581</v>
      </c>
      <c r="I25" s="19">
        <f>LOOKUP(I$3,'Amazon Model'!4:4,'Amazon Model'!246:246)+LOOKUP(I$3,'Amazon Model'!$4:$4,'Amazon Model'!247:247)</f>
        <v>8992441.3684571236</v>
      </c>
      <c r="J25" s="19">
        <f>LOOKUP(J$3,'Amazon Model'!4:4,'Amazon Model'!246:246)+LOOKUP(J$3,'Amazon Model'!$4:$4,'Amazon Model'!247:247)</f>
        <v>11031224.254767505</v>
      </c>
      <c r="K25" s="19">
        <f>LOOKUP(K$3,'Amazon Model'!4:4,'Amazon Model'!246:246)+LOOKUP(K$3,'Amazon Model'!$4:$4,'Amazon Model'!247:247)</f>
        <v>13362714.298554199</v>
      </c>
      <c r="L25" s="19">
        <f>LOOKUP(L$3,'Amazon Model'!4:4,'Amazon Model'!246:246)+LOOKUP(L$3,'Amazon Model'!$4:$4,'Amazon Model'!247:247)</f>
        <v>15998366.789247591</v>
      </c>
      <c r="M25" s="19">
        <f>LOOKUP(M$3,'Amazon Model'!4:4,'Amazon Model'!246:246)+LOOKUP(M$3,'Amazon Model'!$4:$4,'Amazon Model'!247:247)</f>
        <v>21145028.701602191</v>
      </c>
      <c r="N25" s="19">
        <f>LOOKUP(N$3,'Amazon Model'!4:4,'Amazon Model'!246:246)+LOOKUP(N$3,'Amazon Model'!$4:$4,'Amazon Model'!247:247)</f>
        <v>26384927.914876852</v>
      </c>
      <c r="O25" s="19">
        <f>LOOKUP(O$3,'Amazon Model'!4:4,'Amazon Model'!246:246)+LOOKUP(O$3,'Amazon Model'!$4:$4,'Amazon Model'!247:247)</f>
        <v>31528497.16844935</v>
      </c>
      <c r="P25" s="19">
        <f>LOOKUP(P$3,'Amazon Model'!4:4,'Amazon Model'!246:246)+LOOKUP(P$3,'Amazon Model'!$4:$4,'Amazon Model'!247:247)</f>
        <v>36421811.595700979</v>
      </c>
      <c r="Q25" s="19">
        <f>LOOKUP(Q$3,'Amazon Model'!4:4,'Amazon Model'!246:246)+LOOKUP(Q$3,'Amazon Model'!$4:$4,'Amazon Model'!247:247)</f>
        <v>39323597.700970754</v>
      </c>
      <c r="R25" s="19">
        <f>LOOKUP(R$3,'Amazon Model'!4:4,'Amazon Model'!246:246)+LOOKUP(R$3,'Amazon Model'!$4:$4,'Amazon Model'!247:247)</f>
        <v>42126619.462161012</v>
      </c>
      <c r="S25" s="19">
        <f>LOOKUP(S$3,'Amazon Model'!4:4,'Amazon Model'!246:246)+LOOKUP(S$3,'Amazon Model'!$4:$4,'Amazon Model'!247:247)</f>
        <v>44885415.714879788</v>
      </c>
      <c r="T25" s="19">
        <f>LOOKUP(T$3,'Amazon Model'!4:4,'Amazon Model'!246:246)+LOOKUP(T$3,'Amazon Model'!$4:$4,'Amazon Model'!247:247)</f>
        <v>47642466.911198452</v>
      </c>
      <c r="U25" s="19">
        <f>LOOKUP(U$3,'Amazon Model'!4:4,'Amazon Model'!246:246)+LOOKUP(U$3,'Amazon Model'!$4:$4,'Amazon Model'!247:247)</f>
        <v>50431283.791653067</v>
      </c>
      <c r="V25" s="19">
        <f>LOOKUP(V$3,'Amazon Model'!4:4,'Amazon Model'!246:246)+LOOKUP(V$3,'Amazon Model'!$4:$4,'Amazon Model'!247:247)</f>
        <v>53278727.860737689</v>
      </c>
      <c r="W25" s="19">
        <f>LOOKUP(W$3,'Amazon Model'!4:4,'Amazon Model'!246:246)+LOOKUP(W$3,'Amazon Model'!$4:$4,'Amazon Model'!247:247)</f>
        <v>53278727.860737689</v>
      </c>
      <c r="X25" s="19">
        <f>LOOKUP(X$3,'Amazon Model'!4:4,'Amazon Model'!246:246)+LOOKUP(X$3,'Amazon Model'!$4:$4,'Amazon Model'!247:247)</f>
        <v>53278727.860737689</v>
      </c>
      <c r="Y25" s="19">
        <f>LOOKUP(Y$3,'Amazon Model'!4:4,'Amazon Model'!246:246)+LOOKUP(Y$3,'Amazon Model'!$4:$4,'Amazon Model'!247:247)</f>
        <v>53278727.860737689</v>
      </c>
      <c r="Z25" s="19">
        <f>LOOKUP(Z$3,'Amazon Model'!4:4,'Amazon Model'!246:246)+LOOKUP(Z$3,'Amazon Model'!$4:$4,'Amazon Model'!247:247)</f>
        <v>53278727.860737689</v>
      </c>
      <c r="AA25" s="19">
        <f>LOOKUP(AA$3,'Amazon Model'!4:4,'Amazon Model'!246:246)+LOOKUP(AA$3,'Amazon Model'!$4:$4,'Amazon Model'!247:247)</f>
        <v>53278727.860737689</v>
      </c>
    </row>
    <row r="26" spans="1:27" ht="15" thickBot="1">
      <c r="B26" s="35" t="s">
        <v>344</v>
      </c>
      <c r="C26" s="35"/>
      <c r="D26" s="35"/>
      <c r="E26" s="35"/>
      <c r="F26" s="35"/>
      <c r="G26" s="35"/>
      <c r="H26" s="48">
        <f>H24-H25</f>
        <v>9366244.4075529762</v>
      </c>
      <c r="I26" s="48">
        <f t="shared" ref="I26:AA26" si="3">I24-I25</f>
        <v>14871911.386174649</v>
      </c>
      <c r="J26" s="48">
        <f t="shared" si="3"/>
        <v>19712147.370164603</v>
      </c>
      <c r="K26" s="48">
        <f t="shared" si="3"/>
        <v>25529265.608957365</v>
      </c>
      <c r="L26" s="48">
        <f t="shared" si="3"/>
        <v>32400196.383183639</v>
      </c>
      <c r="M26" s="48">
        <f t="shared" si="3"/>
        <v>34513318.946693718</v>
      </c>
      <c r="N26" s="48">
        <f t="shared" si="3"/>
        <v>35617099.545555711</v>
      </c>
      <c r="O26" s="48">
        <f t="shared" si="3"/>
        <v>35843063.378670685</v>
      </c>
      <c r="P26" s="48">
        <f t="shared" si="3"/>
        <v>48438475.781011671</v>
      </c>
      <c r="Q26" s="48">
        <f t="shared" si="3"/>
        <v>49779704.044577494</v>
      </c>
      <c r="R26" s="48">
        <f t="shared" si="3"/>
        <v>51431847.370664679</v>
      </c>
      <c r="S26" s="48">
        <f t="shared" si="3"/>
        <v>53350974.459587209</v>
      </c>
      <c r="T26" s="48">
        <f t="shared" si="3"/>
        <v>55505742.771991864</v>
      </c>
      <c r="U26" s="48">
        <f t="shared" si="3"/>
        <v>57874336.375696808</v>
      </c>
      <c r="V26" s="48">
        <f t="shared" si="3"/>
        <v>60442173.314979665</v>
      </c>
      <c r="W26" s="48">
        <f t="shared" si="3"/>
        <v>60442173.314979665</v>
      </c>
      <c r="X26" s="48">
        <f t="shared" si="3"/>
        <v>60442173.314979665</v>
      </c>
      <c r="Y26" s="48">
        <f t="shared" si="3"/>
        <v>60442173.314979665</v>
      </c>
      <c r="Z26" s="48">
        <f t="shared" si="3"/>
        <v>60442173.314979665</v>
      </c>
      <c r="AA26" s="48">
        <f t="shared" si="3"/>
        <v>60442173.314979665</v>
      </c>
    </row>
    <row r="27" spans="1:27">
      <c r="B27" s="18" t="s">
        <v>85</v>
      </c>
      <c r="H27" s="20">
        <f>LOOKUP(H3,'Amazon Assumptions'!2:2,'Amazon Assumptions'!47:47)</f>
        <v>0.36742034943473795</v>
      </c>
      <c r="I27" s="20">
        <f>LOOKUP(I3,'Amazon Assumptions'!2:2,'Amazon Assumptions'!47:47)</f>
        <v>0.36742034943473795</v>
      </c>
      <c r="J27" s="20">
        <f>LOOKUP(J3,'Amazon Assumptions'!2:2,'Amazon Assumptions'!47:47)</f>
        <v>0.36742034943473795</v>
      </c>
      <c r="K27" s="20">
        <f>LOOKUP(K3,'Amazon Assumptions'!2:2,'Amazon Assumptions'!47:47)</f>
        <v>0.36742034943473795</v>
      </c>
      <c r="L27" s="20">
        <f>LOOKUP(L3,'Amazon Assumptions'!2:2,'Amazon Assumptions'!47:47)</f>
        <v>0.36742034943473795</v>
      </c>
      <c r="M27" s="20">
        <f>LOOKUP(M3,'Amazon Assumptions'!2:2,'Amazon Assumptions'!47:47)</f>
        <v>0.36742034943473795</v>
      </c>
      <c r="N27" s="20">
        <f>LOOKUP(N3,'Amazon Assumptions'!2:2,'Amazon Assumptions'!47:47)</f>
        <v>0.36742034943473795</v>
      </c>
      <c r="O27" s="20">
        <f>LOOKUP(O3,'Amazon Assumptions'!2:2,'Amazon Assumptions'!47:47)</f>
        <v>0.36742034943473795</v>
      </c>
      <c r="P27" s="20">
        <f>LOOKUP(P3,'Amazon Assumptions'!2:2,'Amazon Assumptions'!47:47)</f>
        <v>0.36742034943473795</v>
      </c>
      <c r="Q27" s="20">
        <f>LOOKUP(Q3,'Amazon Assumptions'!2:2,'Amazon Assumptions'!47:47)</f>
        <v>0.36742034943473795</v>
      </c>
      <c r="R27" s="20">
        <f>LOOKUP(R3,'Amazon Assumptions'!2:2,'Amazon Assumptions'!47:47)</f>
        <v>0.36742034943473795</v>
      </c>
      <c r="S27" s="20">
        <f>LOOKUP(S3,'Amazon Assumptions'!2:2,'Amazon Assumptions'!47:47)</f>
        <v>0.36742034943473795</v>
      </c>
      <c r="T27" s="20">
        <f>LOOKUP(T3,'Amazon Assumptions'!2:2,'Amazon Assumptions'!47:47)</f>
        <v>0.36742034943473795</v>
      </c>
      <c r="U27" s="20">
        <f>LOOKUP(U3,'Amazon Assumptions'!2:2,'Amazon Assumptions'!47:47)</f>
        <v>0.36742034943473795</v>
      </c>
      <c r="V27" s="20">
        <f>LOOKUP(V3,'Amazon Assumptions'!2:2,'Amazon Assumptions'!47:47)</f>
        <v>0.36742034943473795</v>
      </c>
      <c r="W27" s="20">
        <f>LOOKUP(W3,'Amazon Assumptions'!2:2,'Amazon Assumptions'!47:47)</f>
        <v>0.36742034943473795</v>
      </c>
      <c r="X27" s="20">
        <f>LOOKUP(X3,'Amazon Assumptions'!2:2,'Amazon Assumptions'!47:47)</f>
        <v>0.36742034943473795</v>
      </c>
      <c r="Y27" s="20">
        <f>LOOKUP(Y3,'Amazon Assumptions'!2:2,'Amazon Assumptions'!47:47)</f>
        <v>0.36742034943473795</v>
      </c>
      <c r="Z27" s="20">
        <f>LOOKUP(Z3,'Amazon Assumptions'!2:2,'Amazon Assumptions'!47:47)</f>
        <v>0.36742034943473795</v>
      </c>
      <c r="AA27" s="20">
        <f>LOOKUP(AA3,'Amazon Assumptions'!2:2,'Amazon Assumptions'!47:47)</f>
        <v>0.36742034943473795</v>
      </c>
    </row>
    <row r="28" spans="1:27">
      <c r="B28" s="18" t="s">
        <v>380</v>
      </c>
      <c r="H28" s="19">
        <f>H26*H27</f>
        <v>3441348.7931142747</v>
      </c>
      <c r="I28" s="19">
        <f t="shared" ref="I28:AA28" si="4">I26*I27</f>
        <v>5464242.8782707471</v>
      </c>
      <c r="J28" s="19">
        <f t="shared" si="4"/>
        <v>7242644.074854929</v>
      </c>
      <c r="K28" s="19">
        <f t="shared" si="4"/>
        <v>9379971.6908553541</v>
      </c>
      <c r="L28" s="19">
        <f t="shared" si="4"/>
        <v>11904491.476863466</v>
      </c>
      <c r="M28" s="19">
        <f t="shared" si="4"/>
        <v>12680895.707546769</v>
      </c>
      <c r="N28" s="19">
        <f t="shared" si="4"/>
        <v>13086447.160879925</v>
      </c>
      <c r="O28" s="19">
        <f t="shared" si="4"/>
        <v>13169470.871402642</v>
      </c>
      <c r="P28" s="19">
        <f t="shared" si="4"/>
        <v>17797281.697545398</v>
      </c>
      <c r="Q28" s="19">
        <f t="shared" si="4"/>
        <v>18290076.254816502</v>
      </c>
      <c r="R28" s="19">
        <f t="shared" si="4"/>
        <v>18897107.333003726</v>
      </c>
      <c r="S28" s="19">
        <f t="shared" si="4"/>
        <v>19602233.678625312</v>
      </c>
      <c r="T28" s="19">
        <f t="shared" si="4"/>
        <v>20393939.40491993</v>
      </c>
      <c r="U28" s="19">
        <f t="shared" si="4"/>
        <v>21264208.894462086</v>
      </c>
      <c r="V28" s="19">
        <f t="shared" si="4"/>
        <v>22207684.439984821</v>
      </c>
      <c r="W28" s="19">
        <f t="shared" si="4"/>
        <v>22207684.439984821</v>
      </c>
      <c r="X28" s="19">
        <f t="shared" si="4"/>
        <v>22207684.439984821</v>
      </c>
      <c r="Y28" s="19">
        <f t="shared" si="4"/>
        <v>22207684.439984821</v>
      </c>
      <c r="Z28" s="19">
        <f t="shared" si="4"/>
        <v>22207684.439984821</v>
      </c>
      <c r="AA28" s="19">
        <f t="shared" si="4"/>
        <v>22207684.439984821</v>
      </c>
    </row>
    <row r="30" spans="1:27">
      <c r="B30" s="18" t="s">
        <v>8</v>
      </c>
      <c r="H30" s="21">
        <f>H24</f>
        <v>18152815.953531034</v>
      </c>
      <c r="I30" s="21">
        <f t="shared" ref="I30:AA30" si="5">I24</f>
        <v>23864352.754631773</v>
      </c>
      <c r="J30" s="21">
        <f t="shared" si="5"/>
        <v>30743371.62493211</v>
      </c>
      <c r="K30" s="21">
        <f t="shared" si="5"/>
        <v>38891979.907511562</v>
      </c>
      <c r="L30" s="21">
        <f t="shared" si="5"/>
        <v>48398563.172431231</v>
      </c>
      <c r="M30" s="21">
        <f t="shared" si="5"/>
        <v>55658347.648295909</v>
      </c>
      <c r="N30" s="21">
        <f t="shared" si="5"/>
        <v>62002027.460432559</v>
      </c>
      <c r="O30" s="21">
        <f t="shared" si="5"/>
        <v>67371560.547120035</v>
      </c>
      <c r="P30" s="21">
        <f t="shared" si="5"/>
        <v>84860287.37671265</v>
      </c>
      <c r="Q30" s="21">
        <f t="shared" si="5"/>
        <v>89103301.745548248</v>
      </c>
      <c r="R30" s="21">
        <f t="shared" si="5"/>
        <v>93558466.832825691</v>
      </c>
      <c r="S30" s="21">
        <f t="shared" si="5"/>
        <v>98236390.174466997</v>
      </c>
      <c r="T30" s="21">
        <f t="shared" si="5"/>
        <v>103148209.68319032</v>
      </c>
      <c r="U30" s="21">
        <f t="shared" si="5"/>
        <v>108305620.16734987</v>
      </c>
      <c r="V30" s="21">
        <f t="shared" si="5"/>
        <v>113720901.17571735</v>
      </c>
      <c r="W30" s="21">
        <f t="shared" si="5"/>
        <v>113720901.17571735</v>
      </c>
      <c r="X30" s="21">
        <f t="shared" si="5"/>
        <v>113720901.17571735</v>
      </c>
      <c r="Y30" s="21">
        <f t="shared" si="5"/>
        <v>113720901.17571735</v>
      </c>
      <c r="Z30" s="21">
        <f t="shared" si="5"/>
        <v>113720901.17571735</v>
      </c>
      <c r="AA30" s="21">
        <f t="shared" si="5"/>
        <v>113720901.17571735</v>
      </c>
    </row>
    <row r="31" spans="1:27">
      <c r="B31" s="18" t="s">
        <v>354</v>
      </c>
      <c r="H31" s="19">
        <f>LOOKUP(H$3,'Amazon Model'!$4:$4,'Amazon Model'!268:268)</f>
        <v>-4477148.6268491894</v>
      </c>
      <c r="I31" s="19">
        <f>LOOKUP(I$3,'Amazon Model'!$4:$4,'Amazon Model'!268:268)</f>
        <v>-4208020.744756341</v>
      </c>
      <c r="J31" s="19">
        <f>LOOKUP(J$3,'Amazon Model'!$4:$4,'Amazon Model'!268:268)</f>
        <v>-4684181.5170198306</v>
      </c>
      <c r="K31" s="19">
        <f>LOOKUP(K$3,'Amazon Model'!$4:$4,'Amazon Model'!268:268)</f>
        <v>-5153781.7522782981</v>
      </c>
      <c r="L31" s="19">
        <f>LOOKUP(L$3,'Amazon Model'!$4:$4,'Amazon Model'!268:268)</f>
        <v>-5608548.8357918337</v>
      </c>
      <c r="M31" s="19">
        <f>LOOKUP(M$3,'Amazon Model'!$4:$4,'Amazon Model'!268:268)</f>
        <v>-6151017.3922780827</v>
      </c>
      <c r="N31" s="19">
        <f>LOOKUP(N$3,'Amazon Model'!$4:$4,'Amazon Model'!268:268)</f>
        <v>-5374826.8953739479</v>
      </c>
      <c r="O31" s="19">
        <f>LOOKUP(O$3,'Amazon Model'!$4:$4,'Amazon Model'!268:268)</f>
        <v>-4549458.94253885</v>
      </c>
      <c r="P31" s="19">
        <f>LOOKUP(P$3,'Amazon Model'!$4:$4,'Amazon Model'!268:268)</f>
        <v>-1406235.3004176915</v>
      </c>
      <c r="Q31" s="19">
        <f>LOOKUP(Q$3,'Amazon Model'!$4:$4,'Amazon Model'!268:268)</f>
        <v>-2924416.057289809</v>
      </c>
      <c r="R31" s="19">
        <f>LOOKUP(R$3,'Amazon Model'!$4:$4,'Amazon Model'!268:268)</f>
        <v>-3070636.860154286</v>
      </c>
      <c r="S31" s="19">
        <f>LOOKUP(S$3,'Amazon Model'!$4:$4,'Amazon Model'!268:268)</f>
        <v>-3224168.7031619847</v>
      </c>
      <c r="T31" s="19">
        <f>LOOKUP(T$3,'Amazon Model'!$4:$4,'Amazon Model'!268:268)</f>
        <v>-3385377.1383201182</v>
      </c>
      <c r="U31" s="19">
        <f>LOOKUP(U$3,'Amazon Model'!$4:$4,'Amazon Model'!268:268)</f>
        <v>-3554645.9952360988</v>
      </c>
      <c r="V31" s="19">
        <f>LOOKUP(V$3,'Amazon Model'!$4:$4,'Amazon Model'!268:268)</f>
        <v>-3732378.2949979007</v>
      </c>
      <c r="W31" s="19">
        <f>LOOKUP(W$3,'Amazon Model'!$4:$4,'Amazon Model'!268:268)</f>
        <v>-3732378.2949979007</v>
      </c>
      <c r="X31" s="19">
        <f>LOOKUP(X$3,'Amazon Model'!$4:$4,'Amazon Model'!268:268)</f>
        <v>-3732378.2949979007</v>
      </c>
      <c r="Y31" s="19">
        <f>LOOKUP(Y$3,'Amazon Model'!$4:$4,'Amazon Model'!268:268)</f>
        <v>-3732378.2949979007</v>
      </c>
      <c r="Z31" s="19">
        <f>LOOKUP(Z$3,'Amazon Model'!$4:$4,'Amazon Model'!268:268)</f>
        <v>-3732378.2949979007</v>
      </c>
      <c r="AA31" s="19">
        <f>LOOKUP(AA$3,'Amazon Model'!$4:$4,'Amazon Model'!268:268)</f>
        <v>-3732378.2949979007</v>
      </c>
    </row>
    <row r="32" spans="1:27">
      <c r="B32" s="18" t="s">
        <v>381</v>
      </c>
      <c r="H32" s="19">
        <f>LOOKUP(H$3,'Amazon Model'!$4:$4,'Amazon Model'!273:273)+LOOKUP(H$3,'Amazon Model'!$4:$4,'Amazon Model'!274:274)</f>
        <v>15429893.560501378</v>
      </c>
      <c r="I32" s="19">
        <f>LOOKUP(I$3,'Amazon Model'!$4:$4,'Amazon Model'!273:273)+LOOKUP(I$3,'Amazon Model'!$4:$4,'Amazon Model'!274:274)</f>
        <v>18515872.272601649</v>
      </c>
      <c r="J32" s="19">
        <f>LOOKUP(J$3,'Amazon Model'!$4:$4,'Amazon Model'!273:273)+LOOKUP(J$3,'Amazon Model'!$4:$4,'Amazon Model'!274:274)</f>
        <v>21962064.414081037</v>
      </c>
      <c r="K32" s="19">
        <f>LOOKUP(K$3,'Amazon Model'!$4:$4,'Amazon Model'!273:273)+LOOKUP(K$3,'Amazon Model'!$4:$4,'Amazon Model'!274:274)</f>
        <v>25766005.554509912</v>
      </c>
      <c r="L32" s="19">
        <f>LOOKUP(L$3,'Amazon Model'!$4:$4,'Amazon Model'!273:273)+LOOKUP(L$3,'Amazon Model'!$4:$4,'Amazon Model'!274:274)</f>
        <v>38718850.53794498</v>
      </c>
      <c r="M32" s="19">
        <f>LOOKUP(M$3,'Amazon Model'!$4:$4,'Amazon Model'!273:273)+LOOKUP(M$3,'Amazon Model'!$4:$4,'Amazon Model'!274:274)</f>
        <v>44526678.11863672</v>
      </c>
      <c r="N32" s="19">
        <f>LOOKUP(N$3,'Amazon Model'!$4:$4,'Amazon Model'!273:273)+LOOKUP(N$3,'Amazon Model'!$4:$4,'Amazon Model'!274:274)</f>
        <v>49601621.968346037</v>
      </c>
      <c r="O32" s="19">
        <f>LOOKUP(O$3,'Amazon Model'!$4:$4,'Amazon Model'!273:273)+LOOKUP(O$3,'Amazon Model'!$4:$4,'Amazon Model'!274:274)</f>
        <v>53897248.437696032</v>
      </c>
      <c r="P32" s="19">
        <f>LOOKUP(P$3,'Amazon Model'!$4:$4,'Amazon Model'!273:273)+LOOKUP(P$3,'Amazon Model'!$4:$4,'Amazon Model'!274:274)</f>
        <v>50916172.426027566</v>
      </c>
      <c r="Q32" s="19">
        <f>LOOKUP(Q$3,'Amazon Model'!$4:$4,'Amazon Model'!273:273)+LOOKUP(Q$3,'Amazon Model'!$4:$4,'Amazon Model'!274:274)</f>
        <v>53461981.047328942</v>
      </c>
      <c r="R32" s="19">
        <f>LOOKUP(R$3,'Amazon Model'!$4:$4,'Amazon Model'!273:273)+LOOKUP(R$3,'Amazon Model'!$4:$4,'Amazon Model'!274:274)</f>
        <v>56135080.099695399</v>
      </c>
      <c r="S32" s="19">
        <f>LOOKUP(S$3,'Amazon Model'!$4:$4,'Amazon Model'!273:273)+LOOKUP(S$3,'Amazon Model'!$4:$4,'Amazon Model'!274:274)</f>
        <v>58941834.104680166</v>
      </c>
      <c r="T32" s="19">
        <f>LOOKUP(T$3,'Amazon Model'!$4:$4,'Amazon Model'!273:273)+LOOKUP(T$3,'Amazon Model'!$4:$4,'Amazon Model'!274:274)</f>
        <v>61888925.809914187</v>
      </c>
      <c r="U32" s="19">
        <f>LOOKUP(U$3,'Amazon Model'!$4:$4,'Amazon Model'!273:273)+LOOKUP(U$3,'Amazon Model'!$4:$4,'Amazon Model'!274:274)</f>
        <v>64983372.100409895</v>
      </c>
      <c r="V32" s="19">
        <f>LOOKUP(V$3,'Amazon Model'!$4:$4,'Amazon Model'!273:273)+LOOKUP(V$3,'Amazon Model'!$4:$4,'Amazon Model'!274:274)</f>
        <v>68232540.705430403</v>
      </c>
      <c r="W32" s="19">
        <f>LOOKUP(W$3,'Amazon Model'!$4:$4,'Amazon Model'!273:273)+LOOKUP(W$3,'Amazon Model'!$4:$4,'Amazon Model'!274:274)</f>
        <v>68232540.705430403</v>
      </c>
      <c r="X32" s="19">
        <f>LOOKUP(X$3,'Amazon Model'!$4:$4,'Amazon Model'!273:273)+LOOKUP(X$3,'Amazon Model'!$4:$4,'Amazon Model'!274:274)</f>
        <v>68232540.705430403</v>
      </c>
      <c r="Y32" s="19">
        <f>LOOKUP(Y$3,'Amazon Model'!$4:$4,'Amazon Model'!273:273)+LOOKUP(Y$3,'Amazon Model'!$4:$4,'Amazon Model'!274:274)</f>
        <v>68232540.705430403</v>
      </c>
      <c r="Z32" s="19">
        <f>LOOKUP(Z$3,'Amazon Model'!$4:$4,'Amazon Model'!273:273)+LOOKUP(Z$3,'Amazon Model'!$4:$4,'Amazon Model'!274:274)</f>
        <v>68232540.705430403</v>
      </c>
      <c r="AA32" s="19">
        <f>LOOKUP(AA$3,'Amazon Model'!$4:$4,'Amazon Model'!273:273)+LOOKUP(AA$3,'Amazon Model'!$4:$4,'Amazon Model'!274:274)</f>
        <v>68232540.705430403</v>
      </c>
    </row>
    <row r="33" spans="1:27">
      <c r="B33" s="18" t="s">
        <v>96</v>
      </c>
      <c r="H33" s="21">
        <f>H28</f>
        <v>3441348.7931142747</v>
      </c>
      <c r="I33" s="21">
        <f t="shared" ref="I33:AA33" si="6">I28</f>
        <v>5464242.8782707471</v>
      </c>
      <c r="J33" s="21">
        <f t="shared" si="6"/>
        <v>7242644.074854929</v>
      </c>
      <c r="K33" s="21">
        <f t="shared" si="6"/>
        <v>9379971.6908553541</v>
      </c>
      <c r="L33" s="21">
        <f t="shared" si="6"/>
        <v>11904491.476863466</v>
      </c>
      <c r="M33" s="21">
        <f t="shared" si="6"/>
        <v>12680895.707546769</v>
      </c>
      <c r="N33" s="21">
        <f t="shared" si="6"/>
        <v>13086447.160879925</v>
      </c>
      <c r="O33" s="21">
        <f t="shared" si="6"/>
        <v>13169470.871402642</v>
      </c>
      <c r="P33" s="21">
        <f t="shared" si="6"/>
        <v>17797281.697545398</v>
      </c>
      <c r="Q33" s="21">
        <f t="shared" si="6"/>
        <v>18290076.254816502</v>
      </c>
      <c r="R33" s="21">
        <f t="shared" si="6"/>
        <v>18897107.333003726</v>
      </c>
      <c r="S33" s="21">
        <f t="shared" si="6"/>
        <v>19602233.678625312</v>
      </c>
      <c r="T33" s="21">
        <f t="shared" si="6"/>
        <v>20393939.40491993</v>
      </c>
      <c r="U33" s="21">
        <f t="shared" si="6"/>
        <v>21264208.894462086</v>
      </c>
      <c r="V33" s="21">
        <f t="shared" si="6"/>
        <v>22207684.439984821</v>
      </c>
      <c r="W33" s="21">
        <f t="shared" si="6"/>
        <v>22207684.439984821</v>
      </c>
      <c r="X33" s="21">
        <f t="shared" si="6"/>
        <v>22207684.439984821</v>
      </c>
      <c r="Y33" s="21">
        <f t="shared" si="6"/>
        <v>22207684.439984821</v>
      </c>
      <c r="Z33" s="21">
        <f t="shared" si="6"/>
        <v>22207684.439984821</v>
      </c>
      <c r="AA33" s="21">
        <f t="shared" si="6"/>
        <v>22207684.439984821</v>
      </c>
    </row>
    <row r="34" spans="1:27" ht="15" thickBot="1">
      <c r="C34" s="35" t="s">
        <v>94</v>
      </c>
      <c r="D34" s="35"/>
      <c r="E34" s="35"/>
      <c r="F34" s="35"/>
      <c r="G34" s="35"/>
      <c r="H34" s="48">
        <f>H30-H31-H32-H33</f>
        <v>3758722.2267645709</v>
      </c>
      <c r="I34" s="48">
        <f t="shared" ref="I34:AA34" si="7">I30-I31-I32-I33</f>
        <v>4092258.3485157173</v>
      </c>
      <c r="J34" s="48">
        <f t="shared" si="7"/>
        <v>6222844.6530159749</v>
      </c>
      <c r="K34" s="48">
        <f t="shared" si="7"/>
        <v>8899784.4144245945</v>
      </c>
      <c r="L34" s="48">
        <f t="shared" si="7"/>
        <v>3383769.9934146181</v>
      </c>
      <c r="M34" s="48">
        <f t="shared" si="7"/>
        <v>4601791.2143905032</v>
      </c>
      <c r="N34" s="48">
        <f t="shared" si="7"/>
        <v>4688785.2265805379</v>
      </c>
      <c r="O34" s="48">
        <f t="shared" si="7"/>
        <v>4854300.1805602182</v>
      </c>
      <c r="P34" s="48">
        <f t="shared" si="7"/>
        <v>17553068.553557377</v>
      </c>
      <c r="Q34" s="48">
        <f t="shared" si="7"/>
        <v>20275660.500692613</v>
      </c>
      <c r="R34" s="48">
        <f t="shared" si="7"/>
        <v>21596916.260280851</v>
      </c>
      <c r="S34" s="48">
        <f t="shared" si="7"/>
        <v>22916491.094323505</v>
      </c>
      <c r="T34" s="48">
        <f t="shared" si="7"/>
        <v>24250721.606676318</v>
      </c>
      <c r="U34" s="48">
        <f t="shared" si="7"/>
        <v>25612685.167713992</v>
      </c>
      <c r="V34" s="48">
        <f t="shared" si="7"/>
        <v>27013054.32530003</v>
      </c>
      <c r="W34" s="48">
        <f t="shared" si="7"/>
        <v>27013054.32530003</v>
      </c>
      <c r="X34" s="48">
        <f t="shared" si="7"/>
        <v>27013054.32530003</v>
      </c>
      <c r="Y34" s="48">
        <f t="shared" si="7"/>
        <v>27013054.32530003</v>
      </c>
      <c r="Z34" s="48">
        <f t="shared" si="7"/>
        <v>27013054.32530003</v>
      </c>
      <c r="AA34" s="48">
        <f t="shared" si="7"/>
        <v>27013054.32530003</v>
      </c>
    </row>
    <row r="35" spans="1:27"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</row>
    <row r="36" spans="1:27">
      <c r="C36" s="18" t="s">
        <v>459</v>
      </c>
      <c r="H36" s="19">
        <f>IF(H4,H34)</f>
        <v>3758722.2267645709</v>
      </c>
      <c r="I36" s="19">
        <f t="shared" ref="I36:AA36" si="8">IF(I4,I34)</f>
        <v>4092258.3485157173</v>
      </c>
      <c r="J36" s="19">
        <f t="shared" si="8"/>
        <v>6222844.6530159749</v>
      </c>
      <c r="K36" s="19">
        <f t="shared" si="8"/>
        <v>8899784.4144245945</v>
      </c>
      <c r="L36" s="19">
        <f t="shared" si="8"/>
        <v>3383769.9934146181</v>
      </c>
      <c r="M36" s="19">
        <f t="shared" si="8"/>
        <v>4601791.2143905032</v>
      </c>
      <c r="N36" s="19">
        <f t="shared" si="8"/>
        <v>4688785.2265805379</v>
      </c>
      <c r="O36" s="19">
        <f t="shared" si="8"/>
        <v>4854300.1805602182</v>
      </c>
      <c r="P36" s="19">
        <f t="shared" si="8"/>
        <v>17553068.553557377</v>
      </c>
      <c r="Q36" s="19">
        <f t="shared" si="8"/>
        <v>20275660.500692613</v>
      </c>
      <c r="R36" s="19">
        <f t="shared" si="8"/>
        <v>21596916.260280851</v>
      </c>
      <c r="S36" s="19">
        <f t="shared" si="8"/>
        <v>22916491.094323505</v>
      </c>
      <c r="T36" s="19">
        <f t="shared" si="8"/>
        <v>24250721.606676318</v>
      </c>
      <c r="U36" s="19" t="b">
        <f t="shared" si="8"/>
        <v>0</v>
      </c>
      <c r="V36" s="19" t="b">
        <f t="shared" si="8"/>
        <v>0</v>
      </c>
      <c r="W36" s="19" t="b">
        <f t="shared" si="8"/>
        <v>0</v>
      </c>
      <c r="X36" s="19" t="b">
        <f t="shared" si="8"/>
        <v>0</v>
      </c>
      <c r="Y36" s="19" t="b">
        <f t="shared" si="8"/>
        <v>0</v>
      </c>
      <c r="Z36" s="19" t="b">
        <f t="shared" si="8"/>
        <v>0</v>
      </c>
      <c r="AA36" s="19" t="b">
        <f t="shared" si="8"/>
        <v>0</v>
      </c>
    </row>
    <row r="37" spans="1:27">
      <c r="C37" s="18" t="s">
        <v>382</v>
      </c>
      <c r="E37" s="19">
        <f>NPV(F37,36:36)</f>
        <v>69020771.142396897</v>
      </c>
      <c r="F37" s="20">
        <f>E12</f>
        <v>0.09</v>
      </c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1:27">
      <c r="C38" s="18" t="s">
        <v>383</v>
      </c>
      <c r="E38" s="19">
        <f>E37*(1+F37)^0.5</f>
        <v>72059800.620799184</v>
      </c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40" spans="1:27" s="31" customFormat="1">
      <c r="A40" s="31" t="s">
        <v>384</v>
      </c>
    </row>
    <row r="41" spans="1:27">
      <c r="B41" s="18" t="s">
        <v>86</v>
      </c>
      <c r="H41" s="19">
        <f>LOOKUP(H$3,'Amazon Model'!$4:$4,'Amazon Model'!323:323)</f>
        <v>32906919.537438378</v>
      </c>
      <c r="I41" s="19">
        <f>LOOKUP(I$3,'Amazon Model'!$4:$4,'Amazon Model'!323:323)</f>
        <v>41399072.488694489</v>
      </c>
      <c r="J41" s="19">
        <f>LOOKUP(J$3,'Amazon Model'!$4:$4,'Amazon Model'!323:323)</f>
        <v>51193281.864864036</v>
      </c>
      <c r="K41" s="19">
        <f>LOOKUP(K$3,'Amazon Model'!$4:$4,'Amazon Model'!323:323)</f>
        <v>62358613.130747654</v>
      </c>
      <c r="L41" s="19">
        <f>LOOKUP(L$3,'Amazon Model'!$4:$4,'Amazon Model'!323:323)</f>
        <v>83745804.451547101</v>
      </c>
      <c r="M41" s="19">
        <f>LOOKUP(M$3,'Amazon Model'!$4:$4,'Amazon Model'!323:323)</f>
        <v>105596299.32458109</v>
      </c>
      <c r="N41" s="19">
        <f>LOOKUP(N$3,'Amazon Model'!$4:$4,'Amazon Model'!323:323)</f>
        <v>127475053.63585418</v>
      </c>
      <c r="O41" s="19">
        <f>LOOKUP(O$3,'Amazon Model'!$4:$4,'Amazon Model'!323:323)</f>
        <v>148711321.56318131</v>
      </c>
      <c r="P41" s="19">
        <f>LOOKUP(P$3,'Amazon Model'!$4:$4,'Amazon Model'!323:323)</f>
        <v>164620636.73098493</v>
      </c>
      <c r="Q41" s="19">
        <f>LOOKUP(Q$3,'Amazon Model'!$4:$4,'Amazon Model'!323:323)</f>
        <v>178119304.06481099</v>
      </c>
      <c r="R41" s="19">
        <f>LOOKUP(R$3,'Amazon Model'!$4:$4,'Amazon Model'!323:323)</f>
        <v>191456062.88918662</v>
      </c>
      <c r="S41" s="19">
        <f>LOOKUP(S$3,'Amazon Model'!$4:$4,'Amazon Model'!323:323)</f>
        <v>204807194.37517035</v>
      </c>
      <c r="T41" s="19">
        <f>LOOKUP(T$3,'Amazon Model'!$4:$4,'Amazon Model'!323:323)</f>
        <v>218313102.02487853</v>
      </c>
      <c r="U41" s="19">
        <f>LOOKUP(U$3,'Amazon Model'!$4:$4,'Amazon Model'!323:323)</f>
        <v>232087611.52217746</v>
      </c>
      <c r="V41" s="19">
        <f>LOOKUP(V$3,'Amazon Model'!$4:$4,'Amazon Model'!323:323)</f>
        <v>246224966.6148394</v>
      </c>
      <c r="W41" s="19">
        <f>LOOKUP(W$3,'Amazon Model'!$4:$4,'Amazon Model'!323:323)</f>
        <v>246224966.6148394</v>
      </c>
      <c r="X41" s="19">
        <f>LOOKUP(X$3,'Amazon Model'!$4:$4,'Amazon Model'!323:323)</f>
        <v>246224966.6148394</v>
      </c>
      <c r="Y41" s="19">
        <f>LOOKUP(Y$3,'Amazon Model'!$4:$4,'Amazon Model'!323:323)</f>
        <v>246224966.6148394</v>
      </c>
      <c r="Z41" s="19">
        <f>LOOKUP(Z$3,'Amazon Model'!$4:$4,'Amazon Model'!323:323)</f>
        <v>246224966.6148394</v>
      </c>
      <c r="AA41" s="19">
        <f>LOOKUP(AA$3,'Amazon Model'!$4:$4,'Amazon Model'!323:323)</f>
        <v>246224966.6148394</v>
      </c>
    </row>
    <row r="42" spans="1:27">
      <c r="B42" s="18" t="s">
        <v>385</v>
      </c>
      <c r="E42" s="20">
        <f>E15</f>
        <v>0.15</v>
      </c>
      <c r="H42" s="20">
        <f>$E$42</f>
        <v>0.15</v>
      </c>
      <c r="I42" s="20">
        <f t="shared" ref="I42:AA42" si="9">$E$42</f>
        <v>0.15</v>
      </c>
      <c r="J42" s="20">
        <f t="shared" si="9"/>
        <v>0.15</v>
      </c>
      <c r="K42" s="20">
        <f t="shared" si="9"/>
        <v>0.15</v>
      </c>
      <c r="L42" s="20">
        <f t="shared" si="9"/>
        <v>0.15</v>
      </c>
      <c r="M42" s="20">
        <f t="shared" si="9"/>
        <v>0.15</v>
      </c>
      <c r="N42" s="20">
        <f t="shared" si="9"/>
        <v>0.15</v>
      </c>
      <c r="O42" s="20">
        <f t="shared" si="9"/>
        <v>0.15</v>
      </c>
      <c r="P42" s="20">
        <f t="shared" si="9"/>
        <v>0.15</v>
      </c>
      <c r="Q42" s="20">
        <f t="shared" si="9"/>
        <v>0.15</v>
      </c>
      <c r="R42" s="20">
        <f t="shared" si="9"/>
        <v>0.15</v>
      </c>
      <c r="S42" s="20">
        <f t="shared" si="9"/>
        <v>0.15</v>
      </c>
      <c r="T42" s="20">
        <f t="shared" si="9"/>
        <v>0.15</v>
      </c>
      <c r="U42" s="20">
        <f t="shared" si="9"/>
        <v>0.15</v>
      </c>
      <c r="V42" s="20">
        <f t="shared" si="9"/>
        <v>0.15</v>
      </c>
      <c r="W42" s="20">
        <f t="shared" si="9"/>
        <v>0.15</v>
      </c>
      <c r="X42" s="20">
        <f t="shared" si="9"/>
        <v>0.15</v>
      </c>
      <c r="Y42" s="20">
        <f t="shared" si="9"/>
        <v>0.15</v>
      </c>
      <c r="Z42" s="20">
        <f t="shared" si="9"/>
        <v>0.15</v>
      </c>
      <c r="AA42" s="20">
        <f t="shared" si="9"/>
        <v>0.15</v>
      </c>
    </row>
    <row r="43" spans="1:27">
      <c r="B43" s="18" t="s">
        <v>91</v>
      </c>
      <c r="H43" s="19">
        <f>H42*H41</f>
        <v>4936037.9306157567</v>
      </c>
      <c r="I43" s="19">
        <f t="shared" ref="I43:AA43" si="10">I42*I41</f>
        <v>6209860.8733041734</v>
      </c>
      <c r="J43" s="19">
        <f t="shared" si="10"/>
        <v>7678992.2797296047</v>
      </c>
      <c r="K43" s="19">
        <f t="shared" si="10"/>
        <v>9353791.9696121477</v>
      </c>
      <c r="L43" s="19">
        <f t="shared" si="10"/>
        <v>12561870.667732066</v>
      </c>
      <c r="M43" s="19">
        <f t="shared" si="10"/>
        <v>15839444.898687162</v>
      </c>
      <c r="N43" s="19">
        <f t="shared" si="10"/>
        <v>19121258.045378126</v>
      </c>
      <c r="O43" s="19">
        <f t="shared" si="10"/>
        <v>22306698.234477196</v>
      </c>
      <c r="P43" s="19">
        <f t="shared" si="10"/>
        <v>24693095.509647738</v>
      </c>
      <c r="Q43" s="19">
        <f t="shared" si="10"/>
        <v>26717895.609721649</v>
      </c>
      <c r="R43" s="19">
        <f t="shared" si="10"/>
        <v>28718409.433377992</v>
      </c>
      <c r="S43" s="19">
        <f t="shared" si="10"/>
        <v>30721079.156275552</v>
      </c>
      <c r="T43" s="19">
        <f t="shared" si="10"/>
        <v>32746965.303731777</v>
      </c>
      <c r="U43" s="19">
        <f t="shared" si="10"/>
        <v>34813141.728326619</v>
      </c>
      <c r="V43" s="19">
        <f t="shared" si="10"/>
        <v>36933744.992225908</v>
      </c>
      <c r="W43" s="19">
        <f t="shared" si="10"/>
        <v>36933744.992225908</v>
      </c>
      <c r="X43" s="19">
        <f t="shared" si="10"/>
        <v>36933744.992225908</v>
      </c>
      <c r="Y43" s="19">
        <f t="shared" si="10"/>
        <v>36933744.992225908</v>
      </c>
      <c r="Z43" s="19">
        <f t="shared" si="10"/>
        <v>36933744.992225908</v>
      </c>
      <c r="AA43" s="19">
        <f t="shared" si="10"/>
        <v>36933744.992225908</v>
      </c>
    </row>
    <row r="44" spans="1:27">
      <c r="B44" s="18" t="s">
        <v>92</v>
      </c>
      <c r="H44" s="19">
        <f>H43/(1-H27)</f>
        <v>7803029.9049376622</v>
      </c>
      <c r="I44" s="19">
        <f t="shared" ref="I44:AA44" si="11">I43/(1-I27)</f>
        <v>9816725.6372460779</v>
      </c>
      <c r="J44" s="19">
        <f t="shared" si="11"/>
        <v>12139170.573804881</v>
      </c>
      <c r="K44" s="19">
        <f t="shared" si="11"/>
        <v>14786741.813862907</v>
      </c>
      <c r="L44" s="19">
        <f t="shared" si="11"/>
        <v>19858164.353701543</v>
      </c>
      <c r="M44" s="19">
        <f t="shared" si="11"/>
        <v>25039447.419045664</v>
      </c>
      <c r="N44" s="19">
        <f t="shared" si="11"/>
        <v>30227431.483595315</v>
      </c>
      <c r="O44" s="19">
        <f t="shared" si="11"/>
        <v>35263066.421033807</v>
      </c>
      <c r="P44" s="19">
        <f t="shared" si="11"/>
        <v>39035551.47179082</v>
      </c>
      <c r="Q44" s="19">
        <f t="shared" si="11"/>
        <v>42236413.368414566</v>
      </c>
      <c r="R44" s="19">
        <f t="shared" si="11"/>
        <v>45398882.824820124</v>
      </c>
      <c r="S44" s="19">
        <f t="shared" si="11"/>
        <v>48564760.388393357</v>
      </c>
      <c r="T44" s="19">
        <f t="shared" si="11"/>
        <v>51767339.139774196</v>
      </c>
      <c r="U44" s="19">
        <f t="shared" si="11"/>
        <v>55033609.913341671</v>
      </c>
      <c r="V44" s="19">
        <f t="shared" si="11"/>
        <v>58385920.190797411</v>
      </c>
      <c r="W44" s="19">
        <f t="shared" si="11"/>
        <v>58385920.190797411</v>
      </c>
      <c r="X44" s="19">
        <f t="shared" si="11"/>
        <v>58385920.190797411</v>
      </c>
      <c r="Y44" s="19">
        <f t="shared" si="11"/>
        <v>58385920.190797411</v>
      </c>
      <c r="Z44" s="19">
        <f t="shared" si="11"/>
        <v>58385920.190797411</v>
      </c>
      <c r="AA44" s="19">
        <f t="shared" si="11"/>
        <v>58385920.190797411</v>
      </c>
    </row>
    <row r="45" spans="1:27">
      <c r="B45" s="18" t="s">
        <v>386</v>
      </c>
      <c r="H45" s="21">
        <f>H44+H25</f>
        <v>16589601.45091572</v>
      </c>
      <c r="I45" s="21">
        <f t="shared" ref="I45:AA45" si="12">I44+I25</f>
        <v>18809167.005703203</v>
      </c>
      <c r="J45" s="21">
        <f t="shared" si="12"/>
        <v>23170394.828572385</v>
      </c>
      <c r="K45" s="21">
        <f t="shared" si="12"/>
        <v>28149456.112417106</v>
      </c>
      <c r="L45" s="21">
        <f t="shared" si="12"/>
        <v>35856531.142949134</v>
      </c>
      <c r="M45" s="21">
        <f t="shared" si="12"/>
        <v>46184476.120647855</v>
      </c>
      <c r="N45" s="21">
        <f t="shared" si="12"/>
        <v>56612359.398472168</v>
      </c>
      <c r="O45" s="21">
        <f t="shared" si="12"/>
        <v>66791563.589483157</v>
      </c>
      <c r="P45" s="21">
        <f t="shared" si="12"/>
        <v>75457363.0674918</v>
      </c>
      <c r="Q45" s="21">
        <f t="shared" si="12"/>
        <v>81560011.06938532</v>
      </c>
      <c r="R45" s="21">
        <f t="shared" si="12"/>
        <v>87525502.286981136</v>
      </c>
      <c r="S45" s="21">
        <f t="shared" si="12"/>
        <v>93450176.103273153</v>
      </c>
      <c r="T45" s="21">
        <f t="shared" si="12"/>
        <v>99409806.050972641</v>
      </c>
      <c r="U45" s="21">
        <f t="shared" si="12"/>
        <v>105464893.70499474</v>
      </c>
      <c r="V45" s="21">
        <f t="shared" si="12"/>
        <v>111664648.0515351</v>
      </c>
      <c r="W45" s="21">
        <f t="shared" si="12"/>
        <v>111664648.0515351</v>
      </c>
      <c r="X45" s="21">
        <f t="shared" si="12"/>
        <v>111664648.0515351</v>
      </c>
      <c r="Y45" s="21">
        <f t="shared" si="12"/>
        <v>111664648.0515351</v>
      </c>
      <c r="Z45" s="21">
        <f t="shared" si="12"/>
        <v>111664648.0515351</v>
      </c>
      <c r="AA45" s="21">
        <f t="shared" si="12"/>
        <v>111664648.0515351</v>
      </c>
    </row>
    <row r="46" spans="1:27">
      <c r="B46" s="65" t="s">
        <v>387</v>
      </c>
      <c r="C46" s="65"/>
      <c r="D46" s="65"/>
      <c r="E46" s="65"/>
      <c r="F46" s="65"/>
      <c r="G46" s="65"/>
      <c r="H46" s="66">
        <f>H30</f>
        <v>18152815.953531034</v>
      </c>
      <c r="I46" s="66">
        <f t="shared" ref="I46:AA46" si="13">I30</f>
        <v>23864352.754631773</v>
      </c>
      <c r="J46" s="66">
        <f t="shared" si="13"/>
        <v>30743371.62493211</v>
      </c>
      <c r="K46" s="66">
        <f t="shared" si="13"/>
        <v>38891979.907511562</v>
      </c>
      <c r="L46" s="66">
        <f t="shared" si="13"/>
        <v>48398563.172431231</v>
      </c>
      <c r="M46" s="66">
        <f t="shared" si="13"/>
        <v>55658347.648295909</v>
      </c>
      <c r="N46" s="66">
        <f t="shared" si="13"/>
        <v>62002027.460432559</v>
      </c>
      <c r="O46" s="66">
        <f t="shared" si="13"/>
        <v>67371560.547120035</v>
      </c>
      <c r="P46" s="66">
        <f t="shared" si="13"/>
        <v>84860287.37671265</v>
      </c>
      <c r="Q46" s="66">
        <f t="shared" si="13"/>
        <v>89103301.745548248</v>
      </c>
      <c r="R46" s="66">
        <f t="shared" si="13"/>
        <v>93558466.832825691</v>
      </c>
      <c r="S46" s="66">
        <f t="shared" si="13"/>
        <v>98236390.174466997</v>
      </c>
      <c r="T46" s="66">
        <f t="shared" si="13"/>
        <v>103148209.68319032</v>
      </c>
      <c r="U46" s="66">
        <f t="shared" si="13"/>
        <v>108305620.16734987</v>
      </c>
      <c r="V46" s="66">
        <f t="shared" si="13"/>
        <v>113720901.17571735</v>
      </c>
      <c r="W46" s="66">
        <f t="shared" si="13"/>
        <v>113720901.17571735</v>
      </c>
      <c r="X46" s="66">
        <f t="shared" si="13"/>
        <v>113720901.17571735</v>
      </c>
      <c r="Y46" s="66">
        <f t="shared" si="13"/>
        <v>113720901.17571735</v>
      </c>
      <c r="Z46" s="66">
        <f t="shared" si="13"/>
        <v>113720901.17571735</v>
      </c>
      <c r="AA46" s="66">
        <f t="shared" si="13"/>
        <v>113720901.17571735</v>
      </c>
    </row>
    <row r="47" spans="1:27" ht="15" thickBot="1">
      <c r="B47" s="35" t="s">
        <v>388</v>
      </c>
      <c r="C47" s="35"/>
      <c r="D47" s="35"/>
      <c r="E47" s="35"/>
      <c r="F47" s="35"/>
      <c r="G47" s="35"/>
      <c r="H47" s="49">
        <f>H44*H27</f>
        <v>2866991.974321906</v>
      </c>
      <c r="I47" s="49">
        <f t="shared" ref="I47:AA47" si="14">I44*I27</f>
        <v>3606864.7639419045</v>
      </c>
      <c r="J47" s="49">
        <f t="shared" si="14"/>
        <v>4460178.2940752776</v>
      </c>
      <c r="K47" s="49">
        <f t="shared" si="14"/>
        <v>5432949.84425076</v>
      </c>
      <c r="L47" s="49">
        <f t="shared" si="14"/>
        <v>7296293.6859694785</v>
      </c>
      <c r="M47" s="49">
        <f t="shared" si="14"/>
        <v>9200002.5203585047</v>
      </c>
      <c r="N47" s="49">
        <f t="shared" si="14"/>
        <v>11106173.438217189</v>
      </c>
      <c r="O47" s="49">
        <f t="shared" si="14"/>
        <v>12956368.186556615</v>
      </c>
      <c r="P47" s="49">
        <f t="shared" si="14"/>
        <v>14342455.962143082</v>
      </c>
      <c r="Q47" s="49">
        <f t="shared" si="14"/>
        <v>15518517.758692916</v>
      </c>
      <c r="R47" s="49">
        <f t="shared" si="14"/>
        <v>16680473.391442133</v>
      </c>
      <c r="S47" s="49">
        <f t="shared" si="14"/>
        <v>17843681.232117806</v>
      </c>
      <c r="T47" s="49">
        <f t="shared" si="14"/>
        <v>19020373.836042423</v>
      </c>
      <c r="U47" s="49">
        <f t="shared" si="14"/>
        <v>20220468.185015056</v>
      </c>
      <c r="V47" s="49">
        <f t="shared" si="14"/>
        <v>21452175.198571507</v>
      </c>
      <c r="W47" s="49">
        <f t="shared" si="14"/>
        <v>21452175.198571507</v>
      </c>
      <c r="X47" s="49">
        <f t="shared" si="14"/>
        <v>21452175.198571507</v>
      </c>
      <c r="Y47" s="49">
        <f t="shared" si="14"/>
        <v>21452175.198571507</v>
      </c>
      <c r="Z47" s="49">
        <f t="shared" si="14"/>
        <v>21452175.198571507</v>
      </c>
      <c r="AA47" s="49">
        <f t="shared" si="14"/>
        <v>21452175.198571507</v>
      </c>
    </row>
    <row r="49" spans="1:27">
      <c r="B49" s="18" t="s">
        <v>389</v>
      </c>
      <c r="E49" s="20">
        <f ca="1">E19</f>
        <v>1.3491165055645986</v>
      </c>
      <c r="H49" s="20">
        <f ca="1">$E$49</f>
        <v>1.3491165055645986</v>
      </c>
      <c r="I49" s="20">
        <f t="shared" ref="I49:AA49" ca="1" si="15">$E$49</f>
        <v>1.3491165055645986</v>
      </c>
      <c r="J49" s="20">
        <f t="shared" ca="1" si="15"/>
        <v>1.3491165055645986</v>
      </c>
      <c r="K49" s="20">
        <f t="shared" ca="1" si="15"/>
        <v>1.3491165055645986</v>
      </c>
      <c r="L49" s="20">
        <f t="shared" ca="1" si="15"/>
        <v>1.3491165055645986</v>
      </c>
      <c r="M49" s="20">
        <f t="shared" ca="1" si="15"/>
        <v>1.3491165055645986</v>
      </c>
      <c r="N49" s="20">
        <f t="shared" ca="1" si="15"/>
        <v>1.3491165055645986</v>
      </c>
      <c r="O49" s="20">
        <f t="shared" ca="1" si="15"/>
        <v>1.3491165055645986</v>
      </c>
      <c r="P49" s="20">
        <f t="shared" ca="1" si="15"/>
        <v>1.3491165055645986</v>
      </c>
      <c r="Q49" s="20">
        <f t="shared" ca="1" si="15"/>
        <v>1.3491165055645986</v>
      </c>
      <c r="R49" s="20">
        <f t="shared" ca="1" si="15"/>
        <v>1.3491165055645986</v>
      </c>
      <c r="S49" s="20">
        <f t="shared" ca="1" si="15"/>
        <v>1.3491165055645986</v>
      </c>
      <c r="T49" s="20">
        <f t="shared" ca="1" si="15"/>
        <v>1.3491165055645986</v>
      </c>
      <c r="U49" s="20">
        <f t="shared" ca="1" si="15"/>
        <v>1.3491165055645986</v>
      </c>
      <c r="V49" s="20">
        <f t="shared" ca="1" si="15"/>
        <v>1.3491165055645986</v>
      </c>
      <c r="W49" s="20">
        <f t="shared" ca="1" si="15"/>
        <v>1.3491165055645986</v>
      </c>
      <c r="X49" s="20">
        <f t="shared" ca="1" si="15"/>
        <v>1.3491165055645986</v>
      </c>
      <c r="Y49" s="20">
        <f t="shared" ca="1" si="15"/>
        <v>1.3491165055645986</v>
      </c>
      <c r="Z49" s="20">
        <f t="shared" ca="1" si="15"/>
        <v>1.3491165055645986</v>
      </c>
      <c r="AA49" s="20">
        <f t="shared" ca="1" si="15"/>
        <v>1.3491165055645986</v>
      </c>
    </row>
    <row r="50" spans="1:27">
      <c r="B50" s="18" t="s">
        <v>104</v>
      </c>
      <c r="H50" s="21">
        <f>H25</f>
        <v>8786571.5459780581</v>
      </c>
      <c r="I50" s="21">
        <f t="shared" ref="I50:AA50" si="16">I25</f>
        <v>8992441.3684571236</v>
      </c>
      <c r="J50" s="21">
        <f t="shared" si="16"/>
        <v>11031224.254767505</v>
      </c>
      <c r="K50" s="21">
        <f t="shared" si="16"/>
        <v>13362714.298554199</v>
      </c>
      <c r="L50" s="21">
        <f t="shared" si="16"/>
        <v>15998366.789247591</v>
      </c>
      <c r="M50" s="21">
        <f t="shared" si="16"/>
        <v>21145028.701602191</v>
      </c>
      <c r="N50" s="21">
        <f t="shared" si="16"/>
        <v>26384927.914876852</v>
      </c>
      <c r="O50" s="21">
        <f t="shared" si="16"/>
        <v>31528497.16844935</v>
      </c>
      <c r="P50" s="21">
        <f t="shared" si="16"/>
        <v>36421811.595700979</v>
      </c>
      <c r="Q50" s="21">
        <f t="shared" si="16"/>
        <v>39323597.700970754</v>
      </c>
      <c r="R50" s="21">
        <f t="shared" si="16"/>
        <v>42126619.462161012</v>
      </c>
      <c r="S50" s="21">
        <f t="shared" si="16"/>
        <v>44885415.714879788</v>
      </c>
      <c r="T50" s="21">
        <f t="shared" si="16"/>
        <v>47642466.911198452</v>
      </c>
      <c r="U50" s="21">
        <f t="shared" si="16"/>
        <v>50431283.791653067</v>
      </c>
      <c r="V50" s="21">
        <f t="shared" si="16"/>
        <v>53278727.860737689</v>
      </c>
      <c r="W50" s="21">
        <f t="shared" si="16"/>
        <v>53278727.860737689</v>
      </c>
      <c r="X50" s="21">
        <f t="shared" si="16"/>
        <v>53278727.860737689</v>
      </c>
      <c r="Y50" s="21">
        <f t="shared" si="16"/>
        <v>53278727.860737689</v>
      </c>
      <c r="Z50" s="21">
        <f t="shared" si="16"/>
        <v>53278727.860737689</v>
      </c>
      <c r="AA50" s="21">
        <f t="shared" si="16"/>
        <v>53278727.860737689</v>
      </c>
    </row>
    <row r="51" spans="1:27" ht="15" thickBot="1">
      <c r="B51" s="35" t="s">
        <v>390</v>
      </c>
      <c r="C51" s="35"/>
      <c r="D51" s="35"/>
      <c r="E51" s="35"/>
      <c r="F51" s="35"/>
      <c r="G51" s="35"/>
      <c r="H51" s="49">
        <f ca="1">H49*H50</f>
        <v>11854108.700003251</v>
      </c>
      <c r="I51" s="49">
        <f t="shared" ref="I51:AA51" ca="1" si="17">I49*I50</f>
        <v>12131851.075507412</v>
      </c>
      <c r="J51" s="49">
        <f t="shared" ca="1" si="17"/>
        <v>14882406.718691381</v>
      </c>
      <c r="K51" s="49">
        <f t="shared" ca="1" si="17"/>
        <v>18027858.419323537</v>
      </c>
      <c r="L51" s="49">
        <f t="shared" ca="1" si="17"/>
        <v>21583660.697450437</v>
      </c>
      <c r="M51" s="49">
        <f t="shared" ca="1" si="17"/>
        <v>28527107.23196869</v>
      </c>
      <c r="N51" s="49">
        <f t="shared" ca="1" si="17"/>
        <v>35596341.748092487</v>
      </c>
      <c r="O51" s="49">
        <f t="shared" ca="1" si="17"/>
        <v>42535615.925601728</v>
      </c>
      <c r="P51" s="49">
        <f t="shared" ca="1" si="17"/>
        <v>49137267.186324283</v>
      </c>
      <c r="Q51" s="49">
        <f t="shared" ca="1" si="17"/>
        <v>53052114.71656175</v>
      </c>
      <c r="R51" s="49">
        <f t="shared" ca="1" si="17"/>
        <v>56833717.640040278</v>
      </c>
      <c r="S51" s="49">
        <f t="shared" ca="1" si="17"/>
        <v>60555655.200072937</v>
      </c>
      <c r="T51" s="49">
        <f t="shared" ca="1" si="17"/>
        <v>64275238.475713074</v>
      </c>
      <c r="U51" s="49">
        <f t="shared" ca="1" si="17"/>
        <v>68037677.360131562</v>
      </c>
      <c r="V51" s="49">
        <f t="shared" ca="1" si="17"/>
        <v>71879211.152405649</v>
      </c>
      <c r="W51" s="49">
        <f t="shared" ca="1" si="17"/>
        <v>71879211.152405649</v>
      </c>
      <c r="X51" s="49">
        <f t="shared" ca="1" si="17"/>
        <v>71879211.152405649</v>
      </c>
      <c r="Y51" s="49">
        <f t="shared" ca="1" si="17"/>
        <v>71879211.152405649</v>
      </c>
      <c r="Z51" s="49">
        <f t="shared" ca="1" si="17"/>
        <v>71879211.152405649</v>
      </c>
      <c r="AA51" s="49">
        <f t="shared" ca="1" si="17"/>
        <v>71879211.152405649</v>
      </c>
    </row>
    <row r="53" spans="1:27">
      <c r="B53" s="18" t="s">
        <v>391</v>
      </c>
      <c r="E53" s="20">
        <f>E20</f>
        <v>-1.6</v>
      </c>
      <c r="H53" s="20">
        <f>$E$53</f>
        <v>-1.6</v>
      </c>
      <c r="I53" s="20">
        <f t="shared" ref="I53:AA53" si="18">$E$53</f>
        <v>-1.6</v>
      </c>
      <c r="J53" s="20">
        <f t="shared" si="18"/>
        <v>-1.6</v>
      </c>
      <c r="K53" s="20">
        <f t="shared" si="18"/>
        <v>-1.6</v>
      </c>
      <c r="L53" s="20">
        <f t="shared" si="18"/>
        <v>-1.6</v>
      </c>
      <c r="M53" s="20">
        <f t="shared" si="18"/>
        <v>-1.6</v>
      </c>
      <c r="N53" s="20">
        <f t="shared" si="18"/>
        <v>-1.6</v>
      </c>
      <c r="O53" s="20">
        <f t="shared" si="18"/>
        <v>-1.6</v>
      </c>
      <c r="P53" s="20">
        <f t="shared" si="18"/>
        <v>-1.6</v>
      </c>
      <c r="Q53" s="20">
        <f t="shared" si="18"/>
        <v>-1.6</v>
      </c>
      <c r="R53" s="20">
        <f t="shared" si="18"/>
        <v>-1.6</v>
      </c>
      <c r="S53" s="20">
        <f t="shared" si="18"/>
        <v>-1.6</v>
      </c>
      <c r="T53" s="20">
        <f t="shared" si="18"/>
        <v>-1.6</v>
      </c>
      <c r="U53" s="20">
        <f t="shared" si="18"/>
        <v>-1.6</v>
      </c>
      <c r="V53" s="20">
        <f t="shared" si="18"/>
        <v>-1.6</v>
      </c>
      <c r="W53" s="20">
        <f t="shared" si="18"/>
        <v>-1.6</v>
      </c>
      <c r="X53" s="20">
        <f t="shared" si="18"/>
        <v>-1.6</v>
      </c>
      <c r="Y53" s="20">
        <f t="shared" si="18"/>
        <v>-1.6</v>
      </c>
      <c r="Z53" s="20">
        <f t="shared" si="18"/>
        <v>-1.6</v>
      </c>
      <c r="AA53" s="20">
        <f t="shared" si="18"/>
        <v>-1.6</v>
      </c>
    </row>
    <row r="54" spans="1:27" ht="15" thickBot="1">
      <c r="B54" s="35" t="s">
        <v>392</v>
      </c>
      <c r="C54" s="35"/>
      <c r="D54" s="35"/>
      <c r="E54" s="67">
        <f>E21</f>
        <v>3.8461538461538464E-2</v>
      </c>
      <c r="F54" s="35"/>
      <c r="G54" s="35"/>
      <c r="H54" s="48">
        <f>H53*H45*$E$54</f>
        <v>-1020898.5508255828</v>
      </c>
      <c r="I54" s="48">
        <f t="shared" ref="I54:AA54" si="19">I53*I45*$E$54</f>
        <v>-1157487.2003509665</v>
      </c>
      <c r="J54" s="48">
        <f t="shared" si="19"/>
        <v>-1425870.4509890699</v>
      </c>
      <c r="K54" s="48">
        <f t="shared" si="19"/>
        <v>-1732274.2223025914</v>
      </c>
      <c r="L54" s="48">
        <f t="shared" si="19"/>
        <v>-2206555.7626430239</v>
      </c>
      <c r="M54" s="48">
        <f t="shared" si="19"/>
        <v>-2842121.6074244836</v>
      </c>
      <c r="N54" s="48">
        <f t="shared" si="19"/>
        <v>-3483837.5014444413</v>
      </c>
      <c r="O54" s="48">
        <f t="shared" si="19"/>
        <v>-4110250.0670451182</v>
      </c>
      <c r="P54" s="48">
        <f t="shared" si="19"/>
        <v>-4643530.0349225728</v>
      </c>
      <c r="Q54" s="48">
        <f t="shared" si="19"/>
        <v>-5019077.6042698668</v>
      </c>
      <c r="R54" s="48">
        <f t="shared" si="19"/>
        <v>-5386184.7561219167</v>
      </c>
      <c r="S54" s="48">
        <f t="shared" si="19"/>
        <v>-5750780.0678937333</v>
      </c>
      <c r="T54" s="48">
        <f t="shared" si="19"/>
        <v>-6117526.5262137009</v>
      </c>
      <c r="U54" s="48">
        <f t="shared" si="19"/>
        <v>-6490147.3049227539</v>
      </c>
      <c r="V54" s="48">
        <f t="shared" si="19"/>
        <v>-6871670.6493252385</v>
      </c>
      <c r="W54" s="48">
        <f t="shared" si="19"/>
        <v>-6871670.6493252385</v>
      </c>
      <c r="X54" s="48">
        <f t="shared" si="19"/>
        <v>-6871670.6493252385</v>
      </c>
      <c r="Y54" s="48">
        <f t="shared" si="19"/>
        <v>-6871670.6493252385</v>
      </c>
      <c r="Z54" s="48">
        <f t="shared" si="19"/>
        <v>-6871670.6493252385</v>
      </c>
      <c r="AA54" s="48">
        <f t="shared" si="19"/>
        <v>-6871670.6493252385</v>
      </c>
    </row>
    <row r="56" spans="1:27">
      <c r="B56" s="18" t="s">
        <v>8</v>
      </c>
      <c r="H56" s="19" t="b">
        <f>IF(H5,H46)</f>
        <v>0</v>
      </c>
      <c r="I56" s="19" t="b">
        <f t="shared" ref="I56:AA56" si="20">IF(I5,I46)</f>
        <v>0</v>
      </c>
      <c r="J56" s="19" t="b">
        <f t="shared" si="20"/>
        <v>0</v>
      </c>
      <c r="K56" s="19" t="b">
        <f t="shared" si="20"/>
        <v>0</v>
      </c>
      <c r="L56" s="19" t="b">
        <f t="shared" si="20"/>
        <v>0</v>
      </c>
      <c r="M56" s="19" t="b">
        <f t="shared" si="20"/>
        <v>0</v>
      </c>
      <c r="N56" s="19" t="b">
        <f t="shared" si="20"/>
        <v>0</v>
      </c>
      <c r="O56" s="19" t="b">
        <f t="shared" si="20"/>
        <v>0</v>
      </c>
      <c r="P56" s="19" t="b">
        <f t="shared" si="20"/>
        <v>0</v>
      </c>
      <c r="Q56" s="19" t="b">
        <f t="shared" si="20"/>
        <v>0</v>
      </c>
      <c r="R56" s="19" t="b">
        <f t="shared" si="20"/>
        <v>0</v>
      </c>
      <c r="S56" s="19" t="b">
        <f t="shared" si="20"/>
        <v>0</v>
      </c>
      <c r="T56" s="19">
        <f t="shared" si="20"/>
        <v>103148209.68319032</v>
      </c>
      <c r="U56" s="19" t="b">
        <f t="shared" si="20"/>
        <v>0</v>
      </c>
      <c r="V56" s="19" t="b">
        <f t="shared" si="20"/>
        <v>0</v>
      </c>
      <c r="W56" s="19" t="b">
        <f t="shared" si="20"/>
        <v>0</v>
      </c>
      <c r="X56" s="19" t="b">
        <f t="shared" si="20"/>
        <v>0</v>
      </c>
      <c r="Y56" s="19" t="b">
        <f t="shared" si="20"/>
        <v>0</v>
      </c>
      <c r="Z56" s="19" t="b">
        <f t="shared" si="20"/>
        <v>0</v>
      </c>
      <c r="AA56" s="19" t="b">
        <f t="shared" si="20"/>
        <v>0</v>
      </c>
    </row>
    <row r="57" spans="1:27">
      <c r="B57" s="18" t="s">
        <v>97</v>
      </c>
      <c r="H57" s="19" t="b">
        <f>IF(H5,H54)</f>
        <v>0</v>
      </c>
      <c r="I57" s="19" t="b">
        <f t="shared" ref="I57:AA57" si="21">IF(I5,I54)</f>
        <v>0</v>
      </c>
      <c r="J57" s="19" t="b">
        <f t="shared" si="21"/>
        <v>0</v>
      </c>
      <c r="K57" s="19" t="b">
        <f t="shared" si="21"/>
        <v>0</v>
      </c>
      <c r="L57" s="19" t="b">
        <f t="shared" si="21"/>
        <v>0</v>
      </c>
      <c r="M57" s="19" t="b">
        <f t="shared" si="21"/>
        <v>0</v>
      </c>
      <c r="N57" s="19" t="b">
        <f t="shared" si="21"/>
        <v>0</v>
      </c>
      <c r="O57" s="19" t="b">
        <f t="shared" si="21"/>
        <v>0</v>
      </c>
      <c r="P57" s="19" t="b">
        <f t="shared" si="21"/>
        <v>0</v>
      </c>
      <c r="Q57" s="19" t="b">
        <f t="shared" si="21"/>
        <v>0</v>
      </c>
      <c r="R57" s="19" t="b">
        <f t="shared" si="21"/>
        <v>0</v>
      </c>
      <c r="S57" s="19" t="b">
        <f t="shared" si="21"/>
        <v>0</v>
      </c>
      <c r="T57" s="19">
        <f t="shared" si="21"/>
        <v>-6117526.5262137009</v>
      </c>
      <c r="U57" s="19" t="b">
        <f t="shared" si="21"/>
        <v>0</v>
      </c>
      <c r="V57" s="19" t="b">
        <f t="shared" si="21"/>
        <v>0</v>
      </c>
      <c r="W57" s="19" t="b">
        <f t="shared" si="21"/>
        <v>0</v>
      </c>
      <c r="X57" s="19" t="b">
        <f t="shared" si="21"/>
        <v>0</v>
      </c>
      <c r="Y57" s="19" t="b">
        <f t="shared" si="21"/>
        <v>0</v>
      </c>
      <c r="Z57" s="19" t="b">
        <f t="shared" si="21"/>
        <v>0</v>
      </c>
      <c r="AA57" s="19" t="b">
        <f t="shared" si="21"/>
        <v>0</v>
      </c>
    </row>
    <row r="58" spans="1:27">
      <c r="B58" s="18" t="s">
        <v>95</v>
      </c>
      <c r="H58" s="19" t="b">
        <f>IF(H5,H51)</f>
        <v>0</v>
      </c>
      <c r="I58" s="19" t="b">
        <f t="shared" ref="I58:AA58" si="22">IF(I5,I51)</f>
        <v>0</v>
      </c>
      <c r="J58" s="19" t="b">
        <f t="shared" si="22"/>
        <v>0</v>
      </c>
      <c r="K58" s="19" t="b">
        <f t="shared" si="22"/>
        <v>0</v>
      </c>
      <c r="L58" s="19" t="b">
        <f t="shared" si="22"/>
        <v>0</v>
      </c>
      <c r="M58" s="19" t="b">
        <f t="shared" si="22"/>
        <v>0</v>
      </c>
      <c r="N58" s="19" t="b">
        <f t="shared" si="22"/>
        <v>0</v>
      </c>
      <c r="O58" s="19" t="b">
        <f t="shared" si="22"/>
        <v>0</v>
      </c>
      <c r="P58" s="19" t="b">
        <f t="shared" si="22"/>
        <v>0</v>
      </c>
      <c r="Q58" s="19" t="b">
        <f t="shared" si="22"/>
        <v>0</v>
      </c>
      <c r="R58" s="19" t="b">
        <f t="shared" si="22"/>
        <v>0</v>
      </c>
      <c r="S58" s="19" t="b">
        <f t="shared" si="22"/>
        <v>0</v>
      </c>
      <c r="T58" s="19">
        <f t="shared" ca="1" si="22"/>
        <v>64275238.475713074</v>
      </c>
      <c r="U58" s="19" t="b">
        <f t="shared" si="22"/>
        <v>0</v>
      </c>
      <c r="V58" s="19" t="b">
        <f t="shared" si="22"/>
        <v>0</v>
      </c>
      <c r="W58" s="19" t="b">
        <f t="shared" si="22"/>
        <v>0</v>
      </c>
      <c r="X58" s="19" t="b">
        <f t="shared" si="22"/>
        <v>0</v>
      </c>
      <c r="Y58" s="19" t="b">
        <f t="shared" si="22"/>
        <v>0</v>
      </c>
      <c r="Z58" s="19" t="b">
        <f t="shared" si="22"/>
        <v>0</v>
      </c>
      <c r="AA58" s="19" t="b">
        <f t="shared" si="22"/>
        <v>0</v>
      </c>
    </row>
    <row r="59" spans="1:27">
      <c r="B59" s="18" t="s">
        <v>96</v>
      </c>
      <c r="H59" s="19" t="b">
        <f>IF(H5,H47)</f>
        <v>0</v>
      </c>
      <c r="I59" s="19" t="b">
        <f t="shared" ref="I59:AA59" si="23">IF(I5,I47)</f>
        <v>0</v>
      </c>
      <c r="J59" s="19" t="b">
        <f t="shared" si="23"/>
        <v>0</v>
      </c>
      <c r="K59" s="19" t="b">
        <f t="shared" si="23"/>
        <v>0</v>
      </c>
      <c r="L59" s="19" t="b">
        <f t="shared" si="23"/>
        <v>0</v>
      </c>
      <c r="M59" s="19" t="b">
        <f t="shared" si="23"/>
        <v>0</v>
      </c>
      <c r="N59" s="19" t="b">
        <f t="shared" si="23"/>
        <v>0</v>
      </c>
      <c r="O59" s="19" t="b">
        <f t="shared" si="23"/>
        <v>0</v>
      </c>
      <c r="P59" s="19" t="b">
        <f t="shared" si="23"/>
        <v>0</v>
      </c>
      <c r="Q59" s="19" t="b">
        <f t="shared" si="23"/>
        <v>0</v>
      </c>
      <c r="R59" s="19" t="b">
        <f t="shared" si="23"/>
        <v>0</v>
      </c>
      <c r="S59" s="19" t="b">
        <f t="shared" si="23"/>
        <v>0</v>
      </c>
      <c r="T59" s="19">
        <f t="shared" si="23"/>
        <v>19020373.836042423</v>
      </c>
      <c r="U59" s="19" t="b">
        <f t="shared" si="23"/>
        <v>0</v>
      </c>
      <c r="V59" s="19" t="b">
        <f t="shared" si="23"/>
        <v>0</v>
      </c>
      <c r="W59" s="19" t="b">
        <f t="shared" si="23"/>
        <v>0</v>
      </c>
      <c r="X59" s="19" t="b">
        <f t="shared" si="23"/>
        <v>0</v>
      </c>
      <c r="Y59" s="19" t="b">
        <f t="shared" si="23"/>
        <v>0</v>
      </c>
      <c r="Z59" s="19" t="b">
        <f t="shared" si="23"/>
        <v>0</v>
      </c>
      <c r="AA59" s="19" t="b">
        <f t="shared" si="23"/>
        <v>0</v>
      </c>
    </row>
    <row r="60" spans="1:27" ht="15" thickBot="1">
      <c r="C60" s="35" t="s">
        <v>393</v>
      </c>
      <c r="D60" s="35"/>
      <c r="E60" s="35"/>
      <c r="F60" s="35"/>
      <c r="G60" s="35"/>
      <c r="H60" s="49">
        <f>H56-H57-H58-H59</f>
        <v>0</v>
      </c>
      <c r="I60" s="49">
        <f t="shared" ref="I60:AA60" si="24">I56-I57-I58-I59</f>
        <v>0</v>
      </c>
      <c r="J60" s="49">
        <f t="shared" si="24"/>
        <v>0</v>
      </c>
      <c r="K60" s="49">
        <f t="shared" si="24"/>
        <v>0</v>
      </c>
      <c r="L60" s="49">
        <f t="shared" si="24"/>
        <v>0</v>
      </c>
      <c r="M60" s="49">
        <f t="shared" si="24"/>
        <v>0</v>
      </c>
      <c r="N60" s="49">
        <f t="shared" si="24"/>
        <v>0</v>
      </c>
      <c r="O60" s="49">
        <f t="shared" si="24"/>
        <v>0</v>
      </c>
      <c r="P60" s="49">
        <f t="shared" si="24"/>
        <v>0</v>
      </c>
      <c r="Q60" s="49">
        <f t="shared" si="24"/>
        <v>0</v>
      </c>
      <c r="R60" s="49">
        <f t="shared" si="24"/>
        <v>0</v>
      </c>
      <c r="S60" s="49">
        <f t="shared" si="24"/>
        <v>0</v>
      </c>
      <c r="T60" s="49">
        <f t="shared" ca="1" si="24"/>
        <v>25970123.897648524</v>
      </c>
      <c r="U60" s="49">
        <f t="shared" si="24"/>
        <v>0</v>
      </c>
      <c r="V60" s="49">
        <f t="shared" si="24"/>
        <v>0</v>
      </c>
      <c r="W60" s="49">
        <f t="shared" si="24"/>
        <v>0</v>
      </c>
      <c r="X60" s="49">
        <f t="shared" si="24"/>
        <v>0</v>
      </c>
      <c r="Y60" s="49">
        <f t="shared" si="24"/>
        <v>0</v>
      </c>
      <c r="Z60" s="49">
        <f t="shared" si="24"/>
        <v>0</v>
      </c>
      <c r="AA60" s="49">
        <f t="shared" si="24"/>
        <v>0</v>
      </c>
    </row>
    <row r="62" spans="1:27" s="31" customFormat="1">
      <c r="A62" s="31" t="s">
        <v>707</v>
      </c>
    </row>
    <row r="63" spans="1:27">
      <c r="B63" s="18" t="s">
        <v>395</v>
      </c>
      <c r="E63" s="20">
        <f>E13</f>
        <v>0.04</v>
      </c>
      <c r="F63" s="20">
        <f>E12</f>
        <v>0.09</v>
      </c>
      <c r="H63" s="34">
        <f>(1+$E$63)/($F$63-$E$63)</f>
        <v>20.8</v>
      </c>
      <c r="I63" s="34">
        <f t="shared" ref="I63:AA63" si="25">(1+$E$63)/($F$63-$E$63)</f>
        <v>20.8</v>
      </c>
      <c r="J63" s="34">
        <f t="shared" si="25"/>
        <v>20.8</v>
      </c>
      <c r="K63" s="34">
        <f t="shared" si="25"/>
        <v>20.8</v>
      </c>
      <c r="L63" s="34">
        <f t="shared" si="25"/>
        <v>20.8</v>
      </c>
      <c r="M63" s="34">
        <f t="shared" si="25"/>
        <v>20.8</v>
      </c>
      <c r="N63" s="34">
        <f t="shared" si="25"/>
        <v>20.8</v>
      </c>
      <c r="O63" s="34">
        <f t="shared" si="25"/>
        <v>20.8</v>
      </c>
      <c r="P63" s="34">
        <f t="shared" si="25"/>
        <v>20.8</v>
      </c>
      <c r="Q63" s="34">
        <f t="shared" si="25"/>
        <v>20.8</v>
      </c>
      <c r="R63" s="34">
        <f t="shared" si="25"/>
        <v>20.8</v>
      </c>
      <c r="S63" s="34">
        <f t="shared" si="25"/>
        <v>20.8</v>
      </c>
      <c r="T63" s="34">
        <f t="shared" si="25"/>
        <v>20.8</v>
      </c>
      <c r="U63" s="34">
        <f t="shared" si="25"/>
        <v>20.8</v>
      </c>
      <c r="V63" s="34">
        <f t="shared" si="25"/>
        <v>20.8</v>
      </c>
      <c r="W63" s="34">
        <f t="shared" si="25"/>
        <v>20.8</v>
      </c>
      <c r="X63" s="34">
        <f t="shared" si="25"/>
        <v>20.8</v>
      </c>
      <c r="Y63" s="34">
        <f t="shared" si="25"/>
        <v>20.8</v>
      </c>
      <c r="Z63" s="34">
        <f t="shared" si="25"/>
        <v>20.8</v>
      </c>
      <c r="AA63" s="34">
        <f t="shared" si="25"/>
        <v>20.8</v>
      </c>
    </row>
    <row r="64" spans="1:27">
      <c r="B64" s="18" t="s">
        <v>394</v>
      </c>
      <c r="H64" s="52">
        <f>H60*H63</f>
        <v>0</v>
      </c>
      <c r="I64" s="52">
        <f t="shared" ref="I64:AA64" si="26">I60*I63</f>
        <v>0</v>
      </c>
      <c r="J64" s="52">
        <f t="shared" si="26"/>
        <v>0</v>
      </c>
      <c r="K64" s="52">
        <f t="shared" si="26"/>
        <v>0</v>
      </c>
      <c r="L64" s="52">
        <f t="shared" si="26"/>
        <v>0</v>
      </c>
      <c r="M64" s="52">
        <f t="shared" si="26"/>
        <v>0</v>
      </c>
      <c r="N64" s="52">
        <f t="shared" si="26"/>
        <v>0</v>
      </c>
      <c r="O64" s="52">
        <f t="shared" si="26"/>
        <v>0</v>
      </c>
      <c r="P64" s="52">
        <f t="shared" si="26"/>
        <v>0</v>
      </c>
      <c r="Q64" s="52">
        <f t="shared" si="26"/>
        <v>0</v>
      </c>
      <c r="R64" s="52">
        <f t="shared" si="26"/>
        <v>0</v>
      </c>
      <c r="S64" s="52">
        <f t="shared" si="26"/>
        <v>0</v>
      </c>
      <c r="T64" s="52">
        <f t="shared" ca="1" si="26"/>
        <v>540178577.07108939</v>
      </c>
      <c r="U64" s="52">
        <f t="shared" si="26"/>
        <v>0</v>
      </c>
      <c r="V64" s="52">
        <f t="shared" si="26"/>
        <v>0</v>
      </c>
      <c r="W64" s="52">
        <f t="shared" si="26"/>
        <v>0</v>
      </c>
      <c r="X64" s="52">
        <f t="shared" si="26"/>
        <v>0</v>
      </c>
      <c r="Y64" s="52">
        <f t="shared" si="26"/>
        <v>0</v>
      </c>
      <c r="Z64" s="52">
        <f t="shared" si="26"/>
        <v>0</v>
      </c>
      <c r="AA64" s="52">
        <f t="shared" si="26"/>
        <v>0</v>
      </c>
    </row>
    <row r="65" spans="2:27">
      <c r="B65" s="18" t="s">
        <v>396</v>
      </c>
      <c r="E65" s="19">
        <f ca="1">NPV(F65,H64:AA64)*(1+E63)^0.5</f>
        <v>179684060.38665542</v>
      </c>
      <c r="F65" s="20">
        <f>F63</f>
        <v>0.09</v>
      </c>
    </row>
    <row r="66" spans="2:27">
      <c r="B66" s="18" t="s">
        <v>397</v>
      </c>
      <c r="E66" s="19">
        <f>E38</f>
        <v>72059800.620799184</v>
      </c>
      <c r="F66" s="20"/>
    </row>
    <row r="67" spans="2:27">
      <c r="B67" s="18" t="s">
        <v>398</v>
      </c>
      <c r="E67" s="19">
        <f ca="1">E65+E66</f>
        <v>251743861.0074546</v>
      </c>
      <c r="F67" s="20"/>
    </row>
    <row r="68" spans="2:27">
      <c r="E68" s="34"/>
      <c r="F68" s="20"/>
    </row>
    <row r="69" spans="2:27">
      <c r="B69" s="18" t="s">
        <v>399</v>
      </c>
      <c r="E69" s="19">
        <f>LOOKUP(E9-1,'Amazon Model'!$4:$4,'Amazon Model'!324:324)</f>
        <v>3376993.3299233392</v>
      </c>
      <c r="F69" s="20"/>
    </row>
    <row r="70" spans="2:27">
      <c r="B70" s="18" t="s">
        <v>400</v>
      </c>
      <c r="E70" s="19">
        <f ca="1">E67-E69</f>
        <v>248366867.67753127</v>
      </c>
      <c r="F70" s="20"/>
    </row>
    <row r="71" spans="2:27">
      <c r="B71" s="18" t="s">
        <v>1</v>
      </c>
      <c r="E71" s="19">
        <f>LOOKUP(E9-1,'Amazon Model'!4:4,'Amazon Model'!259:259)</f>
        <v>474000</v>
      </c>
      <c r="F71" s="20"/>
    </row>
    <row r="72" spans="2:27">
      <c r="B72" s="18" t="s">
        <v>401</v>
      </c>
      <c r="E72" s="34">
        <f ca="1">E70/E71</f>
        <v>523.98073349690139</v>
      </c>
      <c r="F72" s="20"/>
    </row>
    <row r="74" spans="2:27">
      <c r="B74" s="18" t="s">
        <v>402</v>
      </c>
      <c r="E74" s="34">
        <f>E14</f>
        <v>14</v>
      </c>
      <c r="H74" s="19">
        <f>$E$74*H46*H5</f>
        <v>0</v>
      </c>
      <c r="I74" s="19">
        <f t="shared" ref="I74:AA74" si="27">$E$74*I46*I5</f>
        <v>0</v>
      </c>
      <c r="J74" s="19">
        <f t="shared" si="27"/>
        <v>0</v>
      </c>
      <c r="K74" s="19">
        <f t="shared" si="27"/>
        <v>0</v>
      </c>
      <c r="L74" s="19">
        <f t="shared" si="27"/>
        <v>0</v>
      </c>
      <c r="M74" s="19">
        <f t="shared" si="27"/>
        <v>0</v>
      </c>
      <c r="N74" s="19">
        <f t="shared" si="27"/>
        <v>0</v>
      </c>
      <c r="O74" s="19">
        <f t="shared" si="27"/>
        <v>0</v>
      </c>
      <c r="P74" s="19">
        <f t="shared" si="27"/>
        <v>0</v>
      </c>
      <c r="Q74" s="19">
        <f t="shared" si="27"/>
        <v>0</v>
      </c>
      <c r="R74" s="19">
        <f t="shared" si="27"/>
        <v>0</v>
      </c>
      <c r="S74" s="19">
        <f t="shared" si="27"/>
        <v>0</v>
      </c>
      <c r="T74" s="19">
        <f t="shared" si="27"/>
        <v>1444074935.5646644</v>
      </c>
      <c r="U74" s="19">
        <f t="shared" si="27"/>
        <v>0</v>
      </c>
      <c r="V74" s="19">
        <f t="shared" si="27"/>
        <v>0</v>
      </c>
      <c r="W74" s="19">
        <f t="shared" si="27"/>
        <v>0</v>
      </c>
      <c r="X74" s="19">
        <f t="shared" si="27"/>
        <v>0</v>
      </c>
      <c r="Y74" s="19">
        <f t="shared" si="27"/>
        <v>0</v>
      </c>
      <c r="Z74" s="19">
        <f t="shared" si="27"/>
        <v>0</v>
      </c>
      <c r="AA74" s="19">
        <f t="shared" si="27"/>
        <v>0</v>
      </c>
    </row>
    <row r="75" spans="2:27">
      <c r="B75" s="18" t="s">
        <v>396</v>
      </c>
      <c r="E75" s="19">
        <f>NPV(F75,H74:AA74)*(1+F75)^0.5</f>
        <v>491766007.83407539</v>
      </c>
      <c r="F75" s="20">
        <f>F65</f>
        <v>0.09</v>
      </c>
    </row>
    <row r="76" spans="2:27">
      <c r="B76" s="18" t="s">
        <v>397</v>
      </c>
      <c r="E76" s="21">
        <f>E66</f>
        <v>72059800.620799184</v>
      </c>
    </row>
    <row r="77" spans="2:27">
      <c r="B77" s="18" t="s">
        <v>398</v>
      </c>
      <c r="E77" s="21">
        <f>E75+E76</f>
        <v>563825808.45487452</v>
      </c>
    </row>
    <row r="79" spans="2:27">
      <c r="B79" s="18" t="s">
        <v>399</v>
      </c>
      <c r="E79" s="21">
        <f>E69</f>
        <v>3376993.3299233392</v>
      </c>
    </row>
    <row r="80" spans="2:27">
      <c r="B80" s="18" t="s">
        <v>400</v>
      </c>
      <c r="E80" s="21">
        <f>E77-E79</f>
        <v>560448815.12495112</v>
      </c>
    </row>
    <row r="81" spans="2:27 16384:16384">
      <c r="B81" s="18" t="s">
        <v>1</v>
      </c>
      <c r="E81" s="21">
        <f>E71</f>
        <v>474000</v>
      </c>
    </row>
    <row r="82" spans="2:27 16384:16384">
      <c r="B82" s="26" t="s">
        <v>401</v>
      </c>
      <c r="C82" s="27"/>
      <c r="D82" s="27"/>
      <c r="E82" s="81">
        <f>E80/E81</f>
        <v>1182.3814665083357</v>
      </c>
    </row>
    <row r="84" spans="2:27 16384:16384">
      <c r="B84" s="18" t="s">
        <v>403</v>
      </c>
    </row>
    <row r="85" spans="2:27 16384:16384">
      <c r="B85" s="18" t="s">
        <v>86</v>
      </c>
      <c r="H85" s="21">
        <f>H41</f>
        <v>32906919.537438378</v>
      </c>
      <c r="I85" s="21">
        <f t="shared" ref="I85:AA85" si="28">I41</f>
        <v>41399072.488694489</v>
      </c>
      <c r="J85" s="21">
        <f t="shared" si="28"/>
        <v>51193281.864864036</v>
      </c>
      <c r="K85" s="21">
        <f t="shared" si="28"/>
        <v>62358613.130747654</v>
      </c>
      <c r="L85" s="21">
        <f t="shared" si="28"/>
        <v>83745804.451547101</v>
      </c>
      <c r="M85" s="21">
        <f t="shared" si="28"/>
        <v>105596299.32458109</v>
      </c>
      <c r="N85" s="21">
        <f t="shared" si="28"/>
        <v>127475053.63585418</v>
      </c>
      <c r="O85" s="21">
        <f t="shared" si="28"/>
        <v>148711321.56318131</v>
      </c>
      <c r="P85" s="21">
        <f t="shared" si="28"/>
        <v>164620636.73098493</v>
      </c>
      <c r="Q85" s="21">
        <f t="shared" si="28"/>
        <v>178119304.06481099</v>
      </c>
      <c r="R85" s="21">
        <f t="shared" si="28"/>
        <v>191456062.88918662</v>
      </c>
      <c r="S85" s="21">
        <f t="shared" si="28"/>
        <v>204807194.37517035</v>
      </c>
      <c r="T85" s="21">
        <f t="shared" si="28"/>
        <v>218313102.02487853</v>
      </c>
      <c r="U85" s="21">
        <f t="shared" si="28"/>
        <v>232087611.52217746</v>
      </c>
      <c r="V85" s="21">
        <f t="shared" si="28"/>
        <v>246224966.6148394</v>
      </c>
      <c r="W85" s="21">
        <f t="shared" si="28"/>
        <v>246224966.6148394</v>
      </c>
      <c r="X85" s="21">
        <f t="shared" si="28"/>
        <v>246224966.6148394</v>
      </c>
      <c r="Y85" s="21">
        <f t="shared" si="28"/>
        <v>246224966.6148394</v>
      </c>
      <c r="Z85" s="21">
        <f t="shared" si="28"/>
        <v>246224966.6148394</v>
      </c>
      <c r="AA85" s="21">
        <f t="shared" si="28"/>
        <v>246224966.6148394</v>
      </c>
    </row>
    <row r="86" spans="2:27 16384:16384">
      <c r="B86" s="18" t="s">
        <v>404</v>
      </c>
      <c r="H86" s="20">
        <f>LOOKUP(H3,'Amazon Model'!4:4,'Amazon Model'!341:341)</f>
        <v>0.31180846933879414</v>
      </c>
      <c r="I86" s="20">
        <f>LOOKUP(I3,'Amazon Model'!4:4,'Amazon Model'!341:341)</f>
        <v>0.40028834769998911</v>
      </c>
      <c r="J86" s="20">
        <f>LOOKUP(J3,'Amazon Model'!4:4,'Amazon Model'!341:341)</f>
        <v>0.42578347872859812</v>
      </c>
      <c r="K86" s="20">
        <f>LOOKUP(K3,'Amazon Model'!4:4,'Amazon Model'!341:341)</f>
        <v>0.44964930985861501</v>
      </c>
      <c r="L86" s="20">
        <f>LOOKUP(L3,'Amazon Model'!4:4,'Amazon Model'!341:341)</f>
        <v>0.44352110523877764</v>
      </c>
      <c r="M86" s="20">
        <f>LOOKUP(M3,'Amazon Model'!4:4,'Amazon Model'!341:341)</f>
        <v>0.36456042537164501</v>
      </c>
      <c r="N86" s="20">
        <f>LOOKUP(N3,'Amazon Model'!4:4,'Amazon Model'!341:341)</f>
        <v>0.30563258069387739</v>
      </c>
      <c r="O86" s="20">
        <f>LOOKUP(O3,'Amazon Model'!4:4,'Amazon Model'!341:341)</f>
        <v>0.25955707158139241</v>
      </c>
      <c r="P86" s="20">
        <f>LOOKUP(P3,'Amazon Model'!4:4,'Amazon Model'!341:341)</f>
        <v>0.3091831171305931</v>
      </c>
      <c r="Q86" s="20">
        <f>LOOKUP(Q3,'Amazon Model'!4:4,'Amazon Model'!341:341)</f>
        <v>0.29048090472908256</v>
      </c>
      <c r="R86" s="20">
        <f>LOOKUP(R3,'Amazon Model'!4:4,'Amazon Model'!341:341)</f>
        <v>0.27832941245278719</v>
      </c>
      <c r="S86" s="20">
        <f>LOOKUP(S3,'Amazon Model'!4:4,'Amazon Model'!341:341)</f>
        <v>0.26927035742804423</v>
      </c>
      <c r="T86" s="20">
        <f>LOOKUP(T3,'Amazon Model'!4:4,'Amazon Model'!341:341)</f>
        <v>0.26236388679172545</v>
      </c>
      <c r="U86" s="20">
        <f>LOOKUP(U3,'Amazon Model'!4:4,'Amazon Model'!341:341)</f>
        <v>0.25699042934420369</v>
      </c>
      <c r="V86" s="20">
        <f>LOOKUP(V3,'Amazon Model'!4:4,'Amazon Model'!341:341)</f>
        <v>0.25273085458214933</v>
      </c>
      <c r="W86" s="20">
        <f>LOOKUP(W3,'Amazon Model'!4:4,'Amazon Model'!341:341)</f>
        <v>0.25273085458214933</v>
      </c>
      <c r="X86" s="20">
        <f>LOOKUP(X3,'Amazon Model'!4:4,'Amazon Model'!341:341)</f>
        <v>0.25273085458214933</v>
      </c>
      <c r="Y86" s="20">
        <f>LOOKUP(Y3,'Amazon Model'!4:4,'Amazon Model'!341:341)</f>
        <v>0.25273085458214933</v>
      </c>
      <c r="Z86" s="20">
        <f>LOOKUP(Z3,'Amazon Model'!4:4,'Amazon Model'!341:341)</f>
        <v>0.25273085458214933</v>
      </c>
      <c r="AA86" s="20">
        <f>LOOKUP(AA3,'Amazon Model'!4:4,'Amazon Model'!341:341)</f>
        <v>0.25273085458214933</v>
      </c>
    </row>
    <row r="87" spans="2:27 16384:16384">
      <c r="B87" s="18" t="s">
        <v>91</v>
      </c>
      <c r="H87" s="21">
        <f>H43</f>
        <v>4936037.9306157567</v>
      </c>
      <c r="I87" s="21">
        <f t="shared" ref="I87:AA87" si="29">I43</f>
        <v>6209860.8733041734</v>
      </c>
      <c r="J87" s="21">
        <f t="shared" si="29"/>
        <v>7678992.2797296047</v>
      </c>
      <c r="K87" s="21">
        <f t="shared" si="29"/>
        <v>9353791.9696121477</v>
      </c>
      <c r="L87" s="21">
        <f t="shared" si="29"/>
        <v>12561870.667732066</v>
      </c>
      <c r="M87" s="21">
        <f t="shared" si="29"/>
        <v>15839444.898687162</v>
      </c>
      <c r="N87" s="21">
        <f t="shared" si="29"/>
        <v>19121258.045378126</v>
      </c>
      <c r="O87" s="21">
        <f t="shared" si="29"/>
        <v>22306698.234477196</v>
      </c>
      <c r="P87" s="21">
        <f t="shared" si="29"/>
        <v>24693095.509647738</v>
      </c>
      <c r="Q87" s="21">
        <f t="shared" si="29"/>
        <v>26717895.609721649</v>
      </c>
      <c r="R87" s="21">
        <f t="shared" si="29"/>
        <v>28718409.433377992</v>
      </c>
      <c r="S87" s="21">
        <f t="shared" si="29"/>
        <v>30721079.156275552</v>
      </c>
      <c r="T87" s="21">
        <f t="shared" si="29"/>
        <v>32746965.303731777</v>
      </c>
      <c r="U87" s="21">
        <f t="shared" si="29"/>
        <v>34813141.728326619</v>
      </c>
      <c r="V87" s="21">
        <f t="shared" si="29"/>
        <v>36933744.992225908</v>
      </c>
      <c r="W87" s="21">
        <f t="shared" si="29"/>
        <v>36933744.992225908</v>
      </c>
      <c r="X87" s="21">
        <f t="shared" si="29"/>
        <v>36933744.992225908</v>
      </c>
      <c r="Y87" s="21">
        <f t="shared" si="29"/>
        <v>36933744.992225908</v>
      </c>
      <c r="Z87" s="21">
        <f t="shared" si="29"/>
        <v>36933744.992225908</v>
      </c>
      <c r="AA87" s="21">
        <f t="shared" si="29"/>
        <v>36933744.992225908</v>
      </c>
    </row>
    <row r="88" spans="2:27 16384:16384">
      <c r="B88" s="18" t="s">
        <v>781</v>
      </c>
      <c r="E88" s="34">
        <f>(1-E13/E15)/(E12-E13)</f>
        <v>14.66666666666667</v>
      </c>
      <c r="H88" s="52">
        <f>$E$88*H87*H5</f>
        <v>0</v>
      </c>
      <c r="I88" s="52">
        <f t="shared" ref="I88:AA88" si="30">$E$88*I87*I5</f>
        <v>0</v>
      </c>
      <c r="J88" s="52">
        <f t="shared" si="30"/>
        <v>0</v>
      </c>
      <c r="K88" s="52">
        <f t="shared" si="30"/>
        <v>0</v>
      </c>
      <c r="L88" s="52">
        <f t="shared" si="30"/>
        <v>0</v>
      </c>
      <c r="M88" s="52">
        <f t="shared" si="30"/>
        <v>0</v>
      </c>
      <c r="N88" s="52">
        <f t="shared" si="30"/>
        <v>0</v>
      </c>
      <c r="O88" s="52">
        <f t="shared" si="30"/>
        <v>0</v>
      </c>
      <c r="P88" s="52">
        <f t="shared" si="30"/>
        <v>0</v>
      </c>
      <c r="Q88" s="52">
        <f t="shared" si="30"/>
        <v>0</v>
      </c>
      <c r="R88" s="52">
        <f t="shared" si="30"/>
        <v>0</v>
      </c>
      <c r="S88" s="52">
        <f t="shared" si="30"/>
        <v>0</v>
      </c>
      <c r="T88" s="52">
        <f t="shared" si="30"/>
        <v>480288824.45473284</v>
      </c>
      <c r="U88" s="52">
        <f t="shared" si="30"/>
        <v>0</v>
      </c>
      <c r="V88" s="52">
        <f t="shared" si="30"/>
        <v>0</v>
      </c>
      <c r="W88" s="52">
        <f t="shared" si="30"/>
        <v>0</v>
      </c>
      <c r="X88" s="52">
        <f t="shared" si="30"/>
        <v>0</v>
      </c>
      <c r="Y88" s="52">
        <f t="shared" si="30"/>
        <v>0</v>
      </c>
      <c r="Z88" s="52">
        <f t="shared" si="30"/>
        <v>0</v>
      </c>
      <c r="AA88" s="52">
        <f t="shared" si="30"/>
        <v>0</v>
      </c>
      <c r="XFD88" s="20">
        <f>XFC88+1%</f>
        <v>0.01</v>
      </c>
    </row>
    <row r="89" spans="2:27 16384:16384">
      <c r="B89" s="18" t="s">
        <v>396</v>
      </c>
      <c r="E89" s="19">
        <f>NPV(F89,H88:AA88)*(1+F75)^0.5</f>
        <v>163557798.83200437</v>
      </c>
      <c r="F89" s="20">
        <f>F75</f>
        <v>0.09</v>
      </c>
    </row>
    <row r="90" spans="2:27 16384:16384">
      <c r="B90" s="18" t="s">
        <v>397</v>
      </c>
      <c r="E90" s="21">
        <f>E66</f>
        <v>72059800.620799184</v>
      </c>
    </row>
    <row r="91" spans="2:27 16384:16384">
      <c r="B91" s="18" t="s">
        <v>398</v>
      </c>
      <c r="E91" s="21">
        <f>E89+E90</f>
        <v>235617599.45280355</v>
      </c>
    </row>
    <row r="93" spans="2:27 16384:16384">
      <c r="B93" s="18" t="s">
        <v>399</v>
      </c>
      <c r="E93" s="21">
        <f>E79</f>
        <v>3376993.3299233392</v>
      </c>
    </row>
    <row r="94" spans="2:27 16384:16384">
      <c r="B94" s="18" t="s">
        <v>400</v>
      </c>
      <c r="E94" s="21">
        <f t="shared" ref="E94:E96" si="31">E80</f>
        <v>560448815.12495112</v>
      </c>
    </row>
    <row r="95" spans="2:27 16384:16384">
      <c r="B95" s="18" t="s">
        <v>1</v>
      </c>
      <c r="E95" s="21">
        <f t="shared" si="31"/>
        <v>474000</v>
      </c>
    </row>
    <row r="96" spans="2:27 16384:16384">
      <c r="B96" s="26" t="s">
        <v>401</v>
      </c>
      <c r="C96" s="27"/>
      <c r="D96" s="27"/>
      <c r="E96" s="117">
        <f t="shared" si="31"/>
        <v>1182.3814665083357</v>
      </c>
    </row>
    <row r="98" spans="6:11">
      <c r="I98" s="18" t="s">
        <v>780</v>
      </c>
    </row>
    <row r="99" spans="6:11">
      <c r="G99" s="34">
        <f ca="1">E72</f>
        <v>523.98073349690139</v>
      </c>
      <c r="H99" s="30">
        <v>0.05</v>
      </c>
      <c r="I99" s="20">
        <f>H99+1%</f>
        <v>6.0000000000000005E-2</v>
      </c>
      <c r="J99" s="20">
        <f>I99+1%</f>
        <v>7.0000000000000007E-2</v>
      </c>
      <c r="K99" s="20">
        <f>J99+1%</f>
        <v>0.08</v>
      </c>
    </row>
    <row r="100" spans="6:11">
      <c r="G100" s="30">
        <v>0.03</v>
      </c>
      <c r="H100" s="34"/>
      <c r="I100" s="34"/>
      <c r="J100" s="34"/>
      <c r="K100" s="34"/>
    </row>
    <row r="101" spans="6:11">
      <c r="F101" s="18" t="s">
        <v>39</v>
      </c>
      <c r="G101" s="30">
        <v>0.04</v>
      </c>
      <c r="H101" s="34"/>
      <c r="I101" s="34"/>
      <c r="J101" s="34"/>
      <c r="K101" s="34"/>
    </row>
    <row r="102" spans="6:11">
      <c r="G102" s="30">
        <v>0.05</v>
      </c>
      <c r="H102" s="34"/>
      <c r="I102" s="34"/>
      <c r="J102" s="34"/>
      <c r="K102" s="34"/>
    </row>
    <row r="103" spans="6:11">
      <c r="G103" s="30">
        <v>0.06</v>
      </c>
      <c r="H103" s="34"/>
      <c r="I103" s="34"/>
      <c r="J103" s="34"/>
      <c r="K103" s="34"/>
    </row>
    <row r="116" spans="7:9">
      <c r="H116" s="34">
        <f ca="1">E72</f>
        <v>523.98073349690139</v>
      </c>
      <c r="I116" s="34">
        <f>E82</f>
        <v>1182.3814665083357</v>
      </c>
    </row>
    <row r="117" spans="7:9">
      <c r="G117" s="30">
        <v>0.05</v>
      </c>
      <c r="H117" s="34">
        <f t="dataTable" ref="H117:I121" dt2D="0" dtr="0" r1="E12" ca="1"/>
        <v>3279.2654609146557</v>
      </c>
      <c r="I117" s="34">
        <v>1853.1657540945453</v>
      </c>
    </row>
    <row r="118" spans="7:9">
      <c r="G118" s="30">
        <v>0.06</v>
      </c>
      <c r="H118" s="34">
        <v>1544.5754916032697</v>
      </c>
      <c r="I118" s="34">
        <v>1652.9580079608297</v>
      </c>
    </row>
    <row r="119" spans="7:9">
      <c r="G119" s="30">
        <v>7.0000000000000007E-2</v>
      </c>
      <c r="H119" s="34">
        <v>972.40180514817155</v>
      </c>
      <c r="I119" s="34">
        <v>1476.3434669047674</v>
      </c>
    </row>
    <row r="120" spans="7:9">
      <c r="G120" s="30">
        <v>0.08</v>
      </c>
      <c r="H120" s="34">
        <v>690.34618104905201</v>
      </c>
      <c r="I120" s="34">
        <v>1320.3441498407553</v>
      </c>
    </row>
    <row r="121" spans="7:9">
      <c r="G121" s="30">
        <v>0.09</v>
      </c>
      <c r="H121" s="34">
        <v>523.98073349690139</v>
      </c>
      <c r="I121" s="34">
        <v>1182.3814665083357</v>
      </c>
    </row>
  </sheetData>
  <conditionalFormatting sqref="A122:XFD1048576 L89:XFD89 G99:K121 A1:XFD87 AB88:XFD88 A88:F89 L92:XFD121 A92:F121">
    <cfRule type="containsText" dxfId="10" priority="6" operator="containsText" text="FALSE">
      <formula>NOT(ISERROR(SEARCH("FALSE",A1)))</formula>
    </cfRule>
    <cfRule type="cellIs" dxfId="9" priority="7" operator="equal">
      <formula>TRUE</formula>
    </cfRule>
    <cfRule type="containsText" dxfId="8" priority="10" operator="containsText" text="FALSE">
      <formula>NOT(ISERROR(SEARCH("FALSE",A1)))</formula>
    </cfRule>
    <cfRule type="cellIs" dxfId="7" priority="11" operator="equal">
      <formula>TRUE</formula>
    </cfRule>
  </conditionalFormatting>
  <conditionalFormatting sqref="H122:AA1048576 L89:AA89 H99:K121 H1:AA87 L92:AA121">
    <cfRule type="expression" dxfId="6" priority="9">
      <formula>H$5</formula>
    </cfRule>
  </conditionalFormatting>
  <conditionalFormatting sqref="XFD88">
    <cfRule type="expression" dxfId="5" priority="8">
      <formula>XFD$5</formula>
    </cfRule>
  </conditionalFormatting>
  <conditionalFormatting sqref="A90:XFD91">
    <cfRule type="containsText" dxfId="4" priority="1" operator="containsText" text="FALSE">
      <formula>NOT(ISERROR(SEARCH("FALSE",A90)))</formula>
    </cfRule>
    <cfRule type="cellIs" dxfId="3" priority="2" operator="equal">
      <formula>TRUE</formula>
    </cfRule>
    <cfRule type="containsText" dxfId="2" priority="4" operator="containsText" text="FALSE">
      <formula>NOT(ISERROR(SEARCH("FALSE",A90)))</formula>
    </cfRule>
    <cfRule type="cellIs" dxfId="1" priority="5" operator="equal">
      <formula>TRUE</formula>
    </cfRule>
  </conditionalFormatting>
  <conditionalFormatting sqref="H90:AA91">
    <cfRule type="expression" dxfId="0" priority="3">
      <formula>H$5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Drop Down 1">
              <controlPr defaultSize="0" autoLine="0" autoPict="0">
                <anchor moveWithCells="1">
                  <from>
                    <xdr:col>3</xdr:col>
                    <xdr:colOff>679450</xdr:colOff>
                    <xdr:row>2</xdr:row>
                    <xdr:rowOff>0</xdr:rowOff>
                  </from>
                  <to>
                    <xdr:col>3</xdr:col>
                    <xdr:colOff>1898650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Drop Down 2">
              <controlPr defaultSize="0" autoLine="0" autoPict="0">
                <anchor moveWithCells="1">
                  <from>
                    <xdr:col>5</xdr:col>
                    <xdr:colOff>342900</xdr:colOff>
                    <xdr:row>8</xdr:row>
                    <xdr:rowOff>177800</xdr:rowOff>
                  </from>
                  <to>
                    <xdr:col>7</xdr:col>
                    <xdr:colOff>355600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Check Box 3">
              <controlPr defaultSize="0" autoFill="0" autoLine="0" autoPict="0" macro="[0]!CheckBox2_Click">
                <anchor moveWithCells="1">
                  <from>
                    <xdr:col>3</xdr:col>
                    <xdr:colOff>2724150</xdr:colOff>
                    <xdr:row>2</xdr:row>
                    <xdr:rowOff>114300</xdr:rowOff>
                  </from>
                  <to>
                    <xdr:col>4</xdr:col>
                    <xdr:colOff>850900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FF0000"/>
  </sheetPr>
  <dimension ref="B1:V39"/>
  <sheetViews>
    <sheetView showGridLines="0" zoomScale="90" zoomScaleNormal="90" workbookViewId="0">
      <selection activeCell="G5" sqref="G5"/>
    </sheetView>
  </sheetViews>
  <sheetFormatPr defaultRowHeight="14.5" outlineLevelCol="1"/>
  <cols>
    <col min="1" max="1" width="1.81640625" customWidth="1"/>
    <col min="2" max="2" width="12.453125" customWidth="1"/>
    <col min="3" max="3" width="2.1796875" bestFit="1" customWidth="1"/>
    <col min="4" max="4" width="21.54296875" customWidth="1"/>
    <col min="5" max="5" width="2.54296875" customWidth="1"/>
    <col min="6" max="6" width="22.1796875" customWidth="1"/>
    <col min="7" max="7" width="2.54296875" customWidth="1"/>
    <col min="8" max="8" width="21.81640625" customWidth="1"/>
    <col min="9" max="9" width="2.08984375" customWidth="1"/>
    <col min="10" max="10" width="22.453125" customWidth="1"/>
    <col min="11" max="11" width="2.453125" customWidth="1"/>
    <col min="12" max="12" width="17.81640625" customWidth="1"/>
    <col min="13" max="13" width="2.54296875" customWidth="1"/>
    <col min="14" max="14" width="20.453125" customWidth="1"/>
    <col min="15" max="17" width="16.90625" hidden="1" customWidth="1" outlineLevel="1"/>
    <col min="18" max="18" width="19.6328125" hidden="1" customWidth="1" outlineLevel="1"/>
    <col min="19" max="19" width="8.90625" collapsed="1"/>
    <col min="20" max="20" width="16.90625" bestFit="1" customWidth="1"/>
    <col min="21" max="21" width="10.1796875" bestFit="1" customWidth="1"/>
    <col min="22" max="22" width="11.54296875" bestFit="1" customWidth="1"/>
  </cols>
  <sheetData>
    <row r="1" spans="2:22">
      <c r="D1" t="s">
        <v>482</v>
      </c>
      <c r="F1">
        <v>14</v>
      </c>
    </row>
    <row r="2" spans="2:22">
      <c r="H2" s="3">
        <f>'Amazon DCF'!E82</f>
        <v>1182.3814665083357</v>
      </c>
    </row>
    <row r="4" spans="2:22">
      <c r="D4" t="s">
        <v>77</v>
      </c>
    </row>
    <row r="5" spans="2:22">
      <c r="D5" t="s">
        <v>372</v>
      </c>
    </row>
    <row r="6" spans="2:22">
      <c r="D6" t="s">
        <v>443</v>
      </c>
    </row>
    <row r="7" spans="2:22">
      <c r="D7" t="s">
        <v>373</v>
      </c>
    </row>
    <row r="8" spans="2:22">
      <c r="V8" t="s">
        <v>481</v>
      </c>
    </row>
    <row r="9" spans="2:22">
      <c r="E9">
        <v>1</v>
      </c>
      <c r="G9">
        <v>2</v>
      </c>
      <c r="I9">
        <v>3</v>
      </c>
      <c r="K9">
        <v>4</v>
      </c>
      <c r="M9">
        <v>5</v>
      </c>
      <c r="O9">
        <v>6</v>
      </c>
      <c r="P9">
        <v>7</v>
      </c>
      <c r="Q9">
        <v>8</v>
      </c>
      <c r="R9">
        <v>8</v>
      </c>
      <c r="T9" t="s">
        <v>480</v>
      </c>
      <c r="U9" t="s">
        <v>10</v>
      </c>
    </row>
    <row r="10" spans="2:22">
      <c r="E10" t="s">
        <v>435</v>
      </c>
      <c r="G10" t="s">
        <v>146</v>
      </c>
      <c r="I10" t="s">
        <v>147</v>
      </c>
      <c r="K10" t="s">
        <v>439</v>
      </c>
      <c r="M10" t="s">
        <v>440</v>
      </c>
      <c r="O10" t="s">
        <v>436</v>
      </c>
      <c r="P10" t="s">
        <v>437</v>
      </c>
      <c r="Q10" t="s">
        <v>438</v>
      </c>
      <c r="R10" t="s">
        <v>464</v>
      </c>
      <c r="T10" s="3">
        <f ca="1">'Amazon DCF'!I6</f>
        <v>523.98073349690139</v>
      </c>
      <c r="U10" s="3">
        <f>'Amazon DCF'!I7</f>
        <v>1182.3814665083357</v>
      </c>
    </row>
    <row r="11" spans="2:22">
      <c r="D11" t="s">
        <v>189</v>
      </c>
      <c r="E11">
        <v>1</v>
      </c>
      <c r="F11" t="str">
        <f>INDEX('Amazon Assumptions'!$C$60:$C$63,'Sensitivity and Presentation'!E11)</f>
        <v>Base Case</v>
      </c>
      <c r="G11">
        <v>1</v>
      </c>
      <c r="H11" t="str">
        <f>INDEX('Amazon Assumptions'!$C$68:$C$71,'Sensitivity and Presentation'!G11)</f>
        <v>Base Case</v>
      </c>
      <c r="I11">
        <v>1</v>
      </c>
      <c r="J11" t="str">
        <f>INDEX('Amazon Assumptions'!$C$76:$C$79,'Sensitivity and Presentation'!I11)</f>
        <v>Base Case</v>
      </c>
      <c r="K11">
        <v>1</v>
      </c>
      <c r="L11" t="str">
        <f>INDEX('Amazon Assumptions'!$C$84:$C$87,'Sensitivity and Presentation'!K11)</f>
        <v>Base Case</v>
      </c>
      <c r="M11">
        <v>1</v>
      </c>
      <c r="N11" t="str">
        <f>INDEX('Amazon Assumptions'!$C$92:$C$95,'Sensitivity and Presentation'!M11)</f>
        <v>Base Case</v>
      </c>
      <c r="P11" s="1">
        <v>0.15</v>
      </c>
      <c r="Q11" s="1">
        <v>0.18</v>
      </c>
      <c r="R11" s="1">
        <v>7.0000000000000007E-2</v>
      </c>
      <c r="S11" s="3">
        <v>1</v>
      </c>
      <c r="T11" s="3">
        <f t="dataTable" ref="T11:U29" dt2D="0" dtr="0" r1="F1" ca="1"/>
        <v>702.08692624500395</v>
      </c>
      <c r="U11" s="3">
        <v>1325.9881240985571</v>
      </c>
    </row>
    <row r="12" spans="2:22">
      <c r="D12" t="s">
        <v>442</v>
      </c>
      <c r="E12">
        <v>2</v>
      </c>
      <c r="F12" t="str">
        <f>INDEX('Amazon Assumptions'!$C$60:$C$63,'Sensitivity and Presentation'!E12)</f>
        <v>Case 1 - Higher Growth</v>
      </c>
      <c r="G12">
        <v>2</v>
      </c>
      <c r="H12" t="str">
        <f>INDEX('Amazon Assumptions'!$C$68:$C$71,'Sensitivity and Presentation'!G12)</f>
        <v>Case 2 - Lower Cost/High Price</v>
      </c>
      <c r="I12">
        <v>2</v>
      </c>
      <c r="J12" t="str">
        <f>INDEX('Amazon Assumptions'!$C$76:$C$79,'Sensitivity and Presentation'!I12)</f>
        <v>Case 2 - Lower Spending</v>
      </c>
      <c r="K12">
        <v>2</v>
      </c>
      <c r="L12" t="str">
        <f>INDEX('Amazon Assumptions'!$C$84:$C$87,'Sensitivity and Presentation'!K12)</f>
        <v>Case 2 - Lower Cost</v>
      </c>
      <c r="M12">
        <v>2</v>
      </c>
      <c r="N12" t="str">
        <f>INDEX('Amazon Assumptions'!$C$92:$C$95,'Sensitivity and Presentation'!M12)</f>
        <v>Case 2 - Lower Cap Exp</v>
      </c>
      <c r="S12" s="3">
        <v>2</v>
      </c>
      <c r="T12" s="3">
        <v>3739.270645314682</v>
      </c>
      <c r="U12" s="3">
        <v>3320.5369713496038</v>
      </c>
    </row>
    <row r="13" spans="2:22">
      <c r="D13" t="s">
        <v>441</v>
      </c>
      <c r="E13">
        <v>3</v>
      </c>
      <c r="F13" t="str">
        <f>INDEX('Amazon Assumptions'!$C$60:$C$63,'Sensitivity and Presentation'!E13)</f>
        <v>Case 2 - Lower Growth</v>
      </c>
      <c r="G13">
        <v>3</v>
      </c>
      <c r="H13" t="str">
        <f>INDEX('Amazon Assumptions'!$C$68:$C$71,'Sensitivity and Presentation'!G13)</f>
        <v>Case 3 - Higher Cost/Lower Price</v>
      </c>
      <c r="I13">
        <v>3</v>
      </c>
      <c r="J13" t="str">
        <f>INDEX('Amazon Assumptions'!$C$76:$C$79,'Sensitivity and Presentation'!I13)</f>
        <v>Case 3 - Higher Spending</v>
      </c>
      <c r="K13">
        <v>3</v>
      </c>
      <c r="L13" t="str">
        <f>INDEX('Amazon Assumptions'!$C$84:$C$87,'Sensitivity and Presentation'!K13)</f>
        <v>Case 3 - Higher Cost</v>
      </c>
      <c r="M13">
        <v>3</v>
      </c>
      <c r="N13" t="str">
        <f>INDEX('Amazon Assumptions'!$C$92:$C$95,'Sensitivity and Presentation'!M13)</f>
        <v>Case 3 - Lower Cap Exp</v>
      </c>
      <c r="S13" s="3">
        <v>3</v>
      </c>
      <c r="T13" s="3">
        <v>-291.44347249758027</v>
      </c>
      <c r="U13" s="3">
        <v>289.77639743113554</v>
      </c>
    </row>
    <row r="14" spans="2:22">
      <c r="B14" t="s">
        <v>442</v>
      </c>
      <c r="C14">
        <v>1</v>
      </c>
      <c r="D14" t="str">
        <f>E10&amp;" "&amp;B14</f>
        <v>Sales Growth Best Case</v>
      </c>
      <c r="E14" s="69">
        <f>IF(E$9=$C14,E$12,E$11)</f>
        <v>2</v>
      </c>
      <c r="F14" t="str">
        <f>INDEX('Amazon Assumptions'!$C$60:$C$63,'Sensitivity and Presentation'!E14)</f>
        <v>Case 1 - Higher Growth</v>
      </c>
      <c r="G14" s="69">
        <f>IF(G$9=$C14,G$12,G$11)</f>
        <v>1</v>
      </c>
      <c r="H14" t="str">
        <f>INDEX('Amazon Assumptions'!$C$68:$C$71,'Sensitivity and Presentation'!G14)</f>
        <v>Base Case</v>
      </c>
      <c r="I14" s="69">
        <f>IF(I$9=$C14,I$12,I$11)</f>
        <v>1</v>
      </c>
      <c r="J14" t="str">
        <f>INDEX('Amazon Assumptions'!$C$76:$C$79,'Sensitivity and Presentation'!I14)</f>
        <v>Base Case</v>
      </c>
      <c r="K14" s="69">
        <f>IF(K$9=$C14,K$12,K$11)</f>
        <v>1</v>
      </c>
      <c r="L14" t="str">
        <f>INDEX('Amazon Assumptions'!$C$84:$C$87,'Sensitivity and Presentation'!K14)</f>
        <v>Base Case</v>
      </c>
      <c r="M14" s="69">
        <f>IF(M$9=$C14,M$12,M$11)</f>
        <v>1</v>
      </c>
      <c r="N14" t="str">
        <f>INDEX('Amazon Assumptions'!$C$92:$C$95,'Sensitivity and Presentation'!M14)</f>
        <v>Base Case</v>
      </c>
      <c r="S14" s="3">
        <v>4</v>
      </c>
      <c r="T14" s="3">
        <v>954.5794538103047</v>
      </c>
      <c r="U14" s="3">
        <v>1659.5262290216253</v>
      </c>
    </row>
    <row r="15" spans="2:22">
      <c r="C15">
        <v>2</v>
      </c>
      <c r="D15" t="str">
        <f>G10&amp;" "&amp;B14</f>
        <v>COGS Percent Best Case</v>
      </c>
      <c r="E15" s="69">
        <f t="shared" ref="E15:M21" si="0">IF(E$9=$C15,E$12,E$11)</f>
        <v>1</v>
      </c>
      <c r="F15" t="str">
        <f>INDEX('Amazon Assumptions'!$C$60:$C$63,'Sensitivity and Presentation'!E15)</f>
        <v>Base Case</v>
      </c>
      <c r="G15" s="69">
        <f t="shared" si="0"/>
        <v>2</v>
      </c>
      <c r="H15" t="str">
        <f>INDEX('Amazon Assumptions'!$C$68:$C$71,'Sensitivity and Presentation'!G15)</f>
        <v>Case 2 - Lower Cost/High Price</v>
      </c>
      <c r="I15" s="69">
        <f t="shared" si="0"/>
        <v>1</v>
      </c>
      <c r="J15" t="str">
        <f>INDEX('Amazon Assumptions'!$C$76:$C$79,'Sensitivity and Presentation'!I15)</f>
        <v>Base Case</v>
      </c>
      <c r="K15" s="69">
        <f t="shared" si="0"/>
        <v>1</v>
      </c>
      <c r="L15" t="str">
        <f>INDEX('Amazon Assumptions'!$C$84:$C$87,'Sensitivity and Presentation'!K15)</f>
        <v>Base Case</v>
      </c>
      <c r="M15" s="69">
        <f t="shared" si="0"/>
        <v>1</v>
      </c>
      <c r="N15" t="str">
        <f>INDEX('Amazon Assumptions'!$C$92:$C$95,'Sensitivity and Presentation'!M15)</f>
        <v>Base Case</v>
      </c>
      <c r="S15" s="3">
        <v>5</v>
      </c>
      <c r="T15" s="3">
        <v>1596.9688240409848</v>
      </c>
      <c r="U15" s="3">
        <v>2006.3123574703395</v>
      </c>
    </row>
    <row r="16" spans="2:22">
      <c r="C16">
        <v>3</v>
      </c>
      <c r="D16" t="str">
        <f>I10&amp;" "&amp;B14</f>
        <v>R&amp;D Growth Best Case</v>
      </c>
      <c r="E16" s="69">
        <f t="shared" si="0"/>
        <v>1</v>
      </c>
      <c r="F16" t="str">
        <f>INDEX('Amazon Assumptions'!$C$60:$C$63,'Sensitivity and Presentation'!E16)</f>
        <v>Base Case</v>
      </c>
      <c r="G16" s="69">
        <f t="shared" si="0"/>
        <v>1</v>
      </c>
      <c r="H16" t="str">
        <f>INDEX('Amazon Assumptions'!$C$68:$C$71,'Sensitivity and Presentation'!G16)</f>
        <v>Base Case</v>
      </c>
      <c r="I16" s="69">
        <f t="shared" si="0"/>
        <v>2</v>
      </c>
      <c r="J16" t="str">
        <f>INDEX('Amazon Assumptions'!$C$76:$C$79,'Sensitivity and Presentation'!I16)</f>
        <v>Case 2 - Lower Spending</v>
      </c>
      <c r="K16" s="69">
        <f t="shared" si="0"/>
        <v>1</v>
      </c>
      <c r="L16" t="str">
        <f>INDEX('Amazon Assumptions'!$C$84:$C$87,'Sensitivity and Presentation'!K16)</f>
        <v>Base Case</v>
      </c>
      <c r="M16" s="69">
        <f t="shared" si="0"/>
        <v>1</v>
      </c>
      <c r="N16" t="str">
        <f>INDEX('Amazon Assumptions'!$C$92:$C$95,'Sensitivity and Presentation'!M16)</f>
        <v>Base Case</v>
      </c>
      <c r="S16" s="3">
        <v>6</v>
      </c>
      <c r="T16" s="3">
        <v>863.82015676259505</v>
      </c>
      <c r="U16" s="3">
        <v>1453.2218194582672</v>
      </c>
    </row>
    <row r="17" spans="2:21">
      <c r="C17">
        <v>4</v>
      </c>
      <c r="D17" t="str">
        <f>K10&amp;" "&amp;B14</f>
        <v>SG&amp;A to Sales Best Case</v>
      </c>
      <c r="E17" s="69">
        <f t="shared" si="0"/>
        <v>1</v>
      </c>
      <c r="F17" t="str">
        <f>INDEX('Amazon Assumptions'!$C$60:$C$63,'Sensitivity and Presentation'!E17)</f>
        <v>Base Case</v>
      </c>
      <c r="G17" s="69">
        <f t="shared" si="0"/>
        <v>1</v>
      </c>
      <c r="H17" t="str">
        <f>INDEX('Amazon Assumptions'!$C$68:$C$71,'Sensitivity and Presentation'!G17)</f>
        <v>Base Case</v>
      </c>
      <c r="I17" s="69">
        <f t="shared" si="0"/>
        <v>1</v>
      </c>
      <c r="J17" t="str">
        <f>INDEX('Amazon Assumptions'!$C$76:$C$79,'Sensitivity and Presentation'!I17)</f>
        <v>Base Case</v>
      </c>
      <c r="K17" s="69">
        <f t="shared" si="0"/>
        <v>2</v>
      </c>
      <c r="L17" t="str">
        <f>INDEX('Amazon Assumptions'!$C$84:$C$87,'Sensitivity and Presentation'!K17)</f>
        <v>Case 2 - Lower Cost</v>
      </c>
      <c r="M17" s="69">
        <f t="shared" si="0"/>
        <v>1</v>
      </c>
      <c r="N17" t="str">
        <f>INDEX('Amazon Assumptions'!$C$92:$C$95,'Sensitivity and Presentation'!M17)</f>
        <v>Base Case</v>
      </c>
      <c r="S17" s="3">
        <v>7</v>
      </c>
      <c r="T17" s="3">
        <v>1187.2866177977751</v>
      </c>
      <c r="U17" s="3">
        <v>1707.6892101776846</v>
      </c>
    </row>
    <row r="18" spans="2:21">
      <c r="C18">
        <v>5</v>
      </c>
      <c r="D18" t="str">
        <f>M10&amp;" "&amp;B14</f>
        <v>Cap Exp to Sales Best Case</v>
      </c>
      <c r="E18" s="69">
        <f t="shared" si="0"/>
        <v>1</v>
      </c>
      <c r="F18" t="str">
        <f>INDEX('Amazon Assumptions'!$C$60:$C$63,'Sensitivity and Presentation'!E18)</f>
        <v>Base Case</v>
      </c>
      <c r="G18" s="69">
        <f t="shared" si="0"/>
        <v>1</v>
      </c>
      <c r="H18" t="str">
        <f>INDEX('Amazon Assumptions'!$C$68:$C$71,'Sensitivity and Presentation'!G18)</f>
        <v>Base Case</v>
      </c>
      <c r="I18" s="69">
        <f t="shared" si="0"/>
        <v>1</v>
      </c>
      <c r="J18" t="str">
        <f>INDEX('Amazon Assumptions'!$C$76:$C$79,'Sensitivity and Presentation'!I18)</f>
        <v>Base Case</v>
      </c>
      <c r="K18" s="69">
        <f t="shared" si="0"/>
        <v>1</v>
      </c>
      <c r="L18" t="str">
        <f>INDEX('Amazon Assumptions'!$C$84:$C$87,'Sensitivity and Presentation'!K18)</f>
        <v>Base Case</v>
      </c>
      <c r="M18" s="69">
        <f t="shared" si="0"/>
        <v>2</v>
      </c>
      <c r="N18" t="str">
        <f>INDEX('Amazon Assumptions'!$C$92:$C$95,'Sensitivity and Presentation'!M18)</f>
        <v>Case 2 - Lower Cap Exp</v>
      </c>
      <c r="S18" s="3">
        <v>8</v>
      </c>
      <c r="T18" s="3">
        <v>1437.4001271252619</v>
      </c>
      <c r="U18" s="3">
        <v>1498.0047751227389</v>
      </c>
    </row>
    <row r="19" spans="2:21">
      <c r="C19">
        <v>6</v>
      </c>
      <c r="D19" t="str">
        <f>O10&amp;" "&amp;B14</f>
        <v>A/R to Sales Best Case</v>
      </c>
      <c r="E19" s="69">
        <f t="shared" si="0"/>
        <v>1</v>
      </c>
      <c r="F19" t="str">
        <f>INDEX('Amazon Assumptions'!$C$60:$C$63,'Sensitivity and Presentation'!E19)</f>
        <v>Base Case</v>
      </c>
      <c r="G19" s="69">
        <f t="shared" si="0"/>
        <v>1</v>
      </c>
      <c r="H19" t="str">
        <f>INDEX('Amazon Assumptions'!$C$68:$C$71,'Sensitivity and Presentation'!G19)</f>
        <v>Base Case</v>
      </c>
      <c r="I19" s="69">
        <f t="shared" si="0"/>
        <v>1</v>
      </c>
      <c r="J19" t="str">
        <f>INDEX('Amazon Assumptions'!$C$76:$C$79,'Sensitivity and Presentation'!I19)</f>
        <v>Base Case</v>
      </c>
      <c r="K19" s="69">
        <f t="shared" si="0"/>
        <v>1</v>
      </c>
      <c r="L19" t="str">
        <f>INDEX('Amazon Assumptions'!$C$84:$C$87,'Sensitivity and Presentation'!K19)</f>
        <v>Base Case</v>
      </c>
      <c r="M19" s="69">
        <f t="shared" si="0"/>
        <v>1</v>
      </c>
      <c r="N19" t="str">
        <f>INDEX('Amazon Assumptions'!$C$92:$C$95,'Sensitivity and Presentation'!M19)</f>
        <v>Base Case</v>
      </c>
      <c r="S19" s="3">
        <v>9</v>
      </c>
      <c r="T19" s="3">
        <v>702.08692624500395</v>
      </c>
      <c r="U19" s="3">
        <v>1325.9881240985571</v>
      </c>
    </row>
    <row r="20" spans="2:21">
      <c r="C20">
        <v>7</v>
      </c>
      <c r="D20" t="str">
        <f>P10&amp;" "&amp;B14</f>
        <v>Inventory to COGS Best Case</v>
      </c>
      <c r="E20" s="69">
        <f t="shared" si="0"/>
        <v>1</v>
      </c>
      <c r="F20" t="str">
        <f>INDEX('Amazon Assumptions'!$C$60:$C$63,'Sensitivity and Presentation'!E20)</f>
        <v>Base Case</v>
      </c>
      <c r="G20" s="69">
        <f t="shared" si="0"/>
        <v>1</v>
      </c>
      <c r="H20" t="str">
        <f>INDEX('Amazon Assumptions'!$C$68:$C$71,'Sensitivity and Presentation'!G20)</f>
        <v>Base Case</v>
      </c>
      <c r="I20" s="69">
        <f t="shared" si="0"/>
        <v>1</v>
      </c>
      <c r="J20" t="str">
        <f>INDEX('Amazon Assumptions'!$C$76:$C$79,'Sensitivity and Presentation'!I20)</f>
        <v>Base Case</v>
      </c>
      <c r="K20" s="69">
        <f t="shared" si="0"/>
        <v>1</v>
      </c>
      <c r="L20" t="str">
        <f>INDEX('Amazon Assumptions'!$C$84:$C$87,'Sensitivity and Presentation'!K20)</f>
        <v>Base Case</v>
      </c>
      <c r="M20" s="69">
        <f t="shared" si="0"/>
        <v>1</v>
      </c>
      <c r="N20" t="str">
        <f>INDEX('Amazon Assumptions'!$C$92:$C$95,'Sensitivity and Presentation'!M20)</f>
        <v>Base Case</v>
      </c>
      <c r="S20" s="3">
        <v>10</v>
      </c>
      <c r="T20" s="3">
        <v>702.08692624500395</v>
      </c>
      <c r="U20" s="3">
        <v>1325.9881240985571</v>
      </c>
    </row>
    <row r="21" spans="2:21">
      <c r="C21">
        <v>8</v>
      </c>
      <c r="D21" t="str">
        <f>Q10&amp;" "&amp;B14</f>
        <v>A/P to Expense Best Case</v>
      </c>
      <c r="E21" s="69">
        <f t="shared" si="0"/>
        <v>1</v>
      </c>
      <c r="F21" t="str">
        <f>INDEX('Amazon Assumptions'!$C$60:$C$63,'Sensitivity and Presentation'!E21)</f>
        <v>Base Case</v>
      </c>
      <c r="G21" s="69">
        <f t="shared" si="0"/>
        <v>1</v>
      </c>
      <c r="H21" t="str">
        <f>INDEX('Amazon Assumptions'!$C$68:$C$71,'Sensitivity and Presentation'!G21)</f>
        <v>Base Case</v>
      </c>
      <c r="I21" s="69">
        <f t="shared" si="0"/>
        <v>1</v>
      </c>
      <c r="J21" t="str">
        <f>INDEX('Amazon Assumptions'!$C$76:$C$79,'Sensitivity and Presentation'!I21)</f>
        <v>Base Case</v>
      </c>
      <c r="K21" s="69">
        <f t="shared" si="0"/>
        <v>1</v>
      </c>
      <c r="L21" t="str">
        <f>INDEX('Amazon Assumptions'!$C$84:$C$87,'Sensitivity and Presentation'!K21)</f>
        <v>Base Case</v>
      </c>
      <c r="M21" s="69">
        <f t="shared" si="0"/>
        <v>1</v>
      </c>
      <c r="N21" t="str">
        <f>INDEX('Amazon Assumptions'!$C$92:$C$95,'Sensitivity and Presentation'!M21)</f>
        <v>Base Case</v>
      </c>
      <c r="S21" s="3">
        <v>11</v>
      </c>
      <c r="T21" s="3">
        <v>702.08692624500395</v>
      </c>
      <c r="U21" s="3">
        <v>1325.9881240985571</v>
      </c>
    </row>
    <row r="22" spans="2:21">
      <c r="B22" t="s">
        <v>777</v>
      </c>
      <c r="C22">
        <v>1</v>
      </c>
      <c r="D22" t="str">
        <f>E10&amp;" "&amp;B22</f>
        <v>Sales Growth   Worst Case</v>
      </c>
      <c r="E22" s="69">
        <f>IF(E$9=$C22,E$13,E$11)</f>
        <v>3</v>
      </c>
      <c r="F22" t="str">
        <f>INDEX('Amazon Assumptions'!$C$60:$C$63,'Sensitivity and Presentation'!E22)</f>
        <v>Case 2 - Lower Growth</v>
      </c>
      <c r="G22" s="69">
        <f>IF(G$9=$C22,G$13,G$11)</f>
        <v>1</v>
      </c>
      <c r="H22" t="str">
        <f>INDEX('Amazon Assumptions'!$C$68:$C$71,'Sensitivity and Presentation'!G22)</f>
        <v>Base Case</v>
      </c>
      <c r="I22" s="69">
        <f>IF(I$9=$C22,I$13,I$11)</f>
        <v>1</v>
      </c>
      <c r="J22" t="str">
        <f>INDEX('Amazon Assumptions'!$C$76:$C$79,'Sensitivity and Presentation'!I22)</f>
        <v>Base Case</v>
      </c>
      <c r="K22" s="69">
        <f>IF(K$9=$C22,K$13,K$11)</f>
        <v>1</v>
      </c>
      <c r="L22" t="str">
        <f>INDEX('Amazon Assumptions'!$C$84:$C$87,'Sensitivity and Presentation'!K22)</f>
        <v>Base Case</v>
      </c>
      <c r="M22" s="69">
        <f>IF(M$9=$C22,M$13,M$11)</f>
        <v>1</v>
      </c>
      <c r="N22" t="str">
        <f>INDEX('Amazon Assumptions'!$C$92:$C$95,'Sensitivity and Presentation'!M22)</f>
        <v>Base Case</v>
      </c>
      <c r="S22" s="3">
        <v>12</v>
      </c>
      <c r="T22" s="3">
        <v>346.39694749446107</v>
      </c>
      <c r="U22" s="3">
        <v>745.96972299915683</v>
      </c>
    </row>
    <row r="23" spans="2:21">
      <c r="C23">
        <v>2</v>
      </c>
      <c r="D23" t="str">
        <f>G10&amp;B22</f>
        <v>COGS Percent  Worst Case</v>
      </c>
      <c r="E23" s="69">
        <f t="shared" ref="E23:M29" si="1">IF(E$9=$C23,E$13,E$11)</f>
        <v>1</v>
      </c>
      <c r="F23" t="str">
        <f>INDEX('Amazon Assumptions'!$C$60:$C$63,'Sensitivity and Presentation'!E23)</f>
        <v>Base Case</v>
      </c>
      <c r="G23" s="69">
        <f t="shared" si="1"/>
        <v>3</v>
      </c>
      <c r="H23" t="str">
        <f>INDEX('Amazon Assumptions'!$C$68:$C$71,'Sensitivity and Presentation'!G23)</f>
        <v>Case 3 - Higher Cost/Lower Price</v>
      </c>
      <c r="I23" s="69">
        <f t="shared" si="1"/>
        <v>1</v>
      </c>
      <c r="J23" t="str">
        <f>INDEX('Amazon Assumptions'!$C$76:$C$79,'Sensitivity and Presentation'!I23)</f>
        <v>Base Case</v>
      </c>
      <c r="K23" s="69">
        <f t="shared" si="1"/>
        <v>1</v>
      </c>
      <c r="L23" t="str">
        <f>INDEX('Amazon Assumptions'!$C$84:$C$87,'Sensitivity and Presentation'!K23)</f>
        <v>Base Case</v>
      </c>
      <c r="M23" s="69">
        <f t="shared" si="1"/>
        <v>1</v>
      </c>
      <c r="N23" t="str">
        <f>INDEX('Amazon Assumptions'!$C$92:$C$95,'Sensitivity and Presentation'!M23)</f>
        <v>Base Case</v>
      </c>
      <c r="S23" s="3">
        <v>13</v>
      </c>
      <c r="T23" s="3">
        <v>231.49096162707312</v>
      </c>
      <c r="U23" s="3">
        <v>962.67099169272615</v>
      </c>
    </row>
    <row r="24" spans="2:21">
      <c r="C24">
        <v>3</v>
      </c>
      <c r="D24" t="str">
        <f>I10&amp;B22</f>
        <v>R&amp;D Growth  Worst Case</v>
      </c>
      <c r="E24" s="69">
        <f t="shared" si="1"/>
        <v>1</v>
      </c>
      <c r="F24" t="str">
        <f>INDEX('Amazon Assumptions'!$C$60:$C$63,'Sensitivity and Presentation'!E24)</f>
        <v>Base Case</v>
      </c>
      <c r="G24" s="69">
        <f t="shared" si="1"/>
        <v>1</v>
      </c>
      <c r="H24" t="str">
        <f>INDEX('Amazon Assumptions'!$C$68:$C$71,'Sensitivity and Presentation'!G24)</f>
        <v>Base Case</v>
      </c>
      <c r="I24" s="69">
        <f t="shared" si="1"/>
        <v>3</v>
      </c>
      <c r="J24" t="str">
        <f>INDEX('Amazon Assumptions'!$C$76:$C$79,'Sensitivity and Presentation'!I24)</f>
        <v>Case 3 - Higher Spending</v>
      </c>
      <c r="K24" s="69">
        <f t="shared" si="1"/>
        <v>1</v>
      </c>
      <c r="L24" t="str">
        <f>INDEX('Amazon Assumptions'!$C$84:$C$87,'Sensitivity and Presentation'!K24)</f>
        <v>Base Case</v>
      </c>
      <c r="M24" s="69">
        <f t="shared" si="1"/>
        <v>1</v>
      </c>
      <c r="N24" t="str">
        <f>INDEX('Amazon Assumptions'!$C$92:$C$95,'Sensitivity and Presentation'!M24)</f>
        <v>Base Case</v>
      </c>
      <c r="S24" s="3">
        <v>14</v>
      </c>
      <c r="T24" s="3">
        <v>523.98073349690139</v>
      </c>
      <c r="U24" s="3">
        <v>1182.3814665083357</v>
      </c>
    </row>
    <row r="25" spans="2:21">
      <c r="C25">
        <v>4</v>
      </c>
      <c r="D25" t="str">
        <f>K10&amp;B22</f>
        <v>SG&amp;A to Sales  Worst Case</v>
      </c>
      <c r="E25" s="69">
        <f t="shared" si="1"/>
        <v>1</v>
      </c>
      <c r="F25" t="str">
        <f>INDEX('Amazon Assumptions'!$C$60:$C$63,'Sensitivity and Presentation'!E25)</f>
        <v>Base Case</v>
      </c>
      <c r="G25" s="69">
        <f t="shared" si="1"/>
        <v>1</v>
      </c>
      <c r="H25" t="str">
        <f>INDEX('Amazon Assumptions'!$C$68:$C$71,'Sensitivity and Presentation'!G25)</f>
        <v>Base Case</v>
      </c>
      <c r="I25" s="69">
        <f t="shared" si="1"/>
        <v>1</v>
      </c>
      <c r="J25" t="str">
        <f>INDEX('Amazon Assumptions'!$C$76:$C$79,'Sensitivity and Presentation'!I25)</f>
        <v>Base Case</v>
      </c>
      <c r="K25" s="69">
        <f t="shared" si="1"/>
        <v>3</v>
      </c>
      <c r="L25" t="str">
        <f>INDEX('Amazon Assumptions'!$C$84:$C$87,'Sensitivity and Presentation'!K25)</f>
        <v>Case 3 - Higher Cost</v>
      </c>
      <c r="M25" s="69">
        <f t="shared" si="1"/>
        <v>1</v>
      </c>
      <c r="N25" t="str">
        <f>INDEX('Amazon Assumptions'!$C$92:$C$95,'Sensitivity and Presentation'!M25)</f>
        <v>Base Case</v>
      </c>
      <c r="S25" s="3">
        <v>15</v>
      </c>
      <c r="T25" s="3">
        <v>464.33907738414626</v>
      </c>
      <c r="U25" s="3">
        <v>1138.9545919197851</v>
      </c>
    </row>
    <row r="26" spans="2:21">
      <c r="C26">
        <v>5</v>
      </c>
      <c r="D26" t="str">
        <f>M10&amp;B22</f>
        <v>Cap Exp to Sales  Worst Case</v>
      </c>
      <c r="E26" s="69">
        <f t="shared" si="1"/>
        <v>1</v>
      </c>
      <c r="F26" t="str">
        <f>INDEX('Amazon Assumptions'!$C$60:$C$63,'Sensitivity and Presentation'!E26)</f>
        <v>Base Case</v>
      </c>
      <c r="G26" s="69">
        <f t="shared" si="1"/>
        <v>1</v>
      </c>
      <c r="H26" t="str">
        <f>INDEX('Amazon Assumptions'!$C$68:$C$71,'Sensitivity and Presentation'!G26)</f>
        <v>Base Case</v>
      </c>
      <c r="I26" s="69">
        <f t="shared" si="1"/>
        <v>1</v>
      </c>
      <c r="J26" t="str">
        <f>INDEX('Amazon Assumptions'!$C$76:$C$79,'Sensitivity and Presentation'!I26)</f>
        <v>Base Case</v>
      </c>
      <c r="K26" s="69">
        <f t="shared" si="1"/>
        <v>1</v>
      </c>
      <c r="L26" t="str">
        <f>INDEX('Amazon Assumptions'!$C$84:$C$87,'Sensitivity and Presentation'!K26)</f>
        <v>Base Case</v>
      </c>
      <c r="M26" s="69">
        <f t="shared" si="1"/>
        <v>3</v>
      </c>
      <c r="N26" t="str">
        <f>INDEX('Amazon Assumptions'!$C$92:$C$95,'Sensitivity and Presentation'!M26)</f>
        <v>Case 3 - Lower Cap Exp</v>
      </c>
      <c r="S26" s="3">
        <v>16</v>
      </c>
      <c r="T26" s="3">
        <v>515.91410066986793</v>
      </c>
      <c r="U26" s="3">
        <v>1265.5302163025717</v>
      </c>
    </row>
    <row r="27" spans="2:21">
      <c r="C27">
        <v>6</v>
      </c>
      <c r="D27" t="str">
        <f t="shared" ref="D27:D29" si="2">D19</f>
        <v>A/R to Sales Best Case</v>
      </c>
      <c r="E27" s="69">
        <f t="shared" si="1"/>
        <v>1</v>
      </c>
      <c r="F27" t="str">
        <f>INDEX('Amazon Assumptions'!$C$60:$C$63,'Sensitivity and Presentation'!E27)</f>
        <v>Base Case</v>
      </c>
      <c r="G27" s="69">
        <f t="shared" si="1"/>
        <v>1</v>
      </c>
      <c r="H27" t="str">
        <f>INDEX('Amazon Assumptions'!$C$68:$C$71,'Sensitivity and Presentation'!G27)</f>
        <v>Base Case</v>
      </c>
      <c r="I27" s="69">
        <f t="shared" si="1"/>
        <v>1</v>
      </c>
      <c r="J27" t="str">
        <f>INDEX('Amazon Assumptions'!$C$76:$C$79,'Sensitivity and Presentation'!I27)</f>
        <v>Base Case</v>
      </c>
      <c r="K27" s="69">
        <f t="shared" si="1"/>
        <v>1</v>
      </c>
      <c r="L27" t="str">
        <f>INDEX('Amazon Assumptions'!$C$84:$C$87,'Sensitivity and Presentation'!K27)</f>
        <v>Base Case</v>
      </c>
      <c r="M27" s="69">
        <f t="shared" si="1"/>
        <v>1</v>
      </c>
      <c r="N27" t="str">
        <f>INDEX('Amazon Assumptions'!$C$92:$C$95,'Sensitivity and Presentation'!M27)</f>
        <v>Base Case</v>
      </c>
      <c r="S27" s="3">
        <v>17</v>
      </c>
      <c r="T27" s="3">
        <v>702.08692624500395</v>
      </c>
      <c r="U27" s="3">
        <v>1325.9881240985571</v>
      </c>
    </row>
    <row r="28" spans="2:21">
      <c r="C28">
        <v>7</v>
      </c>
      <c r="D28" t="str">
        <f t="shared" si="2"/>
        <v>Inventory to COGS Best Case</v>
      </c>
      <c r="E28" s="69">
        <f t="shared" si="1"/>
        <v>1</v>
      </c>
      <c r="F28" t="str">
        <f>INDEX('Amazon Assumptions'!$C$60:$C$63,'Sensitivity and Presentation'!E28)</f>
        <v>Base Case</v>
      </c>
      <c r="G28" s="69">
        <f t="shared" si="1"/>
        <v>1</v>
      </c>
      <c r="H28" t="str">
        <f>INDEX('Amazon Assumptions'!$C$68:$C$71,'Sensitivity and Presentation'!G28)</f>
        <v>Base Case</v>
      </c>
      <c r="I28" s="69">
        <f t="shared" si="1"/>
        <v>1</v>
      </c>
      <c r="J28" t="str">
        <f>INDEX('Amazon Assumptions'!$C$76:$C$79,'Sensitivity and Presentation'!I28)</f>
        <v>Base Case</v>
      </c>
      <c r="K28" s="69">
        <f t="shared" si="1"/>
        <v>1</v>
      </c>
      <c r="L28" t="str">
        <f>INDEX('Amazon Assumptions'!$C$84:$C$87,'Sensitivity and Presentation'!K28)</f>
        <v>Base Case</v>
      </c>
      <c r="M28" s="69">
        <f t="shared" si="1"/>
        <v>1</v>
      </c>
      <c r="N28" t="str">
        <f>INDEX('Amazon Assumptions'!$C$92:$C$95,'Sensitivity and Presentation'!M28)</f>
        <v>Base Case</v>
      </c>
      <c r="S28" s="3">
        <v>18</v>
      </c>
      <c r="T28" s="3">
        <v>702.08692624500395</v>
      </c>
      <c r="U28" s="3">
        <v>1325.9881240985571</v>
      </c>
    </row>
    <row r="29" spans="2:21">
      <c r="C29">
        <v>8</v>
      </c>
      <c r="D29" t="str">
        <f t="shared" si="2"/>
        <v>A/P to Expense Best Case</v>
      </c>
      <c r="E29" s="69">
        <f t="shared" si="1"/>
        <v>1</v>
      </c>
      <c r="F29" t="str">
        <f>INDEX('Amazon Assumptions'!$C$60:$C$63,'Sensitivity and Presentation'!E29)</f>
        <v>Base Case</v>
      </c>
      <c r="G29" s="69">
        <f t="shared" si="1"/>
        <v>1</v>
      </c>
      <c r="H29" t="str">
        <f>INDEX('Amazon Assumptions'!$C$68:$C$71,'Sensitivity and Presentation'!G29)</f>
        <v>Base Case</v>
      </c>
      <c r="I29" s="69">
        <f t="shared" si="1"/>
        <v>1</v>
      </c>
      <c r="J29" t="str">
        <f>INDEX('Amazon Assumptions'!$C$76:$C$79,'Sensitivity and Presentation'!I29)</f>
        <v>Base Case</v>
      </c>
      <c r="K29" s="69">
        <f t="shared" si="1"/>
        <v>1</v>
      </c>
      <c r="L29" t="str">
        <f>INDEX('Amazon Assumptions'!$C$84:$C$87,'Sensitivity and Presentation'!K29)</f>
        <v>Base Case</v>
      </c>
      <c r="M29" s="69">
        <f t="shared" si="1"/>
        <v>1</v>
      </c>
      <c r="N29" t="str">
        <f>INDEX('Amazon Assumptions'!$C$92:$C$95,'Sensitivity and Presentation'!M29)</f>
        <v>Base Case</v>
      </c>
      <c r="S29" s="3">
        <v>19</v>
      </c>
      <c r="T29" s="3">
        <v>702.08692624500395</v>
      </c>
      <c r="U29" s="3">
        <v>1325.9881240985571</v>
      </c>
    </row>
    <row r="32" spans="2:21">
      <c r="D32" s="69" t="str">
        <f>INDEX(D11:D29,$F$1)</f>
        <v>R&amp;D Growth  Worst Case</v>
      </c>
      <c r="E32" s="69">
        <f>INDEX(E11:E29,$F$1)</f>
        <v>1</v>
      </c>
      <c r="F32" s="69" t="str">
        <f t="shared" ref="F32:R32" si="3">INDEX(F11:F29,$F$1)</f>
        <v>Base Case</v>
      </c>
      <c r="G32" s="69">
        <f t="shared" si="3"/>
        <v>1</v>
      </c>
      <c r="H32" s="69" t="str">
        <f t="shared" si="3"/>
        <v>Base Case</v>
      </c>
      <c r="I32" s="69">
        <f>INDEX(I11:I29,$F$1)</f>
        <v>3</v>
      </c>
      <c r="J32" s="69" t="str">
        <f t="shared" si="3"/>
        <v>Case 3 - Higher Spending</v>
      </c>
      <c r="K32" s="69">
        <f t="shared" si="3"/>
        <v>1</v>
      </c>
      <c r="L32" s="69" t="str">
        <f t="shared" si="3"/>
        <v>Base Case</v>
      </c>
      <c r="M32" s="69">
        <f>INDEX(M11:M29,$F$1)</f>
        <v>1</v>
      </c>
      <c r="N32" s="69" t="str">
        <f t="shared" si="3"/>
        <v>Base Case</v>
      </c>
      <c r="O32">
        <f t="shared" si="3"/>
        <v>0</v>
      </c>
      <c r="P32">
        <f t="shared" si="3"/>
        <v>0</v>
      </c>
      <c r="Q32">
        <f t="shared" si="3"/>
        <v>0</v>
      </c>
      <c r="R32">
        <f t="shared" si="3"/>
        <v>0</v>
      </c>
    </row>
    <row r="34" spans="4:8">
      <c r="F34" t="s">
        <v>483</v>
      </c>
      <c r="H34" t="s">
        <v>484</v>
      </c>
    </row>
    <row r="35" spans="4:8">
      <c r="D35" t="s">
        <v>435</v>
      </c>
      <c r="F35" s="3">
        <f>T14-$T$11</f>
        <v>252.49252756530075</v>
      </c>
      <c r="H35" s="3">
        <f>T22-$U$10</f>
        <v>-835.98451901387466</v>
      </c>
    </row>
    <row r="36" spans="4:8">
      <c r="D36" t="s">
        <v>146</v>
      </c>
      <c r="F36" s="3">
        <f t="shared" ref="F36:F39" si="4">T15-$T$11</f>
        <v>894.88189779598088</v>
      </c>
      <c r="H36" s="3">
        <f t="shared" ref="H36:H39" si="5">T23-$U$10</f>
        <v>-950.89050488126259</v>
      </c>
    </row>
    <row r="37" spans="4:8">
      <c r="D37" t="s">
        <v>147</v>
      </c>
      <c r="F37" s="3">
        <f t="shared" si="4"/>
        <v>161.7332305175911</v>
      </c>
      <c r="H37" s="3">
        <f t="shared" si="5"/>
        <v>-658.40073301143434</v>
      </c>
    </row>
    <row r="38" spans="4:8">
      <c r="D38" t="s">
        <v>439</v>
      </c>
      <c r="F38" s="3">
        <f t="shared" si="4"/>
        <v>485.19969155277113</v>
      </c>
      <c r="H38" s="3">
        <f t="shared" si="5"/>
        <v>-718.04238912418941</v>
      </c>
    </row>
    <row r="39" spans="4:8">
      <c r="D39" t="s">
        <v>440</v>
      </c>
      <c r="F39" s="3">
        <f t="shared" si="4"/>
        <v>735.31320088025791</v>
      </c>
      <c r="H39" s="3">
        <f t="shared" si="5"/>
        <v>-666.4673658384678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Drop Down 1">
              <controlPr defaultSize="0" autoLine="0" autoPict="0">
                <anchor moveWithCells="1">
                  <from>
                    <xdr:col>3</xdr:col>
                    <xdr:colOff>12700</xdr:colOff>
                    <xdr:row>1</xdr:row>
                    <xdr:rowOff>76200</xdr:rowOff>
                  </from>
                  <to>
                    <xdr:col>4</xdr:col>
                    <xdr:colOff>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B3:P13"/>
  <sheetViews>
    <sheetView zoomScale="90" zoomScaleNormal="90" workbookViewId="0">
      <selection activeCell="K4" sqref="K4"/>
    </sheetView>
  </sheetViews>
  <sheetFormatPr defaultRowHeight="14.5"/>
  <cols>
    <col min="1" max="3" width="1.36328125" customWidth="1"/>
    <col min="4" max="4" width="13" customWidth="1"/>
  </cols>
  <sheetData>
    <row r="3" spans="2:16">
      <c r="B3" t="s">
        <v>432</v>
      </c>
      <c r="F3">
        <v>10</v>
      </c>
    </row>
    <row r="6" spans="2:16">
      <c r="B6" t="s">
        <v>70</v>
      </c>
      <c r="F6">
        <f>'Amazon Assumptions'!I2</f>
        <v>2012</v>
      </c>
      <c r="G6">
        <f>'Amazon Assumptions'!J2</f>
        <v>2013</v>
      </c>
      <c r="H6">
        <f>'Amazon Assumptions'!K2</f>
        <v>2014</v>
      </c>
      <c r="I6">
        <f>'Amazon Assumptions'!L2</f>
        <v>2015</v>
      </c>
      <c r="J6">
        <f>'Amazon Assumptions'!M2</f>
        <v>2016</v>
      </c>
      <c r="K6">
        <f>'Amazon Assumptions'!N2</f>
        <v>2017</v>
      </c>
      <c r="L6">
        <f>'Amazon Assumptions'!O2</f>
        <v>2018</v>
      </c>
      <c r="M6">
        <f>'Amazon Assumptions'!P2</f>
        <v>2019</v>
      </c>
      <c r="N6">
        <f>'Amazon Assumptions'!Q2</f>
        <v>2020</v>
      </c>
      <c r="O6">
        <f>'Amazon Assumptions'!R2</f>
        <v>2021</v>
      </c>
      <c r="P6">
        <f>'Amazon Assumptions'!S2</f>
        <v>2022</v>
      </c>
    </row>
    <row r="7" spans="2:16">
      <c r="B7" t="s">
        <v>431</v>
      </c>
      <c r="F7" t="b">
        <f>'Amazon Assumptions'!I4</f>
        <v>1</v>
      </c>
      <c r="G7" t="b">
        <f>'Amazon Assumptions'!J4</f>
        <v>1</v>
      </c>
      <c r="H7" t="b">
        <f>'Amazon Assumptions'!K4</f>
        <v>1</v>
      </c>
      <c r="I7" t="b">
        <f>'Amazon Assumptions'!L4</f>
        <v>1</v>
      </c>
      <c r="J7" t="b">
        <f>'Amazon Assumptions'!M4</f>
        <v>1</v>
      </c>
      <c r="K7" t="b">
        <f>'Amazon Assumptions'!N4</f>
        <v>0</v>
      </c>
      <c r="L7" t="b">
        <f>'Amazon Assumptions'!O4</f>
        <v>0</v>
      </c>
      <c r="M7" t="b">
        <f>'Amazon Assumptions'!P4</f>
        <v>0</v>
      </c>
      <c r="N7" t="b">
        <f>'Amazon Assumptions'!Q4</f>
        <v>0</v>
      </c>
      <c r="O7" t="b">
        <f>'Amazon Assumptions'!R4</f>
        <v>0</v>
      </c>
      <c r="P7" t="b">
        <f>'Amazon Assumptions'!S4</f>
        <v>0</v>
      </c>
    </row>
    <row r="8" spans="2:16">
      <c r="F8">
        <f>F6</f>
        <v>2012</v>
      </c>
      <c r="G8">
        <f t="shared" ref="G8:P8" si="0">G6</f>
        <v>2013</v>
      </c>
      <c r="H8">
        <f t="shared" si="0"/>
        <v>2014</v>
      </c>
      <c r="I8">
        <f t="shared" si="0"/>
        <v>2015</v>
      </c>
      <c r="J8">
        <f t="shared" si="0"/>
        <v>2016</v>
      </c>
      <c r="K8">
        <f t="shared" si="0"/>
        <v>2017</v>
      </c>
      <c r="L8">
        <f t="shared" si="0"/>
        <v>2018</v>
      </c>
      <c r="M8">
        <f t="shared" si="0"/>
        <v>2019</v>
      </c>
      <c r="N8">
        <f t="shared" si="0"/>
        <v>2020</v>
      </c>
      <c r="O8">
        <f t="shared" si="0"/>
        <v>2021</v>
      </c>
      <c r="P8">
        <f t="shared" si="0"/>
        <v>2022</v>
      </c>
    </row>
    <row r="9" spans="2:16">
      <c r="B9" t="str">
        <f>INDEX('Amazon Assumptions'!C:C,'Forecast and Actual'!$F$3)</f>
        <v>COGS Percent</v>
      </c>
      <c r="F9" s="2">
        <f>INDEX('Amazon Assumptions'!I:I,'Forecast and Actual'!$F$3)</f>
        <v>0.72254051399574404</v>
      </c>
      <c r="G9" s="2">
        <f>INDEX('Amazon Assumptions'!J:J,'Forecast and Actual'!$F$3)</f>
        <v>0.69012760241772997</v>
      </c>
      <c r="H9" s="2">
        <f>INDEX('Amazon Assumptions'!K:K,'Forecast and Actual'!$F$3)</f>
        <v>0.65816383863355432</v>
      </c>
      <c r="I9" s="2">
        <f>INDEX('Amazon Assumptions'!L:L,'Forecast and Actual'!$F$3)</f>
        <v>0.61676478833753856</v>
      </c>
      <c r="J9" s="2">
        <f>INDEX('Amazon Assumptions'!M:M,'Forecast and Actual'!$F$3)</f>
        <v>0.59401426575483496</v>
      </c>
      <c r="K9" s="2">
        <f>INDEX('Amazon Assumptions'!N:N,'Forecast and Actual'!$F$3)</f>
        <v>0.58300346351110344</v>
      </c>
      <c r="L9" s="2">
        <f>INDEX('Amazon Assumptions'!O:O,'Forecast and Actual'!$F$3)</f>
        <v>0.61</v>
      </c>
      <c r="M9" s="2">
        <f>INDEX('Amazon Assumptions'!P:P,'Forecast and Actual'!$F$3)</f>
        <v>0.60235757282057845</v>
      </c>
      <c r="N9" s="2">
        <f>INDEX('Amazon Assumptions'!Q:Q,'Forecast and Actual'!$F$3)</f>
        <v>0.59481089431852208</v>
      </c>
      <c r="O9" s="2">
        <f>INDEX('Amazon Assumptions'!R:R,'Forecast and Actual'!$F$3)</f>
        <v>0.58735876489990568</v>
      </c>
      <c r="P9" s="2">
        <f>INDEX('Amazon Assumptions'!S:S,'Forecast and Actual'!$F$3)</f>
        <v>0.57999999999999996</v>
      </c>
    </row>
    <row r="11" spans="2:16">
      <c r="F11">
        <f>F8</f>
        <v>2012</v>
      </c>
      <c r="G11">
        <f t="shared" ref="G11:P11" si="1">G8</f>
        <v>2013</v>
      </c>
      <c r="H11">
        <f t="shared" si="1"/>
        <v>2014</v>
      </c>
      <c r="I11">
        <f t="shared" si="1"/>
        <v>2015</v>
      </c>
      <c r="J11">
        <f t="shared" si="1"/>
        <v>2016</v>
      </c>
      <c r="K11">
        <f t="shared" si="1"/>
        <v>2017</v>
      </c>
      <c r="L11">
        <f t="shared" si="1"/>
        <v>2018</v>
      </c>
      <c r="M11">
        <f t="shared" si="1"/>
        <v>2019</v>
      </c>
      <c r="N11">
        <f t="shared" si="1"/>
        <v>2020</v>
      </c>
      <c r="O11">
        <f t="shared" si="1"/>
        <v>2021</v>
      </c>
      <c r="P11">
        <f t="shared" si="1"/>
        <v>2022</v>
      </c>
    </row>
    <row r="12" spans="2:16">
      <c r="D12" t="s">
        <v>478</v>
      </c>
      <c r="F12" s="2">
        <f>IF(F7,F9)</f>
        <v>0.72254051399574404</v>
      </c>
      <c r="G12" s="2">
        <f t="shared" ref="G12:P12" si="2">IF(G7,G9)</f>
        <v>0.69012760241772997</v>
      </c>
      <c r="H12" s="2">
        <f t="shared" si="2"/>
        <v>0.65816383863355432</v>
      </c>
      <c r="I12" s="2">
        <f t="shared" si="2"/>
        <v>0.61676478833753856</v>
      </c>
      <c r="J12" s="2">
        <f t="shared" si="2"/>
        <v>0.59401426575483496</v>
      </c>
      <c r="K12" s="2" t="b">
        <f t="shared" si="2"/>
        <v>0</v>
      </c>
      <c r="L12" s="2" t="b">
        <f t="shared" si="2"/>
        <v>0</v>
      </c>
      <c r="M12" s="2" t="b">
        <f t="shared" si="2"/>
        <v>0</v>
      </c>
      <c r="N12" s="2" t="b">
        <f t="shared" si="2"/>
        <v>0</v>
      </c>
      <c r="O12" s="2" t="b">
        <f t="shared" si="2"/>
        <v>0</v>
      </c>
      <c r="P12" s="2" t="b">
        <f t="shared" si="2"/>
        <v>0</v>
      </c>
    </row>
    <row r="13" spans="2:16">
      <c r="D13" t="s">
        <v>479</v>
      </c>
      <c r="F13" s="2" t="b">
        <f>IF(NOT(F7),F9)</f>
        <v>0</v>
      </c>
      <c r="G13" s="2" t="b">
        <f t="shared" ref="G13:P13" si="3">IF(NOT(G7),G9)</f>
        <v>0</v>
      </c>
      <c r="H13" s="2" t="b">
        <f t="shared" si="3"/>
        <v>0</v>
      </c>
      <c r="I13" s="2" t="b">
        <f t="shared" si="3"/>
        <v>0</v>
      </c>
      <c r="J13" s="2" t="b">
        <f t="shared" si="3"/>
        <v>0</v>
      </c>
      <c r="K13" s="2">
        <f t="shared" si="3"/>
        <v>0.58300346351110344</v>
      </c>
      <c r="L13" s="2">
        <f t="shared" si="3"/>
        <v>0.61</v>
      </c>
      <c r="M13" s="2">
        <f t="shared" si="3"/>
        <v>0.60235757282057845</v>
      </c>
      <c r="N13" s="2">
        <f t="shared" si="3"/>
        <v>0.59481089431852208</v>
      </c>
      <c r="O13" s="2">
        <f t="shared" si="3"/>
        <v>0.58735876489990568</v>
      </c>
      <c r="P13" s="2">
        <f t="shared" si="3"/>
        <v>0.57999999999999996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Spinner 1">
              <controlPr defaultSize="0" autoPict="0">
                <anchor moveWithCells="1" sizeWithCells="1">
                  <from>
                    <xdr:col>6</xdr:col>
                    <xdr:colOff>171450</xdr:colOff>
                    <xdr:row>2</xdr:row>
                    <xdr:rowOff>0</xdr:rowOff>
                  </from>
                  <to>
                    <xdr:col>6</xdr:col>
                    <xdr:colOff>355600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Drop Down 2">
              <controlPr defaultSize="0" autoLine="0" autoPict="0">
                <anchor moveWithCells="1">
                  <from>
                    <xdr:col>7</xdr:col>
                    <xdr:colOff>133350</xdr:colOff>
                    <xdr:row>2</xdr:row>
                    <xdr:rowOff>6350</xdr:rowOff>
                  </from>
                  <to>
                    <xdr:col>9</xdr:col>
                    <xdr:colOff>171450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AA30"/>
  <sheetViews>
    <sheetView workbookViewId="0">
      <selection activeCell="A10" sqref="A10"/>
    </sheetView>
  </sheetViews>
  <sheetFormatPr defaultRowHeight="14.5"/>
  <cols>
    <col min="1" max="3" width="1" customWidth="1"/>
    <col min="4" max="4" width="37.453125" customWidth="1"/>
    <col min="5" max="5" width="14.1796875" bestFit="1" customWidth="1"/>
  </cols>
  <sheetData>
    <row r="1" spans="1:27">
      <c r="A1" t="s">
        <v>366</v>
      </c>
    </row>
    <row r="2" spans="1:27">
      <c r="B2" t="s">
        <v>49</v>
      </c>
      <c r="H2">
        <v>1</v>
      </c>
      <c r="I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  <c r="P2">
        <v>9</v>
      </c>
      <c r="Q2">
        <v>10</v>
      </c>
      <c r="R2">
        <v>11</v>
      </c>
      <c r="S2">
        <v>12</v>
      </c>
      <c r="T2">
        <v>13</v>
      </c>
      <c r="U2">
        <v>14</v>
      </c>
      <c r="V2">
        <v>15</v>
      </c>
      <c r="W2">
        <v>16</v>
      </c>
      <c r="X2">
        <v>17</v>
      </c>
      <c r="Y2">
        <v>18</v>
      </c>
      <c r="Z2">
        <v>19</v>
      </c>
      <c r="AA2">
        <v>20</v>
      </c>
    </row>
    <row r="3" spans="1:27">
      <c r="B3" t="s">
        <v>70</v>
      </c>
      <c r="H3">
        <f>E8</f>
        <v>2018</v>
      </c>
      <c r="I3">
        <f>H3+1</f>
        <v>2019</v>
      </c>
      <c r="J3">
        <f t="shared" ref="J3:AA3" si="0">I3+1</f>
        <v>2020</v>
      </c>
      <c r="K3">
        <f t="shared" si="0"/>
        <v>2021</v>
      </c>
      <c r="L3">
        <f t="shared" si="0"/>
        <v>2022</v>
      </c>
      <c r="M3">
        <f t="shared" si="0"/>
        <v>2023</v>
      </c>
      <c r="N3">
        <f t="shared" si="0"/>
        <v>2024</v>
      </c>
      <c r="O3">
        <f t="shared" si="0"/>
        <v>2025</v>
      </c>
      <c r="P3">
        <f t="shared" si="0"/>
        <v>2026</v>
      </c>
      <c r="Q3">
        <f t="shared" si="0"/>
        <v>2027</v>
      </c>
      <c r="R3">
        <f t="shared" si="0"/>
        <v>2028</v>
      </c>
      <c r="S3">
        <f t="shared" si="0"/>
        <v>2029</v>
      </c>
      <c r="T3">
        <f t="shared" si="0"/>
        <v>2030</v>
      </c>
      <c r="U3">
        <f t="shared" si="0"/>
        <v>2031</v>
      </c>
      <c r="V3">
        <f t="shared" si="0"/>
        <v>2032</v>
      </c>
      <c r="W3">
        <f t="shared" si="0"/>
        <v>2033</v>
      </c>
      <c r="X3">
        <f t="shared" si="0"/>
        <v>2034</v>
      </c>
      <c r="Y3">
        <f t="shared" si="0"/>
        <v>2035</v>
      </c>
      <c r="Z3">
        <f t="shared" si="0"/>
        <v>2036</v>
      </c>
      <c r="AA3">
        <f t="shared" si="0"/>
        <v>2037</v>
      </c>
    </row>
    <row r="4" spans="1:27">
      <c r="B4" t="s">
        <v>367</v>
      </c>
      <c r="F4">
        <f>E10</f>
        <v>2023</v>
      </c>
      <c r="H4" t="b">
        <f>H3&lt;=$F$4</f>
        <v>1</v>
      </c>
      <c r="I4" t="b">
        <f t="shared" ref="I4:AA4" si="1">I3&lt;=$F$4</f>
        <v>1</v>
      </c>
      <c r="J4" t="b">
        <f t="shared" si="1"/>
        <v>1</v>
      </c>
      <c r="K4" t="b">
        <f t="shared" si="1"/>
        <v>1</v>
      </c>
      <c r="L4" t="b">
        <f t="shared" si="1"/>
        <v>1</v>
      </c>
      <c r="M4" t="b">
        <f t="shared" si="1"/>
        <v>1</v>
      </c>
      <c r="N4" t="b">
        <f t="shared" si="1"/>
        <v>0</v>
      </c>
      <c r="O4" t="b">
        <f t="shared" si="1"/>
        <v>0</v>
      </c>
      <c r="P4" t="b">
        <f t="shared" si="1"/>
        <v>0</v>
      </c>
      <c r="Q4" t="b">
        <f t="shared" si="1"/>
        <v>0</v>
      </c>
      <c r="R4" t="b">
        <f t="shared" si="1"/>
        <v>0</v>
      </c>
      <c r="S4" t="b">
        <f t="shared" si="1"/>
        <v>0</v>
      </c>
      <c r="T4" t="b">
        <f t="shared" si="1"/>
        <v>0</v>
      </c>
      <c r="U4" t="b">
        <f t="shared" si="1"/>
        <v>0</v>
      </c>
      <c r="V4" t="b">
        <f t="shared" si="1"/>
        <v>0</v>
      </c>
      <c r="W4" t="b">
        <f t="shared" si="1"/>
        <v>0</v>
      </c>
      <c r="X4" t="b">
        <f t="shared" si="1"/>
        <v>0</v>
      </c>
      <c r="Y4" t="b">
        <f t="shared" si="1"/>
        <v>0</v>
      </c>
      <c r="Z4" t="b">
        <f t="shared" si="1"/>
        <v>0</v>
      </c>
      <c r="AA4" t="b">
        <f t="shared" si="1"/>
        <v>0</v>
      </c>
    </row>
    <row r="5" spans="1:27">
      <c r="B5" t="s">
        <v>368</v>
      </c>
      <c r="F5">
        <f>F4</f>
        <v>2023</v>
      </c>
      <c r="H5" t="b">
        <f>H3=$F$5</f>
        <v>0</v>
      </c>
      <c r="I5" t="b">
        <f t="shared" ref="I5:AA5" si="2">I3=$F$5</f>
        <v>0</v>
      </c>
      <c r="J5" t="b">
        <f t="shared" si="2"/>
        <v>0</v>
      </c>
      <c r="K5" t="b">
        <f t="shared" si="2"/>
        <v>0</v>
      </c>
      <c r="L5" t="b">
        <f t="shared" si="2"/>
        <v>0</v>
      </c>
      <c r="M5" t="b">
        <f t="shared" si="2"/>
        <v>1</v>
      </c>
      <c r="N5" t="b">
        <f t="shared" si="2"/>
        <v>0</v>
      </c>
      <c r="O5" t="b">
        <f t="shared" si="2"/>
        <v>0</v>
      </c>
      <c r="P5" t="b">
        <f t="shared" si="2"/>
        <v>0</v>
      </c>
      <c r="Q5" t="b">
        <f t="shared" si="2"/>
        <v>0</v>
      </c>
      <c r="R5" t="b">
        <f t="shared" si="2"/>
        <v>0</v>
      </c>
      <c r="S5" t="b">
        <f t="shared" si="2"/>
        <v>0</v>
      </c>
      <c r="T5" t="b">
        <f t="shared" si="2"/>
        <v>0</v>
      </c>
      <c r="U5" t="b">
        <f t="shared" si="2"/>
        <v>0</v>
      </c>
      <c r="V5" t="b">
        <f t="shared" si="2"/>
        <v>0</v>
      </c>
      <c r="W5" t="b">
        <f t="shared" si="2"/>
        <v>0</v>
      </c>
      <c r="X5" t="b">
        <f t="shared" si="2"/>
        <v>0</v>
      </c>
      <c r="Y5" t="b">
        <f t="shared" si="2"/>
        <v>0</v>
      </c>
      <c r="Z5" t="b">
        <f t="shared" si="2"/>
        <v>0</v>
      </c>
      <c r="AA5" t="b">
        <f t="shared" si="2"/>
        <v>0</v>
      </c>
    </row>
    <row r="7" spans="1:27">
      <c r="A7" t="s">
        <v>405</v>
      </c>
    </row>
    <row r="8" spans="1:27">
      <c r="B8" t="s">
        <v>406</v>
      </c>
      <c r="E8">
        <v>2018</v>
      </c>
    </row>
    <row r="9" spans="1:27">
      <c r="B9" t="s">
        <v>367</v>
      </c>
      <c r="E9">
        <v>5</v>
      </c>
    </row>
    <row r="10" spans="1:27">
      <c r="B10" t="s">
        <v>368</v>
      </c>
      <c r="E10">
        <f>E8+E9</f>
        <v>2023</v>
      </c>
    </row>
    <row r="12" spans="1:27">
      <c r="B12" t="s">
        <v>407</v>
      </c>
    </row>
    <row r="13" spans="1:27">
      <c r="C13" t="s">
        <v>408</v>
      </c>
      <c r="E13" s="3">
        <f>'Amazon Model'!G136</f>
        <v>1294.5</v>
      </c>
    </row>
    <row r="14" spans="1:27">
      <c r="C14" t="s">
        <v>409</v>
      </c>
      <c r="E14" s="1">
        <v>0.3</v>
      </c>
    </row>
    <row r="15" spans="1:27">
      <c r="C15" t="s">
        <v>410</v>
      </c>
      <c r="E15" s="3">
        <f>E13*(1+E14)</f>
        <v>1682.8500000000001</v>
      </c>
    </row>
    <row r="16" spans="1:27">
      <c r="C16" t="s">
        <v>1</v>
      </c>
      <c r="E16" s="4">
        <f>LOOKUP(E8,'Amazon Model'!4:4,'Amazon Model'!237:237)</f>
        <v>474000</v>
      </c>
    </row>
    <row r="17" spans="2:5">
      <c r="C17" t="s">
        <v>411</v>
      </c>
      <c r="E17" s="4">
        <f>E15*E16</f>
        <v>797670900.00000012</v>
      </c>
    </row>
    <row r="18" spans="2:5">
      <c r="E18" s="3"/>
    </row>
    <row r="19" spans="2:5">
      <c r="C19" t="s">
        <v>9</v>
      </c>
      <c r="E19" s="4">
        <f>LOOKUP(E8,'Amazon Model'!4:4,'Amazon Model'!324:324)</f>
        <v>3395196.2337037176</v>
      </c>
    </row>
    <row r="20" spans="2:5">
      <c r="C20" t="s">
        <v>303</v>
      </c>
      <c r="E20" s="3">
        <f>E17-E19</f>
        <v>794275703.76629639</v>
      </c>
    </row>
    <row r="21" spans="2:5">
      <c r="C21" t="s">
        <v>8</v>
      </c>
      <c r="E21" s="4">
        <f>LOOKUP(E8,'Amazon Model'!4:4,'Amazon Model'!245:245)</f>
        <v>18152815.953531034</v>
      </c>
    </row>
    <row r="22" spans="2:5">
      <c r="E22" s="3"/>
    </row>
    <row r="23" spans="2:5">
      <c r="C23" t="s">
        <v>412</v>
      </c>
      <c r="E23" s="3">
        <f>E20/E21</f>
        <v>43.754958227943476</v>
      </c>
    </row>
    <row r="25" spans="2:5">
      <c r="B25" t="s">
        <v>413</v>
      </c>
      <c r="E25" s="3">
        <v>20</v>
      </c>
    </row>
    <row r="26" spans="2:5">
      <c r="B26" t="s">
        <v>414</v>
      </c>
      <c r="E26" s="1">
        <v>0.3</v>
      </c>
    </row>
    <row r="28" spans="2:5">
      <c r="B28" t="s">
        <v>415</v>
      </c>
      <c r="E28" s="1">
        <v>0.6</v>
      </c>
    </row>
    <row r="29" spans="2:5">
      <c r="B29" t="s">
        <v>339</v>
      </c>
      <c r="E29" s="2">
        <v>4.4999999999999998E-2</v>
      </c>
    </row>
    <row r="30" spans="2:5">
      <c r="B30" t="s">
        <v>416</v>
      </c>
      <c r="E30">
        <v>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"/>
  <sheetViews>
    <sheetView workbookViewId="0">
      <selection activeCell="F9" sqref="F9"/>
    </sheetView>
  </sheetViews>
  <sheetFormatPr defaultRowHeight="14.5"/>
  <cols>
    <col min="1" max="3" width="1.816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40" baseType="lpstr">
      <vt:lpstr>Football Field Diagram</vt:lpstr>
      <vt:lpstr>Synergy Value and Premium</vt:lpstr>
      <vt:lpstr>Accretion and Dilution</vt:lpstr>
      <vt:lpstr>Simple PE Formula</vt:lpstr>
      <vt:lpstr>PE Ratio Changing Drivers</vt:lpstr>
      <vt:lpstr>EV to EBITDA</vt:lpstr>
      <vt:lpstr>L&amp;G</vt:lpstr>
      <vt:lpstr>AMZN</vt:lpstr>
      <vt:lpstr>S&amp;P 500</vt:lpstr>
      <vt:lpstr>Inflation and PE</vt:lpstr>
      <vt:lpstr>Simple Industrial</vt:lpstr>
      <vt:lpstr>Simple Bank</vt:lpstr>
      <vt:lpstr>Reserve Example Zero NPV</vt:lpstr>
      <vt:lpstr>Reserve Example Pos NPV</vt:lpstr>
      <vt:lpstr>Simple Insurance</vt:lpstr>
      <vt:lpstr>Aflac Financials</vt:lpstr>
      <vt:lpstr>Graph of Assumptions and ROE</vt:lpstr>
      <vt:lpstr>MB Regression</vt:lpstr>
      <vt:lpstr>Aflac DCF</vt:lpstr>
      <vt:lpstr>Amazon Assumptions</vt:lpstr>
      <vt:lpstr>Amazon Model</vt:lpstr>
      <vt:lpstr>Amazon DCF</vt:lpstr>
      <vt:lpstr>Sensitivity and Presentation</vt:lpstr>
      <vt:lpstr>Forecast and Actual</vt:lpstr>
      <vt:lpstr>Amazon LBO Value</vt:lpstr>
      <vt:lpstr>Model of Financial Company</vt:lpstr>
      <vt:lpstr>Tornado Diagram</vt:lpstr>
      <vt:lpstr>comment</vt:lpstr>
      <vt:lpstr>'PE Ratio Changing Drivers'!End_Col</vt:lpstr>
      <vt:lpstr>End_Col</vt:lpstr>
      <vt:lpstr>'PE Ratio Changing Drivers'!End_Row</vt:lpstr>
      <vt:lpstr>End_Row</vt:lpstr>
      <vt:lpstr>G</vt:lpstr>
      <vt:lpstr>'PE Ratio Changing Drivers'!PE</vt:lpstr>
      <vt:lpstr>PE</vt:lpstr>
      <vt:lpstr>ROI</vt:lpstr>
      <vt:lpstr>'PE Ratio Changing Drivers'!Start_Col</vt:lpstr>
      <vt:lpstr>Start_Col</vt:lpstr>
      <vt:lpstr>'PE Ratio Changing Drivers'!Start_Row</vt:lpstr>
      <vt:lpstr>Start_Row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Elvis Presley</dc:creator>
  <cp:keywords/>
  <dc:description/>
  <cp:lastModifiedBy>Stormy Daniels</cp:lastModifiedBy>
  <cp:revision/>
  <cp:lastPrinted>2018-01-28T20:29:25Z</cp:lastPrinted>
  <dcterms:created xsi:type="dcterms:W3CDTF">2018-01-13T12:23:00Z</dcterms:created>
  <dcterms:modified xsi:type="dcterms:W3CDTF">2018-02-22T02:57:31Z</dcterms:modified>
  <cp:category/>
  <cp:contentStatus/>
</cp:coreProperties>
</file>