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FE6237A5-E75C-4AA4-8A55-960F207CAA91}" xr6:coauthVersionLast="47" xr6:coauthVersionMax="47" xr10:uidLastSave="{00000000-0000-0000-0000-000000000000}"/>
  <bookViews>
    <workbookView xWindow="-120" yWindow="-120" windowWidth="20730" windowHeight="11040" activeTab="1" xr2:uid="{515D6C85-36C7-40AE-A3B3-0E51A53945E9}"/>
  </bookViews>
  <sheets>
    <sheet name="Planilha1" sheetId="2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Q32" i="3"/>
  <c r="Q31" i="3"/>
  <c r="P31" i="3"/>
  <c r="Q30" i="3"/>
  <c r="P30" i="3"/>
  <c r="O30" i="3"/>
  <c r="K26" i="3"/>
  <c r="K25" i="3"/>
  <c r="K24" i="3"/>
  <c r="K23" i="3"/>
  <c r="K12" i="3"/>
  <c r="K11" i="3"/>
  <c r="N16" i="3"/>
  <c r="N15" i="3"/>
  <c r="N14" i="3"/>
  <c r="N13" i="3"/>
  <c r="N12" i="3"/>
  <c r="N11" i="3"/>
  <c r="S15" i="3"/>
  <c r="R15" i="3"/>
  <c r="Q15" i="3"/>
  <c r="T14" i="3"/>
  <c r="S14" i="3"/>
  <c r="Q7" i="3"/>
  <c r="V7" i="3" s="1"/>
  <c r="H14" i="3"/>
  <c r="T15" i="3" s="1"/>
  <c r="H5" i="3"/>
  <c r="S13" i="3" s="1"/>
  <c r="S16" i="3" s="1"/>
  <c r="H6" i="3"/>
  <c r="T13" i="3" s="1"/>
  <c r="T16" i="3" s="1"/>
  <c r="H7" i="3"/>
  <c r="Q14" i="3" s="1"/>
  <c r="U14" i="3" s="1"/>
  <c r="H8" i="3"/>
  <c r="R14" i="3" s="1"/>
  <c r="H9" i="3"/>
  <c r="H10" i="3"/>
  <c r="H11" i="3"/>
  <c r="H12" i="3"/>
  <c r="H13" i="3"/>
  <c r="H4" i="3"/>
  <c r="R13" i="3" s="1"/>
  <c r="R16" i="3" s="1"/>
  <c r="H3" i="3"/>
  <c r="Q13" i="3" s="1"/>
  <c r="R5" i="3"/>
  <c r="V5" i="3" s="1"/>
  <c r="S5" i="3"/>
  <c r="T5" i="3"/>
  <c r="U5" i="3"/>
  <c r="R6" i="3"/>
  <c r="V6" i="3" s="1"/>
  <c r="S6" i="3"/>
  <c r="T6" i="3"/>
  <c r="U6" i="3"/>
  <c r="R7" i="3"/>
  <c r="S7" i="3"/>
  <c r="T7" i="3"/>
  <c r="U7" i="3"/>
  <c r="Q6" i="3"/>
  <c r="Q5" i="3"/>
  <c r="K6" i="3"/>
  <c r="K8" i="3" s="1"/>
  <c r="K4" i="3"/>
  <c r="K5" i="3"/>
  <c r="K3" i="3"/>
  <c r="K7" i="3" s="1"/>
  <c r="K9" i="3"/>
  <c r="T56" i="2"/>
  <c r="P56" i="2"/>
  <c r="M52" i="2"/>
  <c r="U48" i="2"/>
  <c r="U47" i="2"/>
  <c r="U46" i="2"/>
  <c r="T48" i="2"/>
  <c r="S48" i="2"/>
  <c r="T46" i="2"/>
  <c r="T47" i="2"/>
  <c r="S47" i="2"/>
  <c r="S46" i="2"/>
  <c r="M47" i="2"/>
  <c r="M44" i="2"/>
  <c r="V32" i="2"/>
  <c r="V31" i="2"/>
  <c r="U32" i="2"/>
  <c r="U31" i="2"/>
  <c r="T32" i="2"/>
  <c r="T31" i="2"/>
  <c r="P32" i="2"/>
  <c r="P31" i="2"/>
  <c r="O32" i="2"/>
  <c r="O31" i="2"/>
  <c r="N32" i="2"/>
  <c r="N31" i="2"/>
  <c r="O27" i="2"/>
  <c r="O26" i="2"/>
  <c r="P21" i="2"/>
  <c r="P20" i="2"/>
  <c r="P19" i="2"/>
  <c r="P18" i="2"/>
  <c r="P17" i="2"/>
  <c r="P16" i="2"/>
  <c r="P15" i="2"/>
  <c r="O17" i="2"/>
  <c r="O18" i="2"/>
  <c r="O19" i="2"/>
  <c r="O20" i="2"/>
  <c r="O21" i="2"/>
  <c r="O16" i="2"/>
  <c r="O15" i="2"/>
  <c r="N21" i="2"/>
  <c r="N20" i="2"/>
  <c r="N19" i="2"/>
  <c r="N18" i="2"/>
  <c r="N17" i="2"/>
  <c r="N16" i="2"/>
  <c r="N15" i="2"/>
  <c r="I31" i="2"/>
  <c r="J31" i="2" s="1"/>
  <c r="H31" i="2"/>
  <c r="I30" i="2"/>
  <c r="H30" i="2"/>
  <c r="I24" i="2"/>
  <c r="I25" i="2" s="1"/>
  <c r="H24" i="2"/>
  <c r="I23" i="2"/>
  <c r="H23" i="2"/>
  <c r="H25" i="2"/>
  <c r="I17" i="2"/>
  <c r="H17" i="2"/>
  <c r="I16" i="2"/>
  <c r="I18" i="2" s="1"/>
  <c r="H16" i="2"/>
  <c r="H18" i="2" s="1"/>
  <c r="J17" i="2"/>
  <c r="J16" i="2"/>
  <c r="K11" i="2"/>
  <c r="D19" i="2"/>
  <c r="D18" i="2"/>
  <c r="E14" i="2"/>
  <c r="D15" i="2"/>
  <c r="D14" i="2"/>
  <c r="C15" i="2"/>
  <c r="C14" i="2"/>
  <c r="C16" i="2"/>
  <c r="B15" i="2"/>
  <c r="B14" i="2"/>
  <c r="B16" i="2"/>
  <c r="J11" i="2"/>
  <c r="I11" i="2"/>
  <c r="V8" i="3" l="1"/>
  <c r="U15" i="3"/>
  <c r="U13" i="3"/>
  <c r="Q16" i="3"/>
  <c r="L6" i="3" s="1"/>
  <c r="M6" i="3" s="1"/>
  <c r="H15" i="3"/>
  <c r="B18" i="3" s="1"/>
  <c r="B19" i="3"/>
  <c r="L9" i="3" s="1"/>
  <c r="J24" i="2"/>
  <c r="H32" i="2"/>
  <c r="I32" i="2"/>
  <c r="J30" i="2"/>
  <c r="J32" i="2" s="1"/>
  <c r="J23" i="2"/>
  <c r="J18" i="2"/>
  <c r="L5" i="3" l="1"/>
  <c r="L3" i="3"/>
  <c r="M3" i="3" s="1"/>
  <c r="J25" i="2"/>
  <c r="L7" i="3" l="1"/>
  <c r="L4" i="3"/>
  <c r="M4" i="3" s="1"/>
  <c r="N3" i="3" s="1"/>
  <c r="M7" i="3" l="1"/>
  <c r="L8" i="3"/>
  <c r="M8" i="3" s="1"/>
  <c r="U16" i="3"/>
  <c r="K19" i="3" l="1"/>
  <c r="N6" i="3"/>
  <c r="N7" i="3"/>
</calcChain>
</file>

<file path=xl/sharedStrings.xml><?xml version="1.0" encoding="utf-8"?>
<sst xmlns="http://schemas.openxmlformats.org/spreadsheetml/2006/main" count="240" uniqueCount="95">
  <si>
    <t>Tratamentos</t>
  </si>
  <si>
    <t>FV</t>
  </si>
  <si>
    <t>GL</t>
  </si>
  <si>
    <t>SQ</t>
  </si>
  <si>
    <t>QM</t>
  </si>
  <si>
    <t>F</t>
  </si>
  <si>
    <t>Total</t>
  </si>
  <si>
    <t>CV</t>
  </si>
  <si>
    <t>C</t>
  </si>
  <si>
    <t>**</t>
  </si>
  <si>
    <t>*</t>
  </si>
  <si>
    <t>Média</t>
  </si>
  <si>
    <t>Tukey</t>
  </si>
  <si>
    <t>s(m)</t>
  </si>
  <si>
    <t>r=4</t>
  </si>
  <si>
    <t>Rep.1</t>
  </si>
  <si>
    <t>Rep.2</t>
  </si>
  <si>
    <t>Rep.3</t>
  </si>
  <si>
    <t>Rep.4</t>
  </si>
  <si>
    <t>T</t>
  </si>
  <si>
    <t>P</t>
  </si>
  <si>
    <t>TR</t>
  </si>
  <si>
    <t>R</t>
  </si>
  <si>
    <t>F(7 x 24)</t>
  </si>
  <si>
    <t>Tabela FxT (AXB)</t>
  </si>
  <si>
    <t>a=2</t>
  </si>
  <si>
    <t>b=2</t>
  </si>
  <si>
    <t>c=2</t>
  </si>
  <si>
    <t>(r.c) = 8</t>
  </si>
  <si>
    <t>Tabela FxP (AXC)</t>
  </si>
  <si>
    <t>Tabela TxP (BXC)</t>
  </si>
  <si>
    <t>(r.b) = 8</t>
  </si>
  <si>
    <t>(r.a) = 8</t>
  </si>
  <si>
    <t>FxT</t>
  </si>
  <si>
    <t>FxP</t>
  </si>
  <si>
    <t>TxP</t>
  </si>
  <si>
    <t>FxTxP</t>
  </si>
  <si>
    <t>F( x 24)</t>
  </si>
  <si>
    <t>Desdobrando F dentro de P</t>
  </si>
  <si>
    <t>Quadro da Análise de Variância Fatorial</t>
  </si>
  <si>
    <t>F:P1</t>
  </si>
  <si>
    <t>F:P0</t>
  </si>
  <si>
    <t>Desdobrando P dentro de F</t>
  </si>
  <si>
    <t>P:F0</t>
  </si>
  <si>
    <t>P:F1</t>
  </si>
  <si>
    <t>Teste de Tukey</t>
  </si>
  <si>
    <t>Erro Padrão da Média para médias dos efeitos Principais</t>
  </si>
  <si>
    <t>Erro Padrão da Média para médias dos efeitos Simples</t>
  </si>
  <si>
    <t>DMS</t>
  </si>
  <si>
    <t>Cálculo da DMS</t>
  </si>
  <si>
    <t>q(2x24)</t>
  </si>
  <si>
    <t>P0</t>
  </si>
  <si>
    <t>F0</t>
  </si>
  <si>
    <t>F1</t>
  </si>
  <si>
    <t>Contraste</t>
  </si>
  <si>
    <t>a</t>
  </si>
  <si>
    <t>b</t>
  </si>
  <si>
    <t>P1</t>
  </si>
  <si>
    <t>bB</t>
  </si>
  <si>
    <t>aA</t>
  </si>
  <si>
    <t>Médias seguidas pela mesma letra, minúsculas nas colunas</t>
  </si>
  <si>
    <t>e maiúsculas nas linhas, não diferem entre sim pelo teste de Tukey</t>
  </si>
  <si>
    <t>ao nível de 5% de significância.</t>
  </si>
  <si>
    <t>I1</t>
  </si>
  <si>
    <t>I2</t>
  </si>
  <si>
    <t>I3</t>
  </si>
  <si>
    <t>Irrigação</t>
  </si>
  <si>
    <t>Adubação</t>
  </si>
  <si>
    <t>A1</t>
  </si>
  <si>
    <t>A2</t>
  </si>
  <si>
    <t>A3</t>
  </si>
  <si>
    <t>A4</t>
  </si>
  <si>
    <t>Rep</t>
  </si>
  <si>
    <t>TOTAL</t>
  </si>
  <si>
    <t>r</t>
  </si>
  <si>
    <t>média</t>
  </si>
  <si>
    <t>A</t>
  </si>
  <si>
    <t>Ra</t>
  </si>
  <si>
    <t>Parcela</t>
  </si>
  <si>
    <t>B</t>
  </si>
  <si>
    <t>AxB</t>
  </si>
  <si>
    <t>Rb</t>
  </si>
  <si>
    <t>Total de Parcelas</t>
  </si>
  <si>
    <t>Irigação</t>
  </si>
  <si>
    <t>b=4</t>
  </si>
  <si>
    <t>Total AxB</t>
  </si>
  <si>
    <t>r=5</t>
  </si>
  <si>
    <t>Fc(2x12)</t>
  </si>
  <si>
    <t>Fc(3x36)</t>
  </si>
  <si>
    <t>Fc(6x36)</t>
  </si>
  <si>
    <t>s(mb)</t>
  </si>
  <si>
    <t xml:space="preserve">CVb </t>
  </si>
  <si>
    <t xml:space="preserve">CVa  </t>
  </si>
  <si>
    <t>q(4x36)</t>
  </si>
  <si>
    <t>Matriz de contrastes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</si>
</sst>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0" xfId="0" applyFont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1" fillId="0" borderId="1" xfId="0" applyFont="1" applyBorder="1"/>
    <xf numFmtId="0" fontId="0" fillId="0" borderId="11" xfId="0" applyBorder="1"/>
    <xf numFmtId="0" fontId="0" fillId="0" borderId="5" xfId="0" applyBorder="1"/>
    <xf numFmtId="0" fontId="1" fillId="0" borderId="2" xfId="0" applyFont="1" applyBorder="1"/>
    <xf numFmtId="0" fontId="1" fillId="0" borderId="3" xfId="0" applyFont="1" applyBorder="1"/>
    <xf numFmtId="0" fontId="0" fillId="0" borderId="15" xfId="0" applyBorder="1"/>
    <xf numFmtId="0" fontId="0" fillId="0" borderId="12" xfId="0" applyBorder="1"/>
    <xf numFmtId="0" fontId="1" fillId="0" borderId="4" xfId="0" applyFont="1" applyBorder="1"/>
    <xf numFmtId="0" fontId="1" fillId="0" borderId="11" xfId="0" applyFont="1" applyBorder="1"/>
    <xf numFmtId="9" fontId="0" fillId="0" borderId="0" xfId="0" applyNumberFormat="1"/>
    <xf numFmtId="0" fontId="0" fillId="0" borderId="7" xfId="0" applyBorder="1"/>
    <xf numFmtId="0" fontId="0" fillId="0" borderId="13" xfId="0" applyBorder="1"/>
    <xf numFmtId="0" fontId="0" fillId="0" borderId="14" xfId="0" applyBorder="1"/>
    <xf numFmtId="2" fontId="0" fillId="0" borderId="3" xfId="0" applyNumberFormat="1" applyBorder="1"/>
    <xf numFmtId="0" fontId="1" fillId="0" borderId="6" xfId="0" applyFon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" xfId="0" applyFill="1" applyBorder="1"/>
    <xf numFmtId="0" fontId="1" fillId="0" borderId="0" xfId="0" applyFont="1" applyFill="1" applyBorder="1"/>
    <xf numFmtId="9" fontId="0" fillId="0" borderId="10" xfId="0" applyNumberFormat="1" applyBorder="1"/>
    <xf numFmtId="2" fontId="0" fillId="0" borderId="7" xfId="0" applyNumberFormat="1" applyBorder="1"/>
    <xf numFmtId="9" fontId="0" fillId="0" borderId="11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0D1E-5AD5-43CD-89F3-81092AA66D3F}">
  <dimension ref="A1:W65"/>
  <sheetViews>
    <sheetView zoomScale="115" zoomScaleNormal="115" workbookViewId="0">
      <selection activeCell="A13" sqref="A13:E16"/>
    </sheetView>
  </sheetViews>
  <sheetFormatPr defaultRowHeight="15" x14ac:dyDescent="0.25"/>
  <cols>
    <col min="1" max="3" width="8" customWidth="1"/>
  </cols>
  <sheetData>
    <row r="1" spans="1:17" x14ac:dyDescent="0.25">
      <c r="A1" s="32" t="s">
        <v>0</v>
      </c>
      <c r="B1" s="33"/>
      <c r="C1" s="33"/>
      <c r="D1" s="34" t="s">
        <v>15</v>
      </c>
      <c r="E1" s="34" t="s">
        <v>16</v>
      </c>
      <c r="F1" s="34" t="s">
        <v>17</v>
      </c>
      <c r="G1" s="34" t="s">
        <v>18</v>
      </c>
      <c r="H1" s="36" t="s">
        <v>6</v>
      </c>
    </row>
    <row r="2" spans="1:17" ht="15.75" thickBot="1" x14ac:dyDescent="0.3">
      <c r="A2" s="18" t="s">
        <v>5</v>
      </c>
      <c r="B2" s="19" t="s">
        <v>19</v>
      </c>
      <c r="C2" s="19" t="s">
        <v>20</v>
      </c>
      <c r="D2" s="35"/>
      <c r="E2" s="35"/>
      <c r="F2" s="35"/>
      <c r="G2" s="35"/>
      <c r="H2" s="37"/>
    </row>
    <row r="3" spans="1:17" x14ac:dyDescent="0.25">
      <c r="A3">
        <v>0</v>
      </c>
      <c r="B3">
        <v>0</v>
      </c>
      <c r="C3">
        <v>0</v>
      </c>
      <c r="D3">
        <v>321</v>
      </c>
      <c r="E3">
        <v>328</v>
      </c>
      <c r="F3">
        <v>274</v>
      </c>
      <c r="G3">
        <v>292</v>
      </c>
      <c r="H3" s="16">
        <v>1215</v>
      </c>
      <c r="I3" t="s">
        <v>25</v>
      </c>
    </row>
    <row r="4" spans="1:17" x14ac:dyDescent="0.25">
      <c r="A4">
        <v>0</v>
      </c>
      <c r="B4">
        <v>0</v>
      </c>
      <c r="C4">
        <v>1</v>
      </c>
      <c r="D4">
        <v>351</v>
      </c>
      <c r="E4">
        <v>268</v>
      </c>
      <c r="F4">
        <v>314</v>
      </c>
      <c r="G4">
        <v>346</v>
      </c>
      <c r="H4" s="16">
        <v>1279</v>
      </c>
      <c r="I4" t="s">
        <v>26</v>
      </c>
    </row>
    <row r="5" spans="1:17" x14ac:dyDescent="0.25">
      <c r="A5">
        <v>0</v>
      </c>
      <c r="B5">
        <v>1</v>
      </c>
      <c r="C5">
        <v>0</v>
      </c>
      <c r="D5">
        <v>225</v>
      </c>
      <c r="E5">
        <v>201</v>
      </c>
      <c r="F5">
        <v>177</v>
      </c>
      <c r="G5">
        <v>153</v>
      </c>
      <c r="H5" s="16">
        <v>756</v>
      </c>
      <c r="I5" t="s">
        <v>27</v>
      </c>
    </row>
    <row r="6" spans="1:17" x14ac:dyDescent="0.25">
      <c r="A6">
        <v>0</v>
      </c>
      <c r="B6">
        <v>1</v>
      </c>
      <c r="C6">
        <v>1</v>
      </c>
      <c r="D6">
        <v>284</v>
      </c>
      <c r="E6">
        <v>260</v>
      </c>
      <c r="F6">
        <v>340</v>
      </c>
      <c r="G6">
        <v>267</v>
      </c>
      <c r="H6" s="16">
        <v>1151</v>
      </c>
      <c r="I6" t="s">
        <v>14</v>
      </c>
    </row>
    <row r="7" spans="1:17" x14ac:dyDescent="0.25">
      <c r="A7">
        <v>1</v>
      </c>
      <c r="B7">
        <v>0</v>
      </c>
      <c r="C7">
        <v>0</v>
      </c>
      <c r="D7">
        <v>368</v>
      </c>
      <c r="E7">
        <v>300</v>
      </c>
      <c r="F7">
        <v>319</v>
      </c>
      <c r="G7">
        <v>325</v>
      </c>
      <c r="H7" s="16">
        <v>1312</v>
      </c>
    </row>
    <row r="8" spans="1:17" x14ac:dyDescent="0.25">
      <c r="A8">
        <v>1</v>
      </c>
      <c r="B8">
        <v>0</v>
      </c>
      <c r="C8">
        <v>1</v>
      </c>
      <c r="D8">
        <v>332</v>
      </c>
      <c r="E8">
        <v>392</v>
      </c>
      <c r="F8">
        <v>314</v>
      </c>
      <c r="G8">
        <v>314</v>
      </c>
      <c r="H8" s="16">
        <v>1352</v>
      </c>
    </row>
    <row r="9" spans="1:17" x14ac:dyDescent="0.25">
      <c r="A9">
        <v>1</v>
      </c>
      <c r="B9">
        <v>1</v>
      </c>
      <c r="C9">
        <v>0</v>
      </c>
      <c r="D9">
        <v>254</v>
      </c>
      <c r="E9">
        <v>268</v>
      </c>
      <c r="F9">
        <v>352</v>
      </c>
      <c r="G9">
        <v>304</v>
      </c>
      <c r="H9" s="16">
        <v>1178</v>
      </c>
    </row>
    <row r="10" spans="1:17" ht="15.75" thickBot="1" x14ac:dyDescent="0.3">
      <c r="A10">
        <v>1</v>
      </c>
      <c r="B10">
        <v>1</v>
      </c>
      <c r="C10">
        <v>1</v>
      </c>
      <c r="D10">
        <v>254</v>
      </c>
      <c r="E10">
        <v>179</v>
      </c>
      <c r="F10">
        <v>328</v>
      </c>
      <c r="G10">
        <v>336</v>
      </c>
      <c r="H10" s="16">
        <v>1097</v>
      </c>
      <c r="I10" t="s">
        <v>11</v>
      </c>
      <c r="J10" t="s">
        <v>8</v>
      </c>
      <c r="K10" t="s">
        <v>7</v>
      </c>
    </row>
    <row r="11" spans="1:17" ht="15.75" thickBot="1" x14ac:dyDescent="0.3">
      <c r="A11" s="29"/>
      <c r="B11" s="30"/>
      <c r="C11" s="30"/>
      <c r="D11" s="3"/>
      <c r="E11" s="3"/>
      <c r="F11" s="3"/>
      <c r="G11" s="3"/>
      <c r="H11" s="17">
        <v>9340</v>
      </c>
      <c r="I11">
        <f>H11/2/2/2/4</f>
        <v>291.875</v>
      </c>
      <c r="J11">
        <f>H11*H11/32</f>
        <v>2726112.5</v>
      </c>
      <c r="K11" s="1">
        <f>100*SQRT(D15)/I11</f>
        <v>14.266149674385924</v>
      </c>
    </row>
    <row r="12" spans="1:17" ht="15.75" thickBot="1" x14ac:dyDescent="0.3"/>
    <row r="13" spans="1:17" ht="15.75" thickBot="1" x14ac:dyDescent="0.3">
      <c r="A13" s="11" t="s">
        <v>1</v>
      </c>
      <c r="B13" s="14" t="s">
        <v>2</v>
      </c>
      <c r="C13" s="14" t="s">
        <v>3</v>
      </c>
      <c r="D13" s="14" t="s">
        <v>4</v>
      </c>
      <c r="E13" s="15" t="s">
        <v>5</v>
      </c>
      <c r="G13" s="6" t="s">
        <v>24</v>
      </c>
      <c r="L13" s="6" t="s">
        <v>39</v>
      </c>
    </row>
    <row r="14" spans="1:17" ht="15.75" thickBot="1" x14ac:dyDescent="0.3">
      <c r="A14" s="7" t="s">
        <v>21</v>
      </c>
      <c r="B14">
        <f>2*2*2-1</f>
        <v>7</v>
      </c>
      <c r="C14">
        <f>SUMSQ(H3:H10)/4-J11</f>
        <v>61073.5</v>
      </c>
      <c r="D14">
        <f>C14/B14</f>
        <v>8724.7857142857138</v>
      </c>
      <c r="E14" s="9">
        <f>D14/D15</f>
        <v>5.0320786586286923</v>
      </c>
      <c r="F14" t="s">
        <v>9</v>
      </c>
      <c r="G14" s="22" t="s">
        <v>28</v>
      </c>
      <c r="H14" s="26" t="s">
        <v>19</v>
      </c>
      <c r="I14" s="26"/>
      <c r="J14" s="27" t="s">
        <v>6</v>
      </c>
      <c r="L14" s="11" t="s">
        <v>1</v>
      </c>
      <c r="M14" s="14" t="s">
        <v>2</v>
      </c>
      <c r="N14" s="14" t="s">
        <v>3</v>
      </c>
      <c r="O14" s="14" t="s">
        <v>4</v>
      </c>
      <c r="P14" s="15" t="s">
        <v>5</v>
      </c>
    </row>
    <row r="15" spans="1:17" ht="15.75" thickBot="1" x14ac:dyDescent="0.3">
      <c r="A15" s="7" t="s">
        <v>22</v>
      </c>
      <c r="B15">
        <f>2*2*2*(4-1)</f>
        <v>24</v>
      </c>
      <c r="C15">
        <f>C16-C14</f>
        <v>41612</v>
      </c>
      <c r="D15">
        <f>C15/B15</f>
        <v>1733.8333333333333</v>
      </c>
      <c r="E15" s="8"/>
      <c r="G15" s="23" t="s">
        <v>5</v>
      </c>
      <c r="H15" s="12">
        <v>0</v>
      </c>
      <c r="I15" s="12">
        <v>1</v>
      </c>
      <c r="J15" s="28"/>
      <c r="L15" t="s">
        <v>5</v>
      </c>
      <c r="M15">
        <v>1</v>
      </c>
      <c r="N15">
        <f>SUMSQ(J16:J17)/4/2/2-J11</f>
        <v>9045.125</v>
      </c>
      <c r="O15">
        <f>N15/M15</f>
        <v>9045.125</v>
      </c>
      <c r="P15" s="1">
        <f t="shared" ref="P15:P21" si="0">O15/$O$23</f>
        <v>5.2168364894741908</v>
      </c>
      <c r="Q15" t="s">
        <v>10</v>
      </c>
    </row>
    <row r="16" spans="1:17" ht="15.75" thickBot="1" x14ac:dyDescent="0.3">
      <c r="A16" s="2" t="s">
        <v>19</v>
      </c>
      <c r="B16" s="3">
        <f>2*2*2*4-1</f>
        <v>31</v>
      </c>
      <c r="C16" s="3">
        <f>SUMSQ(D3:G10)-J11</f>
        <v>102685.5</v>
      </c>
      <c r="D16" s="3"/>
      <c r="E16" s="4"/>
      <c r="G16" s="16">
        <v>0</v>
      </c>
      <c r="H16">
        <f>H3+H4</f>
        <v>2494</v>
      </c>
      <c r="I16">
        <f>H5+H6</f>
        <v>1907</v>
      </c>
      <c r="J16" s="16">
        <f>SUM(H16:I16)</f>
        <v>4401</v>
      </c>
      <c r="L16" t="s">
        <v>19</v>
      </c>
      <c r="M16">
        <v>1</v>
      </c>
      <c r="N16">
        <f>SUMSQ(H18:I18)/4/2/2-J11</f>
        <v>29768</v>
      </c>
      <c r="O16">
        <f>N16/M16</f>
        <v>29768</v>
      </c>
      <c r="P16" s="1">
        <f t="shared" si="0"/>
        <v>17.168893588387967</v>
      </c>
      <c r="Q16" t="s">
        <v>9</v>
      </c>
    </row>
    <row r="17" spans="2:23" ht="15.75" thickBot="1" x14ac:dyDescent="0.3">
      <c r="G17" s="16">
        <v>1</v>
      </c>
      <c r="H17">
        <f>H7+H8</f>
        <v>2664</v>
      </c>
      <c r="I17">
        <f>H9+H10</f>
        <v>2275</v>
      </c>
      <c r="J17" s="16">
        <f>SUM(H17:I17)</f>
        <v>4939</v>
      </c>
      <c r="L17" t="s">
        <v>20</v>
      </c>
      <c r="M17">
        <v>1</v>
      </c>
      <c r="N17">
        <f>SUMSQ(H25:I25)/4/2/2-J11</f>
        <v>5460.125</v>
      </c>
      <c r="O17">
        <f t="shared" ref="O17:O21" si="1">N17/M17</f>
        <v>5460.125</v>
      </c>
      <c r="P17" s="1">
        <f t="shared" si="0"/>
        <v>3.1491637027780448</v>
      </c>
    </row>
    <row r="18" spans="2:23" ht="15.75" thickBot="1" x14ac:dyDescent="0.3">
      <c r="B18" t="s">
        <v>23</v>
      </c>
      <c r="C18" s="20">
        <v>0.05</v>
      </c>
      <c r="D18" s="1">
        <f>_xlfn.F.INV(1-C18,$B$14,$B$15)</f>
        <v>2.4226285334209159</v>
      </c>
      <c r="G18" s="17" t="s">
        <v>6</v>
      </c>
      <c r="H18" s="3">
        <f>SUM(H16:H17)</f>
        <v>5158</v>
      </c>
      <c r="I18" s="3">
        <f>SUM(I16:I17)</f>
        <v>4182</v>
      </c>
      <c r="J18" s="17">
        <f>SUM(J16:J17)</f>
        <v>9340</v>
      </c>
      <c r="L18" t="s">
        <v>33</v>
      </c>
      <c r="M18">
        <v>1</v>
      </c>
      <c r="N18">
        <f>SUMSQ(H16:I17)/4/2-J11-N15-N16</f>
        <v>1225.125</v>
      </c>
      <c r="O18">
        <f t="shared" si="1"/>
        <v>1225.125</v>
      </c>
      <c r="P18" s="1">
        <f t="shared" si="0"/>
        <v>0.70659905796404887</v>
      </c>
    </row>
    <row r="19" spans="2:23" x14ac:dyDescent="0.25">
      <c r="C19" s="20">
        <v>0.01</v>
      </c>
      <c r="D19" s="1">
        <f>_xlfn.F.INV(1-C19,$B$14,$B$15)</f>
        <v>3.4959275204932747</v>
      </c>
      <c r="L19" t="s">
        <v>34</v>
      </c>
      <c r="M19">
        <v>1</v>
      </c>
      <c r="N19">
        <f>SUMSQ(H23:I24)/4/2-J11-N15-N17</f>
        <v>7812.5</v>
      </c>
      <c r="O19">
        <f t="shared" si="1"/>
        <v>7812.5</v>
      </c>
      <c r="P19" s="1">
        <f t="shared" si="0"/>
        <v>4.5059117562241662</v>
      </c>
      <c r="Q19" t="s">
        <v>10</v>
      </c>
    </row>
    <row r="20" spans="2:23" ht="15.75" thickBot="1" x14ac:dyDescent="0.3">
      <c r="G20" s="6" t="s">
        <v>29</v>
      </c>
      <c r="L20" t="s">
        <v>35</v>
      </c>
      <c r="M20">
        <v>1</v>
      </c>
      <c r="N20">
        <f>SUMSQ(H30:I31)/4/2-J11-N16-N17</f>
        <v>1378.125</v>
      </c>
      <c r="O20">
        <f t="shared" si="1"/>
        <v>1378.125</v>
      </c>
      <c r="P20" s="1">
        <f t="shared" si="0"/>
        <v>0.79484283379794296</v>
      </c>
    </row>
    <row r="21" spans="2:23" ht="15.75" thickBot="1" x14ac:dyDescent="0.3">
      <c r="G21" s="22" t="s">
        <v>31</v>
      </c>
      <c r="H21" s="26" t="s">
        <v>20</v>
      </c>
      <c r="I21" s="26"/>
      <c r="J21" s="27" t="s">
        <v>6</v>
      </c>
      <c r="L21" t="s">
        <v>36</v>
      </c>
      <c r="M21">
        <v>1</v>
      </c>
      <c r="N21">
        <f>N22-SUM(N15:N20)</f>
        <v>6384.5</v>
      </c>
      <c r="O21">
        <f t="shared" si="1"/>
        <v>6384.5</v>
      </c>
      <c r="P21" s="1">
        <f t="shared" si="0"/>
        <v>3.6823031817744885</v>
      </c>
    </row>
    <row r="22" spans="2:23" ht="15.75" thickBot="1" x14ac:dyDescent="0.3">
      <c r="G22" s="23" t="s">
        <v>5</v>
      </c>
      <c r="H22" s="12">
        <v>0</v>
      </c>
      <c r="I22" s="12">
        <v>1</v>
      </c>
      <c r="J22" s="28"/>
      <c r="L22" s="2" t="s">
        <v>21</v>
      </c>
      <c r="M22" s="3">
        <v>7</v>
      </c>
      <c r="N22" s="3">
        <v>61073.5</v>
      </c>
      <c r="O22" s="3">
        <v>8724.7857142857138</v>
      </c>
      <c r="P22" s="24">
        <v>5.0320786586286923</v>
      </c>
    </row>
    <row r="23" spans="2:23" ht="15.75" thickBot="1" x14ac:dyDescent="0.3">
      <c r="G23" s="16">
        <v>0</v>
      </c>
      <c r="H23">
        <f>H3+H5</f>
        <v>1971</v>
      </c>
      <c r="I23">
        <f>H4+H6</f>
        <v>2430</v>
      </c>
      <c r="J23" s="16">
        <f>SUM(H23:I23)</f>
        <v>4401</v>
      </c>
      <c r="L23" s="7" t="s">
        <v>22</v>
      </c>
      <c r="M23">
        <v>24</v>
      </c>
      <c r="N23">
        <v>41612</v>
      </c>
      <c r="O23">
        <v>1733.8333333333333</v>
      </c>
      <c r="P23" s="8"/>
    </row>
    <row r="24" spans="2:23" ht="15.75" thickBot="1" x14ac:dyDescent="0.3">
      <c r="G24" s="16">
        <v>1</v>
      </c>
      <c r="H24">
        <f>H7+H9</f>
        <v>2490</v>
      </c>
      <c r="I24">
        <f>H8+H10</f>
        <v>2449</v>
      </c>
      <c r="J24" s="16">
        <f>SUM(H24:I24)</f>
        <v>4939</v>
      </c>
      <c r="L24" s="2" t="s">
        <v>19</v>
      </c>
      <c r="M24" s="3">
        <v>31</v>
      </c>
      <c r="N24" s="3">
        <v>102685.5</v>
      </c>
      <c r="O24" s="3"/>
      <c r="P24" s="4"/>
    </row>
    <row r="25" spans="2:23" ht="15.75" thickBot="1" x14ac:dyDescent="0.3">
      <c r="G25" s="17" t="s">
        <v>6</v>
      </c>
      <c r="H25" s="3">
        <f>SUM(H23:H24)</f>
        <v>4461</v>
      </c>
      <c r="I25" s="3">
        <f>SUM(I23:I24)</f>
        <v>4879</v>
      </c>
      <c r="J25" s="17">
        <f>SUM(J23:J24)</f>
        <v>9340</v>
      </c>
    </row>
    <row r="26" spans="2:23" x14ac:dyDescent="0.25">
      <c r="M26" t="s">
        <v>37</v>
      </c>
      <c r="N26" s="20">
        <v>0.05</v>
      </c>
      <c r="O26" s="1">
        <f>_xlfn.F.INV(1-N26,$M$15,$M$23)</f>
        <v>4.2596772726902348</v>
      </c>
    </row>
    <row r="27" spans="2:23" ht="15.75" thickBot="1" x14ac:dyDescent="0.3">
      <c r="G27" s="6" t="s">
        <v>30</v>
      </c>
      <c r="N27" s="20">
        <v>0.01</v>
      </c>
      <c r="O27" s="1">
        <f>_xlfn.F.INV(1-N27,$M$15,$M$23)</f>
        <v>7.8228705933679761</v>
      </c>
    </row>
    <row r="28" spans="2:23" x14ac:dyDescent="0.25">
      <c r="G28" s="22" t="s">
        <v>32</v>
      </c>
      <c r="H28" s="26" t="s">
        <v>20</v>
      </c>
      <c r="I28" s="26"/>
      <c r="J28" s="27" t="s">
        <v>6</v>
      </c>
    </row>
    <row r="29" spans="2:23" ht="15.75" thickBot="1" x14ac:dyDescent="0.3">
      <c r="G29" s="23" t="s">
        <v>19</v>
      </c>
      <c r="H29" s="12">
        <v>0</v>
      </c>
      <c r="I29" s="12">
        <v>1</v>
      </c>
      <c r="J29" s="28"/>
      <c r="L29" s="6" t="s">
        <v>38</v>
      </c>
      <c r="R29" s="6" t="s">
        <v>42</v>
      </c>
    </row>
    <row r="30" spans="2:23" ht="15.75" thickBot="1" x14ac:dyDescent="0.3">
      <c r="G30" s="16">
        <v>0</v>
      </c>
      <c r="H30">
        <f>H3+H7</f>
        <v>2527</v>
      </c>
      <c r="I30">
        <f>H4+H8</f>
        <v>2631</v>
      </c>
      <c r="J30" s="16">
        <f>SUM(H30:I30)</f>
        <v>5158</v>
      </c>
      <c r="L30" s="11" t="s">
        <v>1</v>
      </c>
      <c r="M30" s="14" t="s">
        <v>2</v>
      </c>
      <c r="N30" s="14" t="s">
        <v>3</v>
      </c>
      <c r="O30" s="14" t="s">
        <v>4</v>
      </c>
      <c r="P30" s="15" t="s">
        <v>5</v>
      </c>
      <c r="R30" s="11" t="s">
        <v>1</v>
      </c>
      <c r="S30" s="14" t="s">
        <v>2</v>
      </c>
      <c r="T30" s="14" t="s">
        <v>3</v>
      </c>
      <c r="U30" s="14" t="s">
        <v>4</v>
      </c>
      <c r="V30" s="15" t="s">
        <v>5</v>
      </c>
    </row>
    <row r="31" spans="2:23" ht="15.75" thickBot="1" x14ac:dyDescent="0.3">
      <c r="G31" s="16">
        <v>1</v>
      </c>
      <c r="H31">
        <f>H5+H9</f>
        <v>1934</v>
      </c>
      <c r="I31">
        <f>H6+H10</f>
        <v>2248</v>
      </c>
      <c r="J31" s="16">
        <f>SUM(H31:I31)</f>
        <v>4182</v>
      </c>
      <c r="L31" t="s">
        <v>41</v>
      </c>
      <c r="M31">
        <v>1</v>
      </c>
      <c r="N31">
        <f>SUMSQ(H23:H24)/4/2-H25*H25/4/2/2</f>
        <v>16835.0625</v>
      </c>
      <c r="O31">
        <f>N31/M31</f>
        <v>16835.0625</v>
      </c>
      <c r="P31" s="1">
        <f>O31/O39</f>
        <v>9.709735172546381</v>
      </c>
      <c r="Q31" t="s">
        <v>9</v>
      </c>
      <c r="R31" t="s">
        <v>43</v>
      </c>
      <c r="S31">
        <v>1</v>
      </c>
      <c r="T31">
        <f>SUMSQ(H23:I23)/4/2-J23*J23/4/2/2</f>
        <v>13167.5625</v>
      </c>
      <c r="U31">
        <f>T31/S31</f>
        <v>13167.5625</v>
      </c>
      <c r="V31" s="1">
        <f>U31/U39</f>
        <v>7.5944799577045083</v>
      </c>
      <c r="W31" t="s">
        <v>9</v>
      </c>
    </row>
    <row r="32" spans="2:23" ht="15.75" thickBot="1" x14ac:dyDescent="0.3">
      <c r="G32" s="17" t="s">
        <v>6</v>
      </c>
      <c r="H32" s="3">
        <f>SUM(H30:H31)</f>
        <v>4461</v>
      </c>
      <c r="I32" s="3">
        <f>SUM(I30:I31)</f>
        <v>4879</v>
      </c>
      <c r="J32" s="17">
        <f>SUM(J30:J31)</f>
        <v>9340</v>
      </c>
      <c r="L32" t="s">
        <v>40</v>
      </c>
      <c r="M32">
        <v>1</v>
      </c>
      <c r="N32">
        <f>SUMSQ(I23:I24)/4/2-I25^2/4/2/2</f>
        <v>22.5625</v>
      </c>
      <c r="O32">
        <f>N32/M32</f>
        <v>22.5625</v>
      </c>
      <c r="P32" s="5">
        <f>O32/O39</f>
        <v>1.3013073151975392E-2</v>
      </c>
      <c r="R32" t="s">
        <v>44</v>
      </c>
      <c r="S32">
        <v>1</v>
      </c>
      <c r="T32">
        <f>SUMSQ(H24:I24)/4/2-J24*J24/4/2/2</f>
        <v>105.0625</v>
      </c>
      <c r="U32">
        <f>T32/S32</f>
        <v>105.0625</v>
      </c>
      <c r="V32" s="1">
        <f>U32/U39</f>
        <v>6.0595501297702588E-2</v>
      </c>
    </row>
    <row r="33" spans="12:22" x14ac:dyDescent="0.25">
      <c r="L33" t="s">
        <v>19</v>
      </c>
      <c r="M33">
        <v>1</v>
      </c>
      <c r="N33">
        <v>29768</v>
      </c>
      <c r="O33">
        <v>29768</v>
      </c>
      <c r="P33" s="1">
        <v>17.168893588387967</v>
      </c>
      <c r="R33" t="s">
        <v>5</v>
      </c>
      <c r="S33">
        <v>1</v>
      </c>
      <c r="T33">
        <v>9045.125</v>
      </c>
      <c r="U33">
        <v>9045.125</v>
      </c>
      <c r="V33" s="1">
        <v>5.2168364894741908</v>
      </c>
    </row>
    <row r="34" spans="12:22" x14ac:dyDescent="0.25">
      <c r="L34" t="s">
        <v>20</v>
      </c>
      <c r="M34">
        <v>1</v>
      </c>
      <c r="N34">
        <v>5460.125</v>
      </c>
      <c r="O34">
        <v>5460.125</v>
      </c>
      <c r="P34" s="1">
        <v>3.1491637027780448</v>
      </c>
      <c r="R34" t="s">
        <v>19</v>
      </c>
      <c r="S34">
        <v>1</v>
      </c>
      <c r="T34">
        <v>29768</v>
      </c>
      <c r="U34">
        <v>29768</v>
      </c>
      <c r="V34" s="5">
        <v>17.168893588387967</v>
      </c>
    </row>
    <row r="35" spans="12:22" x14ac:dyDescent="0.25">
      <c r="L35" t="s">
        <v>33</v>
      </c>
      <c r="M35">
        <v>1</v>
      </c>
      <c r="N35">
        <v>1225.125</v>
      </c>
      <c r="O35">
        <v>1225.125</v>
      </c>
      <c r="P35" s="1">
        <v>0.70659905796404887</v>
      </c>
      <c r="R35" t="s">
        <v>33</v>
      </c>
      <c r="S35">
        <v>1</v>
      </c>
      <c r="T35">
        <v>1225.125</v>
      </c>
      <c r="U35">
        <v>1225.125</v>
      </c>
      <c r="V35" s="1">
        <v>0.70659905796404887</v>
      </c>
    </row>
    <row r="36" spans="12:22" x14ac:dyDescent="0.25">
      <c r="L36" t="s">
        <v>34</v>
      </c>
      <c r="M36">
        <v>1</v>
      </c>
      <c r="N36">
        <v>7812.5</v>
      </c>
      <c r="O36">
        <v>7812.5</v>
      </c>
      <c r="P36" s="1">
        <v>4.5059117562241662</v>
      </c>
      <c r="R36" t="s">
        <v>34</v>
      </c>
      <c r="S36">
        <v>1</v>
      </c>
      <c r="T36">
        <v>7812.5</v>
      </c>
      <c r="U36">
        <v>7812.5</v>
      </c>
      <c r="V36" s="1">
        <v>4.5059117562241662</v>
      </c>
    </row>
    <row r="37" spans="12:22" ht="15.75" thickBot="1" x14ac:dyDescent="0.3">
      <c r="L37" t="s">
        <v>35</v>
      </c>
      <c r="M37">
        <v>1</v>
      </c>
      <c r="N37">
        <v>1378.125</v>
      </c>
      <c r="O37">
        <v>1378.125</v>
      </c>
      <c r="P37" s="1">
        <v>0.79484283379794296</v>
      </c>
      <c r="R37" t="s">
        <v>35</v>
      </c>
      <c r="S37">
        <v>1</v>
      </c>
      <c r="T37">
        <v>1378.125</v>
      </c>
      <c r="U37">
        <v>1378.125</v>
      </c>
      <c r="V37" s="1">
        <v>0.79484283379794296</v>
      </c>
    </row>
    <row r="38" spans="12:22" ht="15.75" thickBot="1" x14ac:dyDescent="0.3">
      <c r="L38" s="2" t="s">
        <v>21</v>
      </c>
      <c r="M38" s="3">
        <v>7</v>
      </c>
      <c r="N38" s="3">
        <v>61073.5</v>
      </c>
      <c r="O38" s="3">
        <v>8724.7857142857138</v>
      </c>
      <c r="P38" s="24">
        <v>5.0320786586286923</v>
      </c>
      <c r="R38" s="2" t="s">
        <v>21</v>
      </c>
      <c r="S38" s="3">
        <v>7</v>
      </c>
      <c r="T38" s="3">
        <v>61073.5</v>
      </c>
      <c r="U38" s="3">
        <v>8724.7857142857138</v>
      </c>
      <c r="V38" s="24">
        <v>5.0320786586286923</v>
      </c>
    </row>
    <row r="39" spans="12:22" ht="15.75" thickBot="1" x14ac:dyDescent="0.3">
      <c r="L39" s="7" t="s">
        <v>22</v>
      </c>
      <c r="M39">
        <v>24</v>
      </c>
      <c r="N39">
        <v>41612</v>
      </c>
      <c r="O39">
        <v>1733.8333333333333</v>
      </c>
      <c r="P39" s="8"/>
      <c r="R39" s="7" t="s">
        <v>22</v>
      </c>
      <c r="S39">
        <v>24</v>
      </c>
      <c r="T39">
        <v>41612</v>
      </c>
      <c r="U39">
        <v>1733.8333333333333</v>
      </c>
      <c r="V39" s="8"/>
    </row>
    <row r="40" spans="12:22" ht="15.75" thickBot="1" x14ac:dyDescent="0.3">
      <c r="L40" s="2" t="s">
        <v>19</v>
      </c>
      <c r="M40" s="3">
        <v>31</v>
      </c>
      <c r="N40" s="3">
        <v>102685.5</v>
      </c>
      <c r="O40" s="3"/>
      <c r="P40" s="4"/>
      <c r="R40" s="2" t="s">
        <v>19</v>
      </c>
      <c r="S40" s="3">
        <v>31</v>
      </c>
      <c r="T40" s="3">
        <v>102685.5</v>
      </c>
      <c r="U40" s="3"/>
      <c r="V40" s="4"/>
    </row>
    <row r="42" spans="12:22" x14ac:dyDescent="0.25">
      <c r="L42" s="6" t="s">
        <v>45</v>
      </c>
    </row>
    <row r="43" spans="12:22" ht="15.75" thickBot="1" x14ac:dyDescent="0.3">
      <c r="L43" s="6" t="s">
        <v>46</v>
      </c>
      <c r="R43" s="6" t="s">
        <v>29</v>
      </c>
    </row>
    <row r="44" spans="12:22" x14ac:dyDescent="0.25">
      <c r="L44" t="s">
        <v>13</v>
      </c>
      <c r="M44">
        <f>SQRT(O39/4/2/2)</f>
        <v>10.409831090528478</v>
      </c>
      <c r="R44" s="22" t="s">
        <v>31</v>
      </c>
      <c r="S44" s="26" t="s">
        <v>20</v>
      </c>
      <c r="T44" s="26"/>
      <c r="U44" s="27" t="s">
        <v>6</v>
      </c>
    </row>
    <row r="45" spans="12:22" ht="15.75" thickBot="1" x14ac:dyDescent="0.3">
      <c r="R45" s="23" t="s">
        <v>5</v>
      </c>
      <c r="S45" s="12">
        <v>0</v>
      </c>
      <c r="T45" s="12">
        <v>1</v>
      </c>
      <c r="U45" s="28"/>
    </row>
    <row r="46" spans="12:22" x14ac:dyDescent="0.25">
      <c r="L46" s="6" t="s">
        <v>47</v>
      </c>
      <c r="R46" s="16">
        <v>0</v>
      </c>
      <c r="S46">
        <f>H23/4/2</f>
        <v>246.375</v>
      </c>
      <c r="T46">
        <f>I23/4/2</f>
        <v>303.75</v>
      </c>
      <c r="U46" s="16">
        <f>J23/4/2/2</f>
        <v>275.0625</v>
      </c>
    </row>
    <row r="47" spans="12:22" ht="15.75" thickBot="1" x14ac:dyDescent="0.3">
      <c r="L47" t="s">
        <v>13</v>
      </c>
      <c r="M47">
        <f>SQRT(O39/4/2)</f>
        <v>14.72172431023848</v>
      </c>
      <c r="R47" s="16">
        <v>1</v>
      </c>
      <c r="S47">
        <f>H24/4/2</f>
        <v>311.25</v>
      </c>
      <c r="T47">
        <f>I24/4/2</f>
        <v>306.125</v>
      </c>
      <c r="U47" s="16">
        <f>J24/4/2/2</f>
        <v>308.6875</v>
      </c>
    </row>
    <row r="48" spans="12:22" ht="15.75" thickBot="1" x14ac:dyDescent="0.3">
      <c r="R48" s="17" t="s">
        <v>6</v>
      </c>
      <c r="S48" s="3">
        <f>H25/4/2/2</f>
        <v>278.8125</v>
      </c>
      <c r="T48" s="3">
        <f>I25/4/2/2</f>
        <v>304.9375</v>
      </c>
      <c r="U48" s="17">
        <f>J25/4/2/2/2</f>
        <v>291.875</v>
      </c>
    </row>
    <row r="50" spans="12:21" x14ac:dyDescent="0.25">
      <c r="L50" t="s">
        <v>49</v>
      </c>
    </row>
    <row r="51" spans="12:21" ht="15.75" thickBot="1" x14ac:dyDescent="0.3">
      <c r="L51" t="s">
        <v>50</v>
      </c>
      <c r="M51">
        <v>2.92</v>
      </c>
    </row>
    <row r="52" spans="12:21" ht="15.75" thickBot="1" x14ac:dyDescent="0.3">
      <c r="L52" t="s">
        <v>48</v>
      </c>
      <c r="M52">
        <f>M51*M47</f>
        <v>42.987434985896364</v>
      </c>
      <c r="O52" s="11"/>
      <c r="P52" s="14" t="s">
        <v>51</v>
      </c>
      <c r="Q52" s="15" t="s">
        <v>12</v>
      </c>
      <c r="S52" s="11"/>
      <c r="T52" s="14" t="s">
        <v>52</v>
      </c>
      <c r="U52" s="15" t="s">
        <v>12</v>
      </c>
    </row>
    <row r="53" spans="12:21" x14ac:dyDescent="0.25">
      <c r="O53" s="25" t="s">
        <v>52</v>
      </c>
      <c r="P53" s="10">
        <v>246.375</v>
      </c>
      <c r="Q53" s="21" t="s">
        <v>56</v>
      </c>
      <c r="S53" s="25" t="s">
        <v>51</v>
      </c>
      <c r="T53" s="10">
        <v>246.375</v>
      </c>
      <c r="U53" s="21" t="s">
        <v>56</v>
      </c>
    </row>
    <row r="54" spans="12:21" ht="15.75" thickBot="1" x14ac:dyDescent="0.3">
      <c r="O54" s="18" t="s">
        <v>53</v>
      </c>
      <c r="P54" s="12">
        <v>311.25</v>
      </c>
      <c r="Q54" s="13" t="s">
        <v>55</v>
      </c>
      <c r="S54" s="18" t="s">
        <v>57</v>
      </c>
      <c r="T54" s="12">
        <v>303.75</v>
      </c>
      <c r="U54" s="13" t="s">
        <v>55</v>
      </c>
    </row>
    <row r="56" spans="12:21" x14ac:dyDescent="0.25">
      <c r="O56" t="s">
        <v>54</v>
      </c>
      <c r="P56">
        <f>P54-P53</f>
        <v>64.875</v>
      </c>
      <c r="S56" t="s">
        <v>54</v>
      </c>
      <c r="T56">
        <f>T54-T53</f>
        <v>57.375</v>
      </c>
    </row>
    <row r="57" spans="12:21" ht="15.75" thickBot="1" x14ac:dyDescent="0.3"/>
    <row r="58" spans="12:21" ht="15.75" thickBot="1" x14ac:dyDescent="0.3">
      <c r="P58" s="22" t="s">
        <v>31</v>
      </c>
      <c r="Q58" s="29" t="s">
        <v>20</v>
      </c>
      <c r="R58" s="30"/>
      <c r="S58" s="30"/>
      <c r="T58" s="31"/>
    </row>
    <row r="59" spans="12:21" ht="15.75" thickBot="1" x14ac:dyDescent="0.3">
      <c r="P59" s="23" t="s">
        <v>5</v>
      </c>
      <c r="Q59" s="29">
        <v>0</v>
      </c>
      <c r="R59" s="30"/>
      <c r="S59" s="30">
        <v>1</v>
      </c>
      <c r="T59" s="31"/>
    </row>
    <row r="60" spans="12:21" x14ac:dyDescent="0.25">
      <c r="P60" s="16">
        <v>0</v>
      </c>
      <c r="Q60">
        <v>246.375</v>
      </c>
      <c r="R60" t="s">
        <v>58</v>
      </c>
      <c r="S60">
        <v>303.75</v>
      </c>
      <c r="T60" s="8" t="s">
        <v>59</v>
      </c>
    </row>
    <row r="61" spans="12:21" ht="15.75" thickBot="1" x14ac:dyDescent="0.3">
      <c r="P61" s="23">
        <v>1</v>
      </c>
      <c r="Q61" s="12">
        <v>311.25</v>
      </c>
      <c r="R61" s="12" t="s">
        <v>59</v>
      </c>
      <c r="S61" s="12">
        <v>306.125</v>
      </c>
      <c r="T61" s="13" t="s">
        <v>59</v>
      </c>
    </row>
    <row r="63" spans="12:21" x14ac:dyDescent="0.25">
      <c r="P63" t="s">
        <v>60</v>
      </c>
    </row>
    <row r="64" spans="12:21" x14ac:dyDescent="0.25">
      <c r="P64" t="s">
        <v>61</v>
      </c>
    </row>
    <row r="65" spans="16:16" x14ac:dyDescent="0.25">
      <c r="P65" t="s">
        <v>62</v>
      </c>
    </row>
  </sheetData>
  <mergeCells count="18">
    <mergeCell ref="A1:C1"/>
    <mergeCell ref="A11:C11"/>
    <mergeCell ref="H14:I14"/>
    <mergeCell ref="J14:J15"/>
    <mergeCell ref="H21:I21"/>
    <mergeCell ref="J21:J22"/>
    <mergeCell ref="D1:D2"/>
    <mergeCell ref="E1:E2"/>
    <mergeCell ref="F1:F2"/>
    <mergeCell ref="G1:G2"/>
    <mergeCell ref="H1:H2"/>
    <mergeCell ref="H28:I28"/>
    <mergeCell ref="J28:J29"/>
    <mergeCell ref="S44:T44"/>
    <mergeCell ref="U44:U45"/>
    <mergeCell ref="Q59:R59"/>
    <mergeCell ref="S59:T59"/>
    <mergeCell ref="Q58:T5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2F79-B1E9-44B5-8F3A-7B2047FF296C}">
  <dimension ref="A1:V32"/>
  <sheetViews>
    <sheetView tabSelected="1" topLeftCell="A16" workbookViewId="0">
      <selection activeCell="O22" sqref="O22:O25"/>
    </sheetView>
  </sheetViews>
  <sheetFormatPr defaultRowHeight="15" x14ac:dyDescent="0.25"/>
  <cols>
    <col min="16" max="16" width="16" bestFit="1" customWidth="1"/>
    <col min="17" max="20" width="5" bestFit="1" customWidth="1"/>
    <col min="21" max="21" width="5.85546875" customWidth="1"/>
    <col min="22" max="22" width="6" bestFit="1" customWidth="1"/>
  </cols>
  <sheetData>
    <row r="1" spans="1:22" ht="15.75" thickBot="1" x14ac:dyDescent="0.3">
      <c r="A1" s="42" t="s">
        <v>66</v>
      </c>
      <c r="B1" s="43" t="s">
        <v>67</v>
      </c>
      <c r="C1" s="29" t="s">
        <v>72</v>
      </c>
      <c r="D1" s="30"/>
      <c r="E1" s="30"/>
      <c r="F1" s="30"/>
      <c r="G1" s="31"/>
      <c r="H1" s="27" t="s">
        <v>73</v>
      </c>
    </row>
    <row r="2" spans="1:22" ht="15.75" thickBot="1" x14ac:dyDescent="0.3">
      <c r="A2" s="41"/>
      <c r="B2" s="44"/>
      <c r="C2" s="40">
        <v>1</v>
      </c>
      <c r="D2" s="12">
        <v>2</v>
      </c>
      <c r="E2" s="12">
        <v>3</v>
      </c>
      <c r="F2" s="12">
        <v>4</v>
      </c>
      <c r="G2" s="13">
        <v>5</v>
      </c>
      <c r="H2" s="28"/>
      <c r="J2" s="11" t="s">
        <v>1</v>
      </c>
      <c r="K2" s="14" t="s">
        <v>2</v>
      </c>
      <c r="L2" s="14" t="s">
        <v>3</v>
      </c>
      <c r="M2" s="14" t="s">
        <v>4</v>
      </c>
      <c r="N2" s="15" t="s">
        <v>5</v>
      </c>
      <c r="P2" s="50" t="s">
        <v>82</v>
      </c>
    </row>
    <row r="3" spans="1:22" ht="15.75" thickBot="1" x14ac:dyDescent="0.3">
      <c r="A3" s="7" t="s">
        <v>63</v>
      </c>
      <c r="B3" s="39" t="s">
        <v>68</v>
      </c>
      <c r="C3" s="7">
        <v>17.7</v>
      </c>
      <c r="D3" s="39">
        <v>17.3</v>
      </c>
      <c r="E3" s="39">
        <v>18</v>
      </c>
      <c r="F3" s="39">
        <v>18.2</v>
      </c>
      <c r="G3" s="8">
        <v>17.3</v>
      </c>
      <c r="H3" s="8">
        <f>SUM(C3:G3)</f>
        <v>88.5</v>
      </c>
      <c r="J3" s="7" t="s">
        <v>76</v>
      </c>
      <c r="K3">
        <f>B15-1</f>
        <v>2</v>
      </c>
      <c r="L3">
        <f>SUMSQ(V5:V7)/4/5-B19</f>
        <v>0.2823333333399205</v>
      </c>
      <c r="M3">
        <f>L3/K3</f>
        <v>0.14116666666996025</v>
      </c>
      <c r="N3" s="9">
        <f>M3/M4</f>
        <v>0.11558406113804677</v>
      </c>
      <c r="P3" s="38" t="s">
        <v>84</v>
      </c>
      <c r="Q3" s="26" t="s">
        <v>72</v>
      </c>
      <c r="R3" s="26"/>
      <c r="S3" s="26"/>
      <c r="T3" s="26"/>
      <c r="U3" s="26"/>
      <c r="V3" s="21"/>
    </row>
    <row r="4" spans="1:22" ht="15.75" thickBot="1" x14ac:dyDescent="0.3">
      <c r="A4" s="7" t="s">
        <v>63</v>
      </c>
      <c r="B4" s="39" t="s">
        <v>69</v>
      </c>
      <c r="C4" s="7">
        <v>17</v>
      </c>
      <c r="D4" s="39">
        <v>18.600000000000001</v>
      </c>
      <c r="E4" s="39">
        <v>17.100000000000001</v>
      </c>
      <c r="F4" s="39">
        <v>18</v>
      </c>
      <c r="G4" s="8">
        <v>19.399999999999999</v>
      </c>
      <c r="H4" s="8">
        <f>SUM(C4:G4)</f>
        <v>90.1</v>
      </c>
      <c r="J4" s="7" t="s">
        <v>77</v>
      </c>
      <c r="K4">
        <f>B15*(B17-1)</f>
        <v>12</v>
      </c>
      <c r="L4">
        <f>L5-L3</f>
        <v>14.656000000002678</v>
      </c>
      <c r="M4">
        <f>L4/K4</f>
        <v>1.2213333333335565</v>
      </c>
      <c r="N4" s="8"/>
      <c r="P4" s="17" t="s">
        <v>83</v>
      </c>
      <c r="Q4" s="10">
        <v>1</v>
      </c>
      <c r="R4" s="10">
        <v>2</v>
      </c>
      <c r="S4" s="10">
        <v>3</v>
      </c>
      <c r="T4" s="10">
        <v>4</v>
      </c>
      <c r="U4" s="10">
        <v>5</v>
      </c>
      <c r="V4" s="4" t="s">
        <v>6</v>
      </c>
    </row>
    <row r="5" spans="1:22" ht="15.75" thickBot="1" x14ac:dyDescent="0.3">
      <c r="A5" s="7" t="s">
        <v>63</v>
      </c>
      <c r="B5" s="39" t="s">
        <v>70</v>
      </c>
      <c r="C5" s="7">
        <v>18.899999999999999</v>
      </c>
      <c r="D5" s="39">
        <v>18.100000000000001</v>
      </c>
      <c r="E5" s="39">
        <v>18.5</v>
      </c>
      <c r="F5" s="39">
        <v>18.399999999999999</v>
      </c>
      <c r="G5" s="8">
        <v>19.2</v>
      </c>
      <c r="H5" s="8">
        <f t="shared" ref="H5:H13" si="0">SUM(C5:G5)</f>
        <v>93.100000000000009</v>
      </c>
      <c r="J5" s="2" t="s">
        <v>78</v>
      </c>
      <c r="K5" s="3">
        <f>B15*B17-1</f>
        <v>14</v>
      </c>
      <c r="L5" s="3">
        <f>SUMSQ(Q5:U7)/4-B19</f>
        <v>14.938333333342598</v>
      </c>
      <c r="M5" s="3"/>
      <c r="N5" s="4"/>
      <c r="P5" s="7" t="s">
        <v>63</v>
      </c>
      <c r="Q5" s="38">
        <f>C3+C4+C5+C6</f>
        <v>72.2</v>
      </c>
      <c r="R5" s="10">
        <f t="shared" ref="R5:U5" si="1">D3+D4+D5+D6</f>
        <v>72.5</v>
      </c>
      <c r="S5" s="10">
        <f t="shared" si="1"/>
        <v>73.099999999999994</v>
      </c>
      <c r="T5" s="10">
        <f t="shared" si="1"/>
        <v>72.900000000000006</v>
      </c>
      <c r="U5" s="21">
        <f t="shared" si="1"/>
        <v>76</v>
      </c>
      <c r="V5" s="21">
        <f>SUM(Q5:U5)</f>
        <v>366.7</v>
      </c>
    </row>
    <row r="6" spans="1:22" x14ac:dyDescent="0.25">
      <c r="A6" s="7" t="s">
        <v>63</v>
      </c>
      <c r="B6" s="39" t="s">
        <v>71</v>
      </c>
      <c r="C6" s="7">
        <v>18.600000000000001</v>
      </c>
      <c r="D6" s="39">
        <v>18.5</v>
      </c>
      <c r="E6" s="39">
        <v>19.5</v>
      </c>
      <c r="F6" s="39">
        <v>18.3</v>
      </c>
      <c r="G6" s="8">
        <v>20.100000000000001</v>
      </c>
      <c r="H6" s="8">
        <f t="shared" si="0"/>
        <v>95</v>
      </c>
      <c r="J6" s="47" t="s">
        <v>79</v>
      </c>
      <c r="K6" s="10">
        <f>B16-1</f>
        <v>3</v>
      </c>
      <c r="L6" s="10">
        <f>SUMSQ(Q16:T16)/5/3-B19</f>
        <v>23.831333333342627</v>
      </c>
      <c r="M6" s="10">
        <f>L6/K6</f>
        <v>7.943777777780876</v>
      </c>
      <c r="N6" s="21">
        <f>M6/M8</f>
        <v>24.576830525966471</v>
      </c>
      <c r="O6" t="s">
        <v>9</v>
      </c>
      <c r="P6" s="7" t="s">
        <v>64</v>
      </c>
      <c r="Q6" s="7">
        <f>C7+C8+C9+C10</f>
        <v>70.8</v>
      </c>
      <c r="R6" s="39">
        <f t="shared" ref="R6:U6" si="2">D7+D8+D9+D10</f>
        <v>71.5</v>
      </c>
      <c r="S6" s="39">
        <f t="shared" si="2"/>
        <v>71.7</v>
      </c>
      <c r="T6" s="39">
        <f t="shared" si="2"/>
        <v>75.8</v>
      </c>
      <c r="U6" s="8">
        <f t="shared" si="2"/>
        <v>78</v>
      </c>
      <c r="V6" s="8">
        <f>SUM(Q6:U6)</f>
        <v>367.8</v>
      </c>
    </row>
    <row r="7" spans="1:22" ht="15.75" thickBot="1" x14ac:dyDescent="0.3">
      <c r="A7" s="7" t="s">
        <v>64</v>
      </c>
      <c r="B7" s="39" t="s">
        <v>68</v>
      </c>
      <c r="C7" s="7">
        <v>16.7</v>
      </c>
      <c r="D7" s="39">
        <v>17</v>
      </c>
      <c r="E7" s="39">
        <v>17.3</v>
      </c>
      <c r="F7" s="39">
        <v>18.2</v>
      </c>
      <c r="G7" s="8">
        <v>17.8</v>
      </c>
      <c r="H7" s="8">
        <f t="shared" si="0"/>
        <v>87</v>
      </c>
      <c r="J7" s="45" t="s">
        <v>80</v>
      </c>
      <c r="K7" s="39">
        <f>K3*K6</f>
        <v>6</v>
      </c>
      <c r="L7" s="39">
        <f>SUMSQ(Q13:T15)/5-B19-L3-L6</f>
        <v>0.85766666665949742</v>
      </c>
      <c r="M7" s="39">
        <f>L7/K7</f>
        <v>0.14294444444324958</v>
      </c>
      <c r="N7" s="8">
        <f>M7/M8</f>
        <v>0.44224819525245807</v>
      </c>
      <c r="P7" s="40" t="s">
        <v>65</v>
      </c>
      <c r="Q7" s="40">
        <f>C11+C12+C13+C14</f>
        <v>70.400000000000006</v>
      </c>
      <c r="R7" s="12">
        <f t="shared" ref="R7:U7" si="3">D11+D12+D13+D14</f>
        <v>73.2</v>
      </c>
      <c r="S7" s="12">
        <f t="shared" si="3"/>
        <v>72.800000000000011</v>
      </c>
      <c r="T7" s="12">
        <f t="shared" si="3"/>
        <v>73.7</v>
      </c>
      <c r="U7" s="13">
        <f t="shared" si="3"/>
        <v>74.400000000000006</v>
      </c>
      <c r="V7" s="13">
        <f>SUM(Q7:U7)</f>
        <v>364.5</v>
      </c>
    </row>
    <row r="8" spans="1:22" ht="15.75" thickBot="1" x14ac:dyDescent="0.3">
      <c r="A8" s="7" t="s">
        <v>64</v>
      </c>
      <c r="B8" s="39" t="s">
        <v>69</v>
      </c>
      <c r="C8" s="7">
        <v>17.600000000000001</v>
      </c>
      <c r="D8" s="39">
        <v>17.600000000000001</v>
      </c>
      <c r="E8" s="39">
        <v>18.2</v>
      </c>
      <c r="F8" s="39">
        <v>17.7</v>
      </c>
      <c r="G8" s="8">
        <v>19.5</v>
      </c>
      <c r="H8" s="8">
        <f t="shared" si="0"/>
        <v>90.600000000000009</v>
      </c>
      <c r="J8" s="45" t="s">
        <v>81</v>
      </c>
      <c r="K8" s="39">
        <f>B15*K6*(B17-1)</f>
        <v>36</v>
      </c>
      <c r="L8" s="39">
        <f>L9-L6-L7-L5</f>
        <v>11.635999999998603</v>
      </c>
      <c r="M8" s="46">
        <f>L8/K8</f>
        <v>0.32322222222218344</v>
      </c>
      <c r="N8" s="8"/>
      <c r="V8">
        <f>SUM(V5:V7)</f>
        <v>1099</v>
      </c>
    </row>
    <row r="9" spans="1:22" ht="15.75" thickBot="1" x14ac:dyDescent="0.3">
      <c r="A9" s="7" t="s">
        <v>64</v>
      </c>
      <c r="B9" s="39" t="s">
        <v>70</v>
      </c>
      <c r="C9" s="7">
        <v>18</v>
      </c>
      <c r="D9" s="39">
        <v>18.100000000000001</v>
      </c>
      <c r="E9" s="39">
        <v>18.600000000000001</v>
      </c>
      <c r="F9" s="39">
        <v>19.5</v>
      </c>
      <c r="G9" s="8">
        <v>20.7</v>
      </c>
      <c r="H9" s="8">
        <f t="shared" si="0"/>
        <v>94.9</v>
      </c>
      <c r="J9" s="49" t="s">
        <v>19</v>
      </c>
      <c r="K9" s="3">
        <f>B15*B16*B17-1</f>
        <v>59</v>
      </c>
      <c r="L9" s="3">
        <f>SUMSQ(C3:G14)-B19</f>
        <v>51.263333333343326</v>
      </c>
      <c r="M9" s="3"/>
      <c r="N9" s="4"/>
    </row>
    <row r="10" spans="1:22" ht="15.75" thickBot="1" x14ac:dyDescent="0.3">
      <c r="A10" s="7" t="s">
        <v>64</v>
      </c>
      <c r="B10" s="39" t="s">
        <v>71</v>
      </c>
      <c r="C10" s="7">
        <v>18.5</v>
      </c>
      <c r="D10" s="39">
        <v>18.8</v>
      </c>
      <c r="E10" s="39">
        <v>17.600000000000001</v>
      </c>
      <c r="F10" s="39">
        <v>20.399999999999999</v>
      </c>
      <c r="G10" s="8">
        <v>20</v>
      </c>
      <c r="H10" s="8">
        <f t="shared" si="0"/>
        <v>95.3</v>
      </c>
      <c r="P10" t="s">
        <v>85</v>
      </c>
    </row>
    <row r="11" spans="1:22" ht="15.75" thickBot="1" x14ac:dyDescent="0.3">
      <c r="A11" s="7" t="s">
        <v>65</v>
      </c>
      <c r="B11" s="39" t="s">
        <v>68</v>
      </c>
      <c r="C11" s="7">
        <v>16.600000000000001</v>
      </c>
      <c r="D11" s="39">
        <v>17.7</v>
      </c>
      <c r="E11" s="39">
        <v>17.5</v>
      </c>
      <c r="F11" s="39">
        <v>17.5</v>
      </c>
      <c r="G11" s="8">
        <v>17.3</v>
      </c>
      <c r="H11" s="8">
        <f t="shared" si="0"/>
        <v>86.6</v>
      </c>
      <c r="J11" s="47" t="s">
        <v>92</v>
      </c>
      <c r="K11" s="21">
        <f>100*SQRT(M4)/B18</f>
        <v>6.0335186999392905</v>
      </c>
      <c r="L11" s="10" t="s">
        <v>87</v>
      </c>
      <c r="M11" s="51">
        <v>0.05</v>
      </c>
      <c r="N11" s="52">
        <f>_xlfn.F.INV(1-M11,2,12)</f>
        <v>3.8852938346523924</v>
      </c>
      <c r="P11" s="38" t="s">
        <v>86</v>
      </c>
      <c r="Q11" s="30" t="s">
        <v>67</v>
      </c>
      <c r="R11" s="30"/>
      <c r="S11" s="30"/>
      <c r="T11" s="31"/>
      <c r="U11" s="22"/>
    </row>
    <row r="12" spans="1:22" ht="15.75" thickBot="1" x14ac:dyDescent="0.3">
      <c r="A12" s="7" t="s">
        <v>65</v>
      </c>
      <c r="B12" s="39" t="s">
        <v>69</v>
      </c>
      <c r="C12" s="7">
        <v>17.2</v>
      </c>
      <c r="D12" s="39">
        <v>17.8</v>
      </c>
      <c r="E12" s="39">
        <v>17.600000000000001</v>
      </c>
      <c r="F12" s="39">
        <v>17.600000000000001</v>
      </c>
      <c r="G12" s="8">
        <v>18.600000000000001</v>
      </c>
      <c r="H12" s="8">
        <f t="shared" si="0"/>
        <v>88.800000000000011</v>
      </c>
      <c r="J12" s="48" t="s">
        <v>91</v>
      </c>
      <c r="K12" s="13">
        <f>100*SQRT(M8)/B18</f>
        <v>3.1038745778835852</v>
      </c>
      <c r="L12" s="40"/>
      <c r="M12" s="53">
        <v>0.01</v>
      </c>
      <c r="N12" s="54">
        <f>_xlfn.F.INV(1-M12,2,12)</f>
        <v>6.9266081401913011</v>
      </c>
      <c r="P12" s="17" t="s">
        <v>83</v>
      </c>
      <c r="Q12" s="10" t="s">
        <v>68</v>
      </c>
      <c r="R12" s="10" t="s">
        <v>69</v>
      </c>
      <c r="S12" s="10" t="s">
        <v>70</v>
      </c>
      <c r="T12" s="10" t="s">
        <v>71</v>
      </c>
      <c r="U12" s="17" t="s">
        <v>6</v>
      </c>
    </row>
    <row r="13" spans="1:22" x14ac:dyDescent="0.25">
      <c r="A13" s="7" t="s">
        <v>65</v>
      </c>
      <c r="B13" s="39" t="s">
        <v>70</v>
      </c>
      <c r="C13" s="7">
        <v>18.100000000000001</v>
      </c>
      <c r="D13" s="39">
        <v>18.2</v>
      </c>
      <c r="E13" s="39">
        <v>18.600000000000001</v>
      </c>
      <c r="F13" s="39">
        <v>19.600000000000001</v>
      </c>
      <c r="G13" s="8">
        <v>19</v>
      </c>
      <c r="H13" s="8">
        <f t="shared" si="0"/>
        <v>93.5</v>
      </c>
      <c r="L13" s="38" t="s">
        <v>88</v>
      </c>
      <c r="M13" s="51">
        <v>0.05</v>
      </c>
      <c r="N13" s="52">
        <f>_xlfn.F.INV(1-M13,3,36)</f>
        <v>2.8662655509401795</v>
      </c>
      <c r="P13" s="7" t="s">
        <v>63</v>
      </c>
      <c r="Q13" s="38">
        <f>H3</f>
        <v>88.5</v>
      </c>
      <c r="R13" s="10">
        <f>H4</f>
        <v>90.1</v>
      </c>
      <c r="S13" s="10">
        <f>H5</f>
        <v>93.100000000000009</v>
      </c>
      <c r="T13" s="10">
        <f>H6</f>
        <v>95</v>
      </c>
      <c r="U13" s="22">
        <f>SUM(Q13:T13)</f>
        <v>366.7</v>
      </c>
    </row>
    <row r="14" spans="1:22" ht="15.75" thickBot="1" x14ac:dyDescent="0.3">
      <c r="A14" s="40" t="s">
        <v>65</v>
      </c>
      <c r="B14" s="12" t="s">
        <v>71</v>
      </c>
      <c r="C14" s="40">
        <v>18.5</v>
      </c>
      <c r="D14" s="12">
        <v>19.5</v>
      </c>
      <c r="E14" s="12">
        <v>19.100000000000001</v>
      </c>
      <c r="F14" s="12">
        <v>19</v>
      </c>
      <c r="G14" s="13">
        <v>19.5</v>
      </c>
      <c r="H14" s="13">
        <f>SUM(C14:G14)</f>
        <v>95.6</v>
      </c>
      <c r="L14" s="40"/>
      <c r="M14" s="53">
        <v>0.01</v>
      </c>
      <c r="N14" s="54">
        <f>_xlfn.F.INV(1-M14,3,36)</f>
        <v>4.3770956208011746</v>
      </c>
      <c r="P14" s="7" t="s">
        <v>64</v>
      </c>
      <c r="Q14" s="7">
        <f>H7</f>
        <v>87</v>
      </c>
      <c r="R14" s="39">
        <f>H8</f>
        <v>90.600000000000009</v>
      </c>
      <c r="S14" s="39">
        <f>H9</f>
        <v>94.9</v>
      </c>
      <c r="T14" s="39">
        <f>H10</f>
        <v>95.3</v>
      </c>
      <c r="U14" s="16">
        <f>SUM(Q14:T14)</f>
        <v>367.8</v>
      </c>
    </row>
    <row r="15" spans="1:22" ht="15.75" thickBot="1" x14ac:dyDescent="0.3">
      <c r="A15" s="45" t="s">
        <v>55</v>
      </c>
      <c r="B15">
        <v>3</v>
      </c>
      <c r="H15">
        <f>SUM(H3:H14)</f>
        <v>1098.9999999999998</v>
      </c>
      <c r="L15" s="38" t="s">
        <v>89</v>
      </c>
      <c r="M15" s="51">
        <v>0.05</v>
      </c>
      <c r="N15" s="52">
        <f>_xlfn.F.INV(1-M15,6,36)</f>
        <v>2.3637509583661442</v>
      </c>
      <c r="P15" s="40" t="s">
        <v>65</v>
      </c>
      <c r="Q15" s="40">
        <f>H11</f>
        <v>86.6</v>
      </c>
      <c r="R15" s="12">
        <f>H12</f>
        <v>88.800000000000011</v>
      </c>
      <c r="S15" s="12">
        <f>H13</f>
        <v>93.5</v>
      </c>
      <c r="T15" s="12">
        <f>H14</f>
        <v>95.6</v>
      </c>
      <c r="U15" s="23">
        <f>SUM(Q15:T15)</f>
        <v>364.5</v>
      </c>
    </row>
    <row r="16" spans="1:22" ht="15.75" thickBot="1" x14ac:dyDescent="0.3">
      <c r="A16" s="45" t="s">
        <v>56</v>
      </c>
      <c r="B16">
        <v>4</v>
      </c>
      <c r="L16" s="40"/>
      <c r="M16" s="53">
        <v>0.01</v>
      </c>
      <c r="N16" s="54">
        <f>_xlfn.F.INV(1-M16,6,36)</f>
        <v>3.3506774654535043</v>
      </c>
      <c r="P16" s="49" t="s">
        <v>6</v>
      </c>
      <c r="Q16" s="2">
        <f>SUM(Q13:Q15)</f>
        <v>262.10000000000002</v>
      </c>
      <c r="R16" s="3">
        <f>SUM(R13:R15)</f>
        <v>269.5</v>
      </c>
      <c r="S16" s="3">
        <f>SUM(S13:S15)</f>
        <v>281.5</v>
      </c>
      <c r="T16" s="4">
        <f>SUM(T13:T15)</f>
        <v>285.89999999999998</v>
      </c>
      <c r="U16" s="4">
        <f>SUM(U13:U15)</f>
        <v>1099</v>
      </c>
    </row>
    <row r="17" spans="1:17" x14ac:dyDescent="0.25">
      <c r="A17" s="45" t="s">
        <v>74</v>
      </c>
      <c r="B17">
        <v>5</v>
      </c>
    </row>
    <row r="18" spans="1:17" x14ac:dyDescent="0.25">
      <c r="A18" s="45" t="s">
        <v>75</v>
      </c>
      <c r="B18">
        <f>H15/B15/B16/B17</f>
        <v>18.316666666666663</v>
      </c>
      <c r="J18" s="6" t="s">
        <v>45</v>
      </c>
    </row>
    <row r="19" spans="1:17" x14ac:dyDescent="0.25">
      <c r="A19" s="45" t="s">
        <v>8</v>
      </c>
      <c r="B19">
        <f>H15*H15/B15/B16/B17</f>
        <v>20130.016666666659</v>
      </c>
      <c r="J19" t="s">
        <v>90</v>
      </c>
      <c r="K19">
        <f>SQRT(M8/5/3)</f>
        <v>0.14679287499107566</v>
      </c>
    </row>
    <row r="20" spans="1:17" x14ac:dyDescent="0.25">
      <c r="J20" t="s">
        <v>93</v>
      </c>
      <c r="K20">
        <v>3.81</v>
      </c>
    </row>
    <row r="21" spans="1:17" ht="15.75" thickBot="1" x14ac:dyDescent="0.3">
      <c r="J21" t="s">
        <v>48</v>
      </c>
      <c r="K21">
        <f>K19*K20</f>
        <v>0.55928085371599823</v>
      </c>
      <c r="N21" t="s">
        <v>67</v>
      </c>
      <c r="O21" t="s">
        <v>11</v>
      </c>
    </row>
    <row r="22" spans="1:17" ht="15.75" thickBot="1" x14ac:dyDescent="0.3">
      <c r="J22" s="2" t="s">
        <v>67</v>
      </c>
      <c r="K22" s="3" t="s">
        <v>11</v>
      </c>
      <c r="L22" s="4" t="s">
        <v>12</v>
      </c>
      <c r="N22" t="s">
        <v>71</v>
      </c>
      <c r="O22" s="1">
        <v>19.059999999999999</v>
      </c>
      <c r="P22" t="s">
        <v>55</v>
      </c>
    </row>
    <row r="23" spans="1:17" x14ac:dyDescent="0.25">
      <c r="J23" s="38" t="s">
        <v>68</v>
      </c>
      <c r="K23" s="55">
        <f>Q16/3/5</f>
        <v>17.473333333333336</v>
      </c>
      <c r="L23" s="21" t="s">
        <v>56</v>
      </c>
      <c r="N23" t="s">
        <v>70</v>
      </c>
      <c r="O23" s="1">
        <v>18.766666666666666</v>
      </c>
      <c r="P23" t="s">
        <v>55</v>
      </c>
    </row>
    <row r="24" spans="1:17" x14ac:dyDescent="0.25">
      <c r="J24" s="7" t="s">
        <v>69</v>
      </c>
      <c r="K24" s="56">
        <f>R16/3/5</f>
        <v>17.966666666666665</v>
      </c>
      <c r="L24" s="8" t="s">
        <v>56</v>
      </c>
      <c r="N24" t="s">
        <v>69</v>
      </c>
      <c r="O24" s="1">
        <v>17.966666666666665</v>
      </c>
      <c r="P24" t="s">
        <v>56</v>
      </c>
    </row>
    <row r="25" spans="1:17" x14ac:dyDescent="0.25">
      <c r="J25" s="7" t="s">
        <v>70</v>
      </c>
      <c r="K25" s="56">
        <f>S16/3/5</f>
        <v>18.766666666666666</v>
      </c>
      <c r="L25" s="8" t="s">
        <v>55</v>
      </c>
      <c r="N25" t="s">
        <v>68</v>
      </c>
      <c r="O25" s="1">
        <v>17.473333333333336</v>
      </c>
      <c r="P25" t="s">
        <v>56</v>
      </c>
    </row>
    <row r="26" spans="1:17" ht="15.75" thickBot="1" x14ac:dyDescent="0.3">
      <c r="J26" s="40" t="s">
        <v>71</v>
      </c>
      <c r="K26" s="57">
        <f>T16/3/5</f>
        <v>19.059999999999999</v>
      </c>
      <c r="L26" s="13" t="s">
        <v>55</v>
      </c>
    </row>
    <row r="27" spans="1:17" x14ac:dyDescent="0.25">
      <c r="N27" t="s">
        <v>94</v>
      </c>
    </row>
    <row r="28" spans="1:17" ht="15.75" thickBot="1" x14ac:dyDescent="0.3"/>
    <row r="29" spans="1:17" ht="15.75" thickBot="1" x14ac:dyDescent="0.3">
      <c r="N29" s="22"/>
      <c r="O29" s="2" t="s">
        <v>70</v>
      </c>
      <c r="P29" s="3" t="s">
        <v>69</v>
      </c>
      <c r="Q29" s="4" t="s">
        <v>68</v>
      </c>
    </row>
    <row r="30" spans="1:17" x14ac:dyDescent="0.25">
      <c r="N30" s="16" t="s">
        <v>71</v>
      </c>
      <c r="O30" s="10">
        <f>O22-O23</f>
        <v>0.293333333333333</v>
      </c>
      <c r="P30" s="10">
        <f>O22-O24</f>
        <v>1.0933333333333337</v>
      </c>
      <c r="Q30" s="21">
        <f>O22-O25</f>
        <v>1.5866666666666625</v>
      </c>
    </row>
    <row r="31" spans="1:17" x14ac:dyDescent="0.25">
      <c r="N31" s="16" t="s">
        <v>70</v>
      </c>
      <c r="O31" s="39"/>
      <c r="P31" s="39">
        <f>O23-O24</f>
        <v>0.80000000000000071</v>
      </c>
      <c r="Q31" s="8">
        <f>O23-O25</f>
        <v>1.2933333333333294</v>
      </c>
    </row>
    <row r="32" spans="1:17" ht="15.75" thickBot="1" x14ac:dyDescent="0.3">
      <c r="N32" s="23" t="s">
        <v>69</v>
      </c>
      <c r="O32" s="12"/>
      <c r="P32" s="12"/>
      <c r="Q32" s="13">
        <f>O24-O25</f>
        <v>0.49333333333332874</v>
      </c>
    </row>
  </sheetData>
  <sortState xmlns:xlrd2="http://schemas.microsoft.com/office/spreadsheetml/2017/richdata2" ref="N22:O25">
    <sortCondition descending="1" ref="O22:O25"/>
  </sortState>
  <mergeCells count="6">
    <mergeCell ref="Q11:T11"/>
    <mergeCell ref="C1:G1"/>
    <mergeCell ref="A1:A2"/>
    <mergeCell ref="B1:B2"/>
    <mergeCell ref="H1:H2"/>
    <mergeCell ref="Q3:U3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2024-11-11T09:35:26Z</dcterms:modified>
</cp:coreProperties>
</file>