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7\"/>
    </mc:Choice>
  </mc:AlternateContent>
  <xr:revisionPtr revIDLastSave="0" documentId="13_ncr:1_{0D927C2C-7E47-4A9D-A8C8-B84E8A5793BA}" xr6:coauthVersionLast="47" xr6:coauthVersionMax="47" xr10:uidLastSave="{00000000-0000-0000-0000-000000000000}"/>
  <bookViews>
    <workbookView xWindow="-120" yWindow="-120" windowWidth="20730" windowHeight="11160" activeTab="1" xr2:uid="{94995987-2730-4B5A-96B7-995DEF988FA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2" l="1"/>
  <c r="T16" i="2"/>
  <c r="T15" i="2"/>
  <c r="S15" i="2"/>
  <c r="T14" i="2"/>
  <c r="R14" i="2"/>
  <c r="T13" i="2"/>
  <c r="S13" i="2"/>
  <c r="R13" i="2"/>
  <c r="Q13" i="2"/>
  <c r="K17" i="2"/>
  <c r="K16" i="2"/>
  <c r="K15" i="2"/>
  <c r="K14" i="2"/>
  <c r="K13" i="2"/>
  <c r="I11" i="2"/>
  <c r="I10" i="2"/>
  <c r="G14" i="2"/>
  <c r="G13" i="2"/>
  <c r="F14" i="2"/>
  <c r="F13" i="2"/>
  <c r="E14" i="2"/>
  <c r="E13" i="2"/>
  <c r="D15" i="2"/>
  <c r="D14" i="2"/>
  <c r="D13" i="2"/>
  <c r="C14" i="2"/>
  <c r="C18" i="2"/>
  <c r="C13" i="2"/>
  <c r="C17" i="2"/>
  <c r="G6" i="2"/>
  <c r="G4" i="2"/>
  <c r="F9" i="2"/>
  <c r="C9" i="2"/>
  <c r="D9" i="2"/>
  <c r="E9" i="2"/>
  <c r="B9" i="2"/>
  <c r="F6" i="2"/>
  <c r="F7" i="2"/>
  <c r="F8" i="2"/>
  <c r="F5" i="2"/>
  <c r="F4" i="2"/>
  <c r="C8" i="2"/>
  <c r="F10" i="2"/>
  <c r="C10" i="2"/>
  <c r="G8" i="2"/>
  <c r="C20" i="1"/>
  <c r="C21" i="1"/>
  <c r="C22" i="1"/>
  <c r="C23" i="1"/>
  <c r="C19" i="1"/>
  <c r="J14" i="1"/>
  <c r="J13" i="1"/>
  <c r="J12" i="1"/>
  <c r="G13" i="1"/>
  <c r="F13" i="1"/>
  <c r="G12" i="1"/>
  <c r="F12" i="1"/>
  <c r="E13" i="1"/>
  <c r="E12" i="1"/>
  <c r="D14" i="1"/>
  <c r="D13" i="1"/>
  <c r="D12" i="1"/>
  <c r="C14" i="1"/>
  <c r="C13" i="1"/>
  <c r="C12" i="1"/>
  <c r="C15" i="1"/>
  <c r="G8" i="1"/>
  <c r="G5" i="1"/>
  <c r="F9" i="1"/>
  <c r="E9" i="1"/>
  <c r="D9" i="1"/>
  <c r="C9" i="1"/>
  <c r="B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<sst xmlns="http://schemas.openxmlformats.org/spreadsheetml/2006/main" count="106" uniqueCount="44">
  <si>
    <t>T1</t>
  </si>
  <si>
    <t>T2</t>
  </si>
  <si>
    <t>T3</t>
  </si>
  <si>
    <t>T4</t>
  </si>
  <si>
    <t>T5</t>
  </si>
  <si>
    <t>Tratamento</t>
  </si>
  <si>
    <t>Bloco</t>
  </si>
  <si>
    <t>Exemplo: Efeito da aplicação de Promalin na produção da macieira.</t>
  </si>
  <si>
    <t>TOTAL TR</t>
  </si>
  <si>
    <t>TOTAL BL</t>
  </si>
  <si>
    <t>FV</t>
  </si>
  <si>
    <t>GL</t>
  </si>
  <si>
    <t>SQ</t>
  </si>
  <si>
    <t>QM</t>
  </si>
  <si>
    <t>F</t>
  </si>
  <si>
    <t>Fc5%</t>
  </si>
  <si>
    <t>Fc1%</t>
  </si>
  <si>
    <t>TR</t>
  </si>
  <si>
    <t>BL</t>
  </si>
  <si>
    <t>R</t>
  </si>
  <si>
    <t>T</t>
  </si>
  <si>
    <t>B1</t>
  </si>
  <si>
    <t>B2</t>
  </si>
  <si>
    <t>B3</t>
  </si>
  <si>
    <t>B4</t>
  </si>
  <si>
    <t>G'</t>
  </si>
  <si>
    <t>B</t>
  </si>
  <si>
    <t>media</t>
  </si>
  <si>
    <t>C</t>
  </si>
  <si>
    <t>s</t>
  </si>
  <si>
    <t>s(m)</t>
  </si>
  <si>
    <t>CV</t>
  </si>
  <si>
    <t>TRAT</t>
  </si>
  <si>
    <t>TOTAL</t>
  </si>
  <si>
    <t>MEDIA</t>
  </si>
  <si>
    <t>Ordenar as Médias de maneira decrescente</t>
  </si>
  <si>
    <t>Média</t>
  </si>
  <si>
    <t>UT</t>
  </si>
  <si>
    <t>UB</t>
  </si>
  <si>
    <t>TR_aj</t>
  </si>
  <si>
    <t>BL_aj</t>
  </si>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</sst>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0" xfId="0" applyFont="1" applyFill="1"/>
    <xf numFmtId="0" fontId="2" fillId="3" borderId="7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164" fontId="2" fillId="3" borderId="0" xfId="0" applyNumberFormat="1" applyFont="1" applyFill="1"/>
    <xf numFmtId="0" fontId="2" fillId="3" borderId="9" xfId="0" applyFont="1" applyFill="1" applyBorder="1"/>
    <xf numFmtId="0" fontId="0" fillId="0" borderId="2" xfId="0" applyBorder="1"/>
    <xf numFmtId="0" fontId="0" fillId="0" borderId="5" xfId="0" applyBorder="1"/>
    <xf numFmtId="0" fontId="0" fillId="0" borderId="11" xfId="0" applyBorder="1"/>
    <xf numFmtId="0" fontId="0" fillId="0" borderId="8" xfId="0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8" xfId="0" applyFont="1" applyFill="1" applyBorder="1"/>
    <xf numFmtId="2" fontId="0" fillId="0" borderId="0" xfId="0" applyNumberFormat="1"/>
    <xf numFmtId="0" fontId="1" fillId="2" borderId="4" xfId="0" applyFont="1" applyFill="1" applyBorder="1" applyAlignment="1">
      <alignment horizontal="center"/>
    </xf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2" fontId="0" fillId="0" borderId="2" xfId="0" applyNumberFormat="1" applyBorder="1"/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2" fillId="3" borderId="13" xfId="0" applyFont="1" applyFill="1" applyBorder="1"/>
    <xf numFmtId="0" fontId="0" fillId="0" borderId="7" xfId="0" applyBorder="1"/>
    <xf numFmtId="0" fontId="2" fillId="3" borderId="3" xfId="0" applyFont="1" applyFill="1" applyBorder="1"/>
    <xf numFmtId="0" fontId="0" fillId="0" borderId="4" xfId="0" applyBorder="1"/>
    <xf numFmtId="0" fontId="0" fillId="0" borderId="6" xfId="0" applyBorder="1"/>
    <xf numFmtId="0" fontId="4" fillId="0" borderId="0" xfId="0" applyFont="1"/>
    <xf numFmtId="2" fontId="5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571501</xdr:colOff>
      <xdr:row>0</xdr:row>
      <xdr:rowOff>0</xdr:rowOff>
    </xdr:from>
    <xdr:to>
      <xdr:col>10</xdr:col>
      <xdr:colOff>511970</xdr:colOff>
      <xdr:row>2</xdr:row>
      <xdr:rowOff>179117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1BDAA2-C93A-2202-2E7D-626F86C43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345" y="0"/>
          <a:ext cx="1762124" cy="583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529829</xdr:colOff>
      <xdr:row>2</xdr:row>
      <xdr:rowOff>154781</xdr:rowOff>
    </xdr:from>
    <xdr:to>
      <xdr:col>11</xdr:col>
      <xdr:colOff>70314</xdr:colOff>
      <xdr:row>5</xdr:row>
      <xdr:rowOff>148828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8D42D0D-CDA8-187D-857C-F93C4338F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673" y="559594"/>
          <a:ext cx="1969360" cy="577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523876</xdr:colOff>
      <xdr:row>5</xdr:row>
      <xdr:rowOff>148829</xdr:rowOff>
    </xdr:from>
    <xdr:to>
      <xdr:col>11</xdr:col>
      <xdr:colOff>53578</xdr:colOff>
      <xdr:row>8</xdr:row>
      <xdr:rowOff>151677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6DF206B-7F85-1873-A94F-37104595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720" y="1137048"/>
          <a:ext cx="1958577" cy="586254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264386</xdr:colOff>
      <xdr:row>8</xdr:row>
      <xdr:rowOff>185173</xdr:rowOff>
    </xdr:from>
    <xdr:to>
      <xdr:col>11</xdr:col>
      <xdr:colOff>335753</xdr:colOff>
      <xdr:row>10</xdr:row>
      <xdr:rowOff>52385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61415E5-7805-EBDE-616E-5FEC9DEF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6739" y="1753997"/>
          <a:ext cx="2514249" cy="270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A5C2-228B-4CEB-B963-ACE8DBCE6EF0}">
  <dimension ref="A1:J32"/>
  <sheetViews>
    <sheetView zoomScale="170" zoomScaleNormal="170" workbookViewId="0">
      <selection activeCell="F12" sqref="F12:G13"/>
    </sheetView>
  </sheetViews>
  <sheetFormatPr defaultRowHeight="15" x14ac:dyDescent="0.25"/>
  <cols>
    <col min="1" max="1" width="12.28515625" bestFit="1" customWidth="1"/>
    <col min="3" max="3" width="8.140625" bestFit="1" customWidth="1"/>
  </cols>
  <sheetData>
    <row r="1" spans="1:10" ht="15.75" thickBot="1" x14ac:dyDescent="0.3">
      <c r="A1" t="s">
        <v>7</v>
      </c>
    </row>
    <row r="2" spans="1:10" ht="15.75" thickBot="1" x14ac:dyDescent="0.3">
      <c r="A2" s="22" t="s">
        <v>5</v>
      </c>
      <c r="B2" s="24" t="s">
        <v>6</v>
      </c>
      <c r="C2" s="24"/>
      <c r="D2" s="24"/>
      <c r="E2" s="24"/>
      <c r="F2" s="25" t="s">
        <v>8</v>
      </c>
    </row>
    <row r="3" spans="1:10" ht="15.75" thickBot="1" x14ac:dyDescent="0.3">
      <c r="A3" s="23"/>
      <c r="B3" s="16" t="s">
        <v>21</v>
      </c>
      <c r="C3" s="16" t="s">
        <v>22</v>
      </c>
      <c r="D3" s="16" t="s">
        <v>23</v>
      </c>
      <c r="E3" s="16" t="s">
        <v>24</v>
      </c>
      <c r="F3" s="26"/>
    </row>
    <row r="4" spans="1:10" x14ac:dyDescent="0.25">
      <c r="A4" s="11" t="s">
        <v>0</v>
      </c>
      <c r="B4" s="5">
        <v>142.4</v>
      </c>
      <c r="C4" s="5">
        <v>144.80000000000001</v>
      </c>
      <c r="D4" s="5">
        <v>145.19999999999999</v>
      </c>
      <c r="E4" s="5">
        <v>138.9</v>
      </c>
      <c r="F4" s="17">
        <f>SUM(B4:E4)</f>
        <v>571.30000000000007</v>
      </c>
      <c r="G4" t="s">
        <v>27</v>
      </c>
    </row>
    <row r="5" spans="1:10" x14ac:dyDescent="0.25">
      <c r="A5" s="12" t="s">
        <v>1</v>
      </c>
      <c r="B5" s="5">
        <v>139.30000000000001</v>
      </c>
      <c r="C5" s="5">
        <v>137.80000000000001</v>
      </c>
      <c r="D5" s="5">
        <v>144.4</v>
      </c>
      <c r="E5" s="5">
        <v>130.6</v>
      </c>
      <c r="F5" s="17">
        <f>SUM(B5:E5)</f>
        <v>552.1</v>
      </c>
      <c r="G5">
        <f>F9/5/4</f>
        <v>142.94999999999999</v>
      </c>
    </row>
    <row r="6" spans="1:10" x14ac:dyDescent="0.25">
      <c r="A6" s="12" t="s">
        <v>2</v>
      </c>
      <c r="B6" s="5">
        <v>140.69999999999999</v>
      </c>
      <c r="C6" s="5">
        <v>134.1</v>
      </c>
      <c r="D6" s="5">
        <v>136.1</v>
      </c>
      <c r="E6" s="5">
        <v>144.1</v>
      </c>
      <c r="F6" s="17">
        <f>SUM(B6:E6)</f>
        <v>555</v>
      </c>
    </row>
    <row r="7" spans="1:10" x14ac:dyDescent="0.25">
      <c r="A7" s="12" t="s">
        <v>3</v>
      </c>
      <c r="B7" s="5">
        <v>150.9</v>
      </c>
      <c r="C7" s="5">
        <v>135.80000000000001</v>
      </c>
      <c r="D7" s="5">
        <v>137</v>
      </c>
      <c r="E7" s="5">
        <v>136.4</v>
      </c>
      <c r="F7" s="17">
        <f>SUM(B7:E7)</f>
        <v>560.1</v>
      </c>
      <c r="G7" t="s">
        <v>28</v>
      </c>
    </row>
    <row r="8" spans="1:10" ht="15.75" thickBot="1" x14ac:dyDescent="0.3">
      <c r="A8" s="13" t="s">
        <v>4</v>
      </c>
      <c r="B8" s="5">
        <v>153.5</v>
      </c>
      <c r="C8" s="5">
        <v>165</v>
      </c>
      <c r="D8" s="5">
        <v>151.80000000000001</v>
      </c>
      <c r="E8" s="5">
        <v>150.19999999999999</v>
      </c>
      <c r="F8" s="17">
        <f>SUM(B8:E8)</f>
        <v>620.5</v>
      </c>
      <c r="G8">
        <f>F9*F9/4/5</f>
        <v>408694.05</v>
      </c>
    </row>
    <row r="9" spans="1:10" ht="15.75" thickBot="1" x14ac:dyDescent="0.3">
      <c r="A9" s="14" t="s">
        <v>9</v>
      </c>
      <c r="B9" s="18">
        <f>SUM(B4:B8)</f>
        <v>726.80000000000007</v>
      </c>
      <c r="C9" s="18">
        <f>SUM(C4:C8)</f>
        <v>717.5</v>
      </c>
      <c r="D9" s="18">
        <f>SUM(D4:D8)</f>
        <v>714.5</v>
      </c>
      <c r="E9" s="18">
        <f>SUM(E4:E8)</f>
        <v>700.2</v>
      </c>
      <c r="F9" s="19">
        <f>SUM(F4:F8)</f>
        <v>2859</v>
      </c>
    </row>
    <row r="10" spans="1:10" ht="15.75" thickBot="1" x14ac:dyDescent="0.3"/>
    <row r="11" spans="1:10" ht="15.75" thickBot="1" x14ac:dyDescent="0.3">
      <c r="A11" s="6" t="s">
        <v>10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8" t="s">
        <v>16</v>
      </c>
    </row>
    <row r="12" spans="1:10" x14ac:dyDescent="0.25">
      <c r="A12" s="1" t="s">
        <v>17</v>
      </c>
      <c r="B12">
        <v>4</v>
      </c>
      <c r="C12">
        <f>SUMSQ(F4:F8)/4-G8</f>
        <v>794.79000000003725</v>
      </c>
      <c r="D12">
        <f>C12/B12</f>
        <v>198.69750000000931</v>
      </c>
      <c r="E12">
        <f>D12/D14</f>
        <v>5.8929498237854654</v>
      </c>
      <c r="F12" s="15">
        <f>_xlfn.F.INV(0.95,$B12,$B$14)</f>
        <v>3.2591667269012485</v>
      </c>
      <c r="G12" s="15">
        <f>_xlfn.F.INV(0.99,$B12,$B$14)</f>
        <v>5.4119514344731394</v>
      </c>
      <c r="I12" t="s">
        <v>29</v>
      </c>
      <c r="J12">
        <f>SQRT(D14)</f>
        <v>5.8067058934751383</v>
      </c>
    </row>
    <row r="13" spans="1:10" x14ac:dyDescent="0.25">
      <c r="A13" s="1" t="s">
        <v>18</v>
      </c>
      <c r="B13">
        <v>3</v>
      </c>
      <c r="C13">
        <f>SUMSQ(B9:E9)/5-G8</f>
        <v>72.906000000075437</v>
      </c>
      <c r="D13">
        <f>C13/B13</f>
        <v>24.302000000025146</v>
      </c>
      <c r="E13">
        <f>D13/D14</f>
        <v>0.72074619266863371</v>
      </c>
      <c r="F13" s="15">
        <f>_xlfn.F.INV(0.95,$B13,$B$14)</f>
        <v>3.4902948194976031</v>
      </c>
      <c r="G13" s="15">
        <f>_xlfn.F.INV(0.99,$B13,$B$14)</f>
        <v>5.9525446815458665</v>
      </c>
      <c r="I13" t="s">
        <v>30</v>
      </c>
      <c r="J13">
        <f>SQRT(D14/4)</f>
        <v>2.9033529467375692</v>
      </c>
    </row>
    <row r="14" spans="1:10" ht="15.75" thickBot="1" x14ac:dyDescent="0.3">
      <c r="A14" s="1" t="s">
        <v>19</v>
      </c>
      <c r="B14">
        <v>12</v>
      </c>
      <c r="C14" s="15">
        <f>C15-C12-C13</f>
        <v>404.61399999982677</v>
      </c>
      <c r="D14">
        <f>C14/B14</f>
        <v>33.7178333333189</v>
      </c>
      <c r="I14" t="s">
        <v>31</v>
      </c>
      <c r="J14">
        <f>100*J12/G5</f>
        <v>4.0620537904687923</v>
      </c>
    </row>
    <row r="15" spans="1:10" ht="15.75" thickBot="1" x14ac:dyDescent="0.3">
      <c r="A15" s="6" t="s">
        <v>20</v>
      </c>
      <c r="B15" s="7">
        <v>19</v>
      </c>
      <c r="C15" s="20">
        <f>SUMSQ(B4:E8)-G8</f>
        <v>1272.3099999999395</v>
      </c>
      <c r="D15" s="7"/>
      <c r="E15" s="7"/>
      <c r="F15" s="7"/>
      <c r="G15" s="8"/>
    </row>
    <row r="18" spans="1:3" x14ac:dyDescent="0.25">
      <c r="A18" s="1" t="s">
        <v>32</v>
      </c>
      <c r="B18" t="s">
        <v>33</v>
      </c>
      <c r="C18" t="s">
        <v>34</v>
      </c>
    </row>
    <row r="19" spans="1:3" x14ac:dyDescent="0.25">
      <c r="A19" s="1" t="s">
        <v>0</v>
      </c>
      <c r="B19" s="21">
        <v>571.30000000000007</v>
      </c>
      <c r="C19">
        <f>B19/4</f>
        <v>142.82500000000002</v>
      </c>
    </row>
    <row r="20" spans="1:3" x14ac:dyDescent="0.25">
      <c r="A20" s="1" t="s">
        <v>1</v>
      </c>
      <c r="B20" s="21">
        <v>552.1</v>
      </c>
      <c r="C20">
        <f t="shared" ref="C20:C23" si="0">B20/4</f>
        <v>138.02500000000001</v>
      </c>
    </row>
    <row r="21" spans="1:3" x14ac:dyDescent="0.25">
      <c r="A21" s="1" t="s">
        <v>2</v>
      </c>
      <c r="B21" s="21">
        <v>555</v>
      </c>
      <c r="C21">
        <f t="shared" si="0"/>
        <v>138.75</v>
      </c>
    </row>
    <row r="22" spans="1:3" x14ac:dyDescent="0.25">
      <c r="A22" s="1" t="s">
        <v>3</v>
      </c>
      <c r="B22" s="21">
        <v>560.1</v>
      </c>
      <c r="C22">
        <f t="shared" si="0"/>
        <v>140.02500000000001</v>
      </c>
    </row>
    <row r="23" spans="1:3" x14ac:dyDescent="0.25">
      <c r="A23" s="1" t="s">
        <v>4</v>
      </c>
      <c r="B23" s="21">
        <v>620.5</v>
      </c>
      <c r="C23">
        <f t="shared" si="0"/>
        <v>155.125</v>
      </c>
    </row>
    <row r="25" spans="1:3" x14ac:dyDescent="0.25">
      <c r="A25" s="1" t="s">
        <v>35</v>
      </c>
    </row>
    <row r="27" spans="1:3" x14ac:dyDescent="0.25">
      <c r="A27" s="1" t="s">
        <v>32</v>
      </c>
      <c r="B27" t="s">
        <v>34</v>
      </c>
    </row>
    <row r="28" spans="1:3" x14ac:dyDescent="0.25">
      <c r="A28" s="1" t="s">
        <v>4</v>
      </c>
      <c r="B28">
        <v>155.125</v>
      </c>
    </row>
    <row r="29" spans="1:3" x14ac:dyDescent="0.25">
      <c r="A29" s="1" t="s">
        <v>0</v>
      </c>
      <c r="B29">
        <v>142.82500000000002</v>
      </c>
    </row>
    <row r="30" spans="1:3" x14ac:dyDescent="0.25">
      <c r="A30" s="1" t="s">
        <v>3</v>
      </c>
      <c r="B30">
        <v>140.02500000000001</v>
      </c>
    </row>
    <row r="31" spans="1:3" x14ac:dyDescent="0.25">
      <c r="A31" s="1" t="s">
        <v>2</v>
      </c>
      <c r="B31">
        <v>138.75</v>
      </c>
    </row>
    <row r="32" spans="1:3" x14ac:dyDescent="0.25">
      <c r="A32" s="1" t="s">
        <v>1</v>
      </c>
      <c r="B32">
        <v>138.02500000000001</v>
      </c>
    </row>
  </sheetData>
  <sortState xmlns:xlrd2="http://schemas.microsoft.com/office/spreadsheetml/2017/richdata2" ref="A28:B32">
    <sortCondition descending="1" ref="B28:B32"/>
  </sortState>
  <mergeCells count="3">
    <mergeCell ref="A2:A3"/>
    <mergeCell ref="B2:E2"/>
    <mergeCell ref="F2:F3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6E36-B12E-470C-A7F9-CB2AA7CB0AB1}">
  <dimension ref="A1:T18"/>
  <sheetViews>
    <sheetView tabSelected="1" zoomScale="190" zoomScaleNormal="190" workbookViewId="0">
      <selection activeCell="C6" sqref="C6"/>
    </sheetView>
  </sheetViews>
  <sheetFormatPr defaultRowHeight="15" x14ac:dyDescent="0.25"/>
  <cols>
    <col min="1" max="1" width="11.42578125" bestFit="1" customWidth="1"/>
    <col min="17" max="20" width="7" customWidth="1"/>
  </cols>
  <sheetData>
    <row r="1" spans="1:20" ht="15.75" thickBot="1" x14ac:dyDescent="0.3">
      <c r="A1" t="s">
        <v>7</v>
      </c>
    </row>
    <row r="2" spans="1:20" ht="15.75" thickBot="1" x14ac:dyDescent="0.3">
      <c r="A2" s="22" t="s">
        <v>5</v>
      </c>
      <c r="B2" s="24" t="s">
        <v>6</v>
      </c>
      <c r="C2" s="24"/>
      <c r="D2" s="24"/>
      <c r="E2" s="27"/>
      <c r="F2" s="25" t="s">
        <v>8</v>
      </c>
    </row>
    <row r="3" spans="1:20" ht="15.75" thickBot="1" x14ac:dyDescent="0.3">
      <c r="A3" s="23"/>
      <c r="B3" s="16" t="s">
        <v>21</v>
      </c>
      <c r="C3" s="16" t="s">
        <v>22</v>
      </c>
      <c r="D3" s="16" t="s">
        <v>23</v>
      </c>
      <c r="E3" s="16" t="s">
        <v>24</v>
      </c>
      <c r="F3" s="26"/>
      <c r="G3" s="28" t="s">
        <v>36</v>
      </c>
    </row>
    <row r="4" spans="1:20" x14ac:dyDescent="0.25">
      <c r="A4" s="11" t="s">
        <v>0</v>
      </c>
      <c r="B4" s="1">
        <v>142.4</v>
      </c>
      <c r="C4" s="1">
        <v>144.80000000000001</v>
      </c>
      <c r="D4" s="1">
        <v>145.19999999999999</v>
      </c>
      <c r="E4" s="2">
        <v>138.9</v>
      </c>
      <c r="F4" s="9">
        <f>SUM(B4:E4)</f>
        <v>571.30000000000007</v>
      </c>
      <c r="G4">
        <f>F9/5/4</f>
        <v>142.17291666666668</v>
      </c>
    </row>
    <row r="5" spans="1:20" x14ac:dyDescent="0.25">
      <c r="A5" s="12" t="s">
        <v>1</v>
      </c>
      <c r="B5" s="1">
        <v>139.30000000000001</v>
      </c>
      <c r="C5" s="1">
        <v>137.80000000000001</v>
      </c>
      <c r="D5" s="1">
        <v>144.4</v>
      </c>
      <c r="E5" s="2">
        <v>130.6</v>
      </c>
      <c r="F5" s="9">
        <f>SUM(B5:E5)</f>
        <v>552.1</v>
      </c>
      <c r="G5" t="s">
        <v>28</v>
      </c>
    </row>
    <row r="6" spans="1:20" x14ac:dyDescent="0.25">
      <c r="A6" s="12" t="s">
        <v>2</v>
      </c>
      <c r="B6" s="1">
        <v>140.69999999999999</v>
      </c>
      <c r="C6" s="1">
        <v>134.1</v>
      </c>
      <c r="D6" s="1">
        <v>136.1</v>
      </c>
      <c r="E6" s="2">
        <v>144.1</v>
      </c>
      <c r="F6" s="9">
        <f t="shared" ref="F6:F8" si="0">SUM(B6:E6)</f>
        <v>555</v>
      </c>
      <c r="G6">
        <f>F9*F9/5/4</f>
        <v>404262.76467013895</v>
      </c>
    </row>
    <row r="7" spans="1:20" ht="15.75" thickBot="1" x14ac:dyDescent="0.3">
      <c r="A7" s="12" t="s">
        <v>3</v>
      </c>
      <c r="B7" s="1">
        <v>150.9</v>
      </c>
      <c r="C7" s="1">
        <v>135.80000000000001</v>
      </c>
      <c r="D7" s="1">
        <v>137</v>
      </c>
      <c r="E7" s="2">
        <v>136.4</v>
      </c>
      <c r="F7" s="9">
        <f t="shared" si="0"/>
        <v>560.1</v>
      </c>
    </row>
    <row r="8" spans="1:20" ht="15.75" thickBot="1" x14ac:dyDescent="0.3">
      <c r="A8" s="13" t="s">
        <v>4</v>
      </c>
      <c r="B8" s="3">
        <v>153.5</v>
      </c>
      <c r="C8" s="37">
        <f>(5*G8+4*C10-F10)/(4*3)</f>
        <v>149.45833333333334</v>
      </c>
      <c r="D8" s="3">
        <v>151.80000000000001</v>
      </c>
      <c r="E8" s="4">
        <v>150.19999999999999</v>
      </c>
      <c r="F8" s="9">
        <f t="shared" si="0"/>
        <v>604.95833333333337</v>
      </c>
      <c r="G8" s="10">
        <f>SUM(D8:E8,B8)</f>
        <v>455.5</v>
      </c>
      <c r="H8" t="s">
        <v>20</v>
      </c>
    </row>
    <row r="9" spans="1:20" ht="15.75" thickBot="1" x14ac:dyDescent="0.3">
      <c r="A9" s="14" t="s">
        <v>9</v>
      </c>
      <c r="B9" s="7">
        <f>SUM(B4:B8)</f>
        <v>726.80000000000007</v>
      </c>
      <c r="C9" s="7">
        <f t="shared" ref="C9:E9" si="1">SUM(C4:C8)</f>
        <v>701.95833333333337</v>
      </c>
      <c r="D9" s="7">
        <f t="shared" si="1"/>
        <v>714.5</v>
      </c>
      <c r="E9" s="7">
        <f t="shared" si="1"/>
        <v>700.2</v>
      </c>
      <c r="F9" s="10">
        <f>SUM(F4:F8)</f>
        <v>2843.4583333333335</v>
      </c>
    </row>
    <row r="10" spans="1:20" ht="15.75" thickBot="1" x14ac:dyDescent="0.3">
      <c r="C10" s="10">
        <f>SUM(C4:C7)</f>
        <v>552.5</v>
      </c>
      <c r="D10" t="s">
        <v>26</v>
      </c>
      <c r="F10" s="10">
        <f>SUM(B4:E7,D8:E8,B8)</f>
        <v>2694</v>
      </c>
      <c r="G10" t="s">
        <v>25</v>
      </c>
      <c r="I10">
        <f>4.57*SQRT(D15/4)</f>
        <v>11.102371819687241</v>
      </c>
    </row>
    <row r="11" spans="1:20" ht="15.75" thickBot="1" x14ac:dyDescent="0.3">
      <c r="I11">
        <f>4.57*SQRT(1/2*(2/4+1/(4*3*4))*23.61)</f>
        <v>11.331791665211201</v>
      </c>
    </row>
    <row r="12" spans="1:20" ht="15.75" thickBot="1" x14ac:dyDescent="0.3">
      <c r="A12" s="6" t="s">
        <v>10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8" t="s">
        <v>16</v>
      </c>
      <c r="I12" s="30" t="s">
        <v>17</v>
      </c>
      <c r="J12" s="7" t="s">
        <v>33</v>
      </c>
      <c r="K12" s="8" t="s">
        <v>34</v>
      </c>
      <c r="M12" s="30" t="s">
        <v>17</v>
      </c>
      <c r="N12" s="8" t="s">
        <v>34</v>
      </c>
      <c r="Q12" t="s">
        <v>0</v>
      </c>
      <c r="R12" t="s">
        <v>3</v>
      </c>
      <c r="S12" t="s">
        <v>2</v>
      </c>
      <c r="T12" t="s">
        <v>1</v>
      </c>
    </row>
    <row r="13" spans="1:20" x14ac:dyDescent="0.25">
      <c r="A13" s="1" t="s">
        <v>39</v>
      </c>
      <c r="B13">
        <v>4</v>
      </c>
      <c r="C13">
        <f>464.659097222204-C17</f>
        <v>361.90354166664827</v>
      </c>
      <c r="D13">
        <f>C13/B13</f>
        <v>90.475885416662067</v>
      </c>
      <c r="E13">
        <f>D13/D15</f>
        <v>3.8324254461817939</v>
      </c>
      <c r="F13" s="15">
        <f>_xlfn.F.INV(0.95,$B13,$B$15)</f>
        <v>3.3566900211325938</v>
      </c>
      <c r="G13" s="15">
        <f>_xlfn.F.INV(0.99,$B13,$B$15)</f>
        <v>5.6683002128787709</v>
      </c>
      <c r="I13" s="31" t="s">
        <v>0</v>
      </c>
      <c r="J13" s="29">
        <v>571.30000000000007</v>
      </c>
      <c r="K13" s="32">
        <f>J13/4</f>
        <v>142.82500000000002</v>
      </c>
      <c r="M13" s="31" t="s">
        <v>4</v>
      </c>
      <c r="N13" s="32">
        <v>151.23958333333334</v>
      </c>
      <c r="O13" t="s">
        <v>41</v>
      </c>
      <c r="P13" s="31" t="s">
        <v>4</v>
      </c>
      <c r="Q13">
        <f>N13-N14</f>
        <v>8.4145833333333258</v>
      </c>
      <c r="R13">
        <f>N13-N15</f>
        <v>11.214583333333337</v>
      </c>
      <c r="S13" s="36">
        <f>N13-N16</f>
        <v>12.489583333333343</v>
      </c>
      <c r="T13" s="36">
        <f>N13-N17</f>
        <v>13.214583333333337</v>
      </c>
    </row>
    <row r="14" spans="1:20" x14ac:dyDescent="0.25">
      <c r="A14" s="1" t="s">
        <v>40</v>
      </c>
      <c r="B14">
        <v>3</v>
      </c>
      <c r="C14">
        <f>92.0416770832962-C18</f>
        <v>87.811208333296193</v>
      </c>
      <c r="D14">
        <f>C14/B14</f>
        <v>29.270402777765398</v>
      </c>
      <c r="E14">
        <f>D14/D15</f>
        <v>1.2398512145960152</v>
      </c>
      <c r="F14" s="15">
        <f>_xlfn.F.INV(0.95,$B14,$B$15)</f>
        <v>3.5874337024204941</v>
      </c>
      <c r="G14" s="15">
        <f>_xlfn.F.INV(0.99,$B14,$B$15)</f>
        <v>6.2167298115386505</v>
      </c>
      <c r="I14" s="31" t="s">
        <v>1</v>
      </c>
      <c r="J14" s="29">
        <v>552.1</v>
      </c>
      <c r="K14" s="32">
        <f>J14/4</f>
        <v>138.02500000000001</v>
      </c>
      <c r="M14" s="31" t="s">
        <v>0</v>
      </c>
      <c r="N14" s="32">
        <v>142.82500000000002</v>
      </c>
      <c r="O14" t="s">
        <v>43</v>
      </c>
      <c r="P14" s="31" t="s">
        <v>0</v>
      </c>
      <c r="R14">
        <f>N14-N15</f>
        <v>2.8000000000000114</v>
      </c>
      <c r="S14">
        <f>N14-N16</f>
        <v>4.0750000000000171</v>
      </c>
      <c r="T14">
        <f>N14-N17</f>
        <v>4.8000000000000114</v>
      </c>
    </row>
    <row r="15" spans="1:20" ht="15.75" thickBot="1" x14ac:dyDescent="0.3">
      <c r="A15" s="1" t="s">
        <v>19</v>
      </c>
      <c r="B15">
        <v>11</v>
      </c>
      <c r="C15">
        <v>259.68795833323384</v>
      </c>
      <c r="D15">
        <f>C15/B15</f>
        <v>23.607996212112166</v>
      </c>
      <c r="I15" s="31" t="s">
        <v>2</v>
      </c>
      <c r="J15" s="29">
        <v>555</v>
      </c>
      <c r="K15" s="32">
        <f>J15/4</f>
        <v>138.75</v>
      </c>
      <c r="M15" s="31" t="s">
        <v>3</v>
      </c>
      <c r="N15" s="32">
        <v>140.02500000000001</v>
      </c>
      <c r="O15" t="s">
        <v>43</v>
      </c>
      <c r="P15" s="31" t="s">
        <v>3</v>
      </c>
      <c r="S15">
        <f>N15-N16</f>
        <v>1.2750000000000057</v>
      </c>
      <c r="T15">
        <f>N15-N17</f>
        <v>2</v>
      </c>
    </row>
    <row r="16" spans="1:20" ht="15.75" thickBot="1" x14ac:dyDescent="0.3">
      <c r="A16" s="6" t="s">
        <v>20</v>
      </c>
      <c r="B16" s="7">
        <v>18</v>
      </c>
      <c r="C16" s="7">
        <v>816.38873263873393</v>
      </c>
      <c r="D16" s="7"/>
      <c r="E16" s="7"/>
      <c r="F16" s="7"/>
      <c r="G16" s="8"/>
      <c r="I16" s="31" t="s">
        <v>3</v>
      </c>
      <c r="J16" s="29">
        <v>560.1</v>
      </c>
      <c r="K16" s="32">
        <f>J16/4</f>
        <v>140.02500000000001</v>
      </c>
      <c r="M16" s="31" t="s">
        <v>2</v>
      </c>
      <c r="N16" s="32">
        <v>138.75</v>
      </c>
      <c r="O16" t="s">
        <v>42</v>
      </c>
      <c r="P16" s="31" t="s">
        <v>2</v>
      </c>
      <c r="T16">
        <f>N16-N17</f>
        <v>0.72499999999999432</v>
      </c>
    </row>
    <row r="17" spans="2:15" ht="15.75" thickBot="1" x14ac:dyDescent="0.3">
      <c r="B17" t="s">
        <v>37</v>
      </c>
      <c r="C17">
        <f>(5-1)/5*(C8-C10/B13)^2</f>
        <v>102.75555555555573</v>
      </c>
      <c r="I17" s="33" t="s">
        <v>4</v>
      </c>
      <c r="J17" s="34">
        <v>604.95833333333337</v>
      </c>
      <c r="K17" s="35">
        <f>J17/4</f>
        <v>151.23958333333334</v>
      </c>
      <c r="M17" s="33" t="s">
        <v>1</v>
      </c>
      <c r="N17" s="35">
        <v>138.02500000000001</v>
      </c>
      <c r="O17" t="s">
        <v>42</v>
      </c>
    </row>
    <row r="18" spans="2:15" x14ac:dyDescent="0.25">
      <c r="B18" t="s">
        <v>38</v>
      </c>
      <c r="C18">
        <f>(4-1)/4*(C8-G8/B14)^2</f>
        <v>4.23046875</v>
      </c>
    </row>
  </sheetData>
  <sortState xmlns:xlrd2="http://schemas.microsoft.com/office/spreadsheetml/2017/richdata2" ref="M13:N17">
    <sortCondition descending="1" ref="N13:N17"/>
  </sortState>
  <mergeCells count="3">
    <mergeCell ref="A2:A3"/>
    <mergeCell ref="B2:E2"/>
    <mergeCell ref="F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2024-10-04T11:07:43Z</dcterms:created>
  <dcterms:modified xsi:type="dcterms:W3CDTF">2024-10-07T12:33:04Z</dcterms:modified>
</cp:coreProperties>
</file>