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perimentacao-agricola-unesp-fcav\Listas\"/>
    </mc:Choice>
  </mc:AlternateContent>
  <xr:revisionPtr revIDLastSave="0" documentId="13_ncr:1_{22D37930-7CF4-4244-B7A2-8AE71DFEBCD9}" xr6:coauthVersionLast="47" xr6:coauthVersionMax="47" xr10:uidLastSave="{00000000-0000-0000-0000-000000000000}"/>
  <bookViews>
    <workbookView xWindow="-120" yWindow="-120" windowWidth="29040" windowHeight="15840" xr2:uid="{515D6C85-36C7-40AE-A3B3-0E51A53945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1" i="1" l="1"/>
  <c r="B70" i="1"/>
  <c r="B69" i="1"/>
  <c r="B68" i="1"/>
  <c r="B67" i="1"/>
  <c r="B66" i="1"/>
  <c r="D27" i="1"/>
  <c r="D26" i="1"/>
  <c r="B32" i="1"/>
  <c r="B31" i="1"/>
  <c r="B34" i="1"/>
  <c r="G24" i="1"/>
  <c r="F24" i="1"/>
  <c r="D24" i="1"/>
  <c r="C24" i="1"/>
  <c r="B24" i="1"/>
  <c r="H23" i="1"/>
  <c r="H22" i="1"/>
  <c r="H21" i="1"/>
  <c r="H20" i="1"/>
  <c r="B14" i="1"/>
  <c r="H3" i="1"/>
  <c r="B12" i="1" s="1"/>
  <c r="B33" i="1" l="1"/>
  <c r="E39" i="1" s="1"/>
  <c r="B39" i="1" l="1"/>
  <c r="E40" i="1"/>
  <c r="B40" i="1"/>
  <c r="E8" i="1"/>
  <c r="B13" i="1" s="1"/>
  <c r="B15" i="1" s="1"/>
  <c r="E19" i="1" s="1"/>
  <c r="E24" i="1" l="1"/>
  <c r="C27" i="1"/>
  <c r="C26" i="1"/>
  <c r="H19" i="1"/>
  <c r="H8" i="1"/>
  <c r="H24" i="1" l="1"/>
  <c r="H25" i="1" l="1"/>
  <c r="H26" i="1" l="1"/>
  <c r="H27" i="1"/>
  <c r="C32" i="1" l="1"/>
  <c r="D32" i="1" s="1"/>
  <c r="C34" i="1"/>
  <c r="C31" i="1"/>
  <c r="D31" i="1" s="1"/>
  <c r="C33" i="1" l="1"/>
  <c r="D33" i="1" s="1"/>
  <c r="E32" i="1"/>
  <c r="D56" i="1" l="1"/>
  <c r="B56" i="1"/>
  <c r="C46" i="1"/>
  <c r="C47" i="1"/>
  <c r="C48" i="1"/>
  <c r="C49" i="1"/>
  <c r="C50" i="1"/>
  <c r="B35" i="1"/>
  <c r="E31" i="1"/>
</calcChain>
</file>

<file path=xl/sharedStrings.xml><?xml version="1.0" encoding="utf-8"?>
<sst xmlns="http://schemas.openxmlformats.org/spreadsheetml/2006/main" count="108" uniqueCount="66">
  <si>
    <t>Tratamento</t>
  </si>
  <si>
    <t>Bloco</t>
  </si>
  <si>
    <t>I</t>
  </si>
  <si>
    <t>II</t>
  </si>
  <si>
    <t>III</t>
  </si>
  <si>
    <t>IV</t>
  </si>
  <si>
    <t>Blocos</t>
  </si>
  <si>
    <t>Tratamentos</t>
  </si>
  <si>
    <t>Total (B)</t>
  </si>
  <si>
    <t>Total (T)</t>
  </si>
  <si>
    <t>FV</t>
  </si>
  <si>
    <t>GL</t>
  </si>
  <si>
    <t>SQ</t>
  </si>
  <si>
    <t>QM</t>
  </si>
  <si>
    <t>F</t>
  </si>
  <si>
    <t>Res.</t>
  </si>
  <si>
    <t>Total</t>
  </si>
  <si>
    <t>CV</t>
  </si>
  <si>
    <t>G</t>
  </si>
  <si>
    <t>C</t>
  </si>
  <si>
    <t>media_geral</t>
  </si>
  <si>
    <t>**</t>
  </si>
  <si>
    <t>*</t>
  </si>
  <si>
    <t>Rejeitamos H0 a 1%</t>
  </si>
  <si>
    <t>Conclusão (Trat):</t>
  </si>
  <si>
    <t>Conclusão (Bloco):</t>
  </si>
  <si>
    <t>Média</t>
  </si>
  <si>
    <t>Erro Padrão</t>
  </si>
  <si>
    <t>Tukey</t>
  </si>
  <si>
    <t>DMS</t>
  </si>
  <si>
    <t>a</t>
  </si>
  <si>
    <t>contrastes</t>
  </si>
  <si>
    <t>b</t>
  </si>
  <si>
    <t>ns</t>
  </si>
  <si>
    <t>c</t>
  </si>
  <si>
    <t>1-CB 41/70</t>
  </si>
  <si>
    <t>2-CB 41/76</t>
  </si>
  <si>
    <t>3-CB 40/19</t>
  </si>
  <si>
    <t>4-Co 419</t>
  </si>
  <si>
    <t>5-Co 421</t>
  </si>
  <si>
    <r>
      <t>y</t>
    </r>
    <r>
      <rPr>
        <vertAlign val="subscript"/>
        <sz val="11"/>
        <color rgb="FFFF0000"/>
        <rFont val="Calibri"/>
        <family val="2"/>
        <scheme val="minor"/>
      </rPr>
      <t>ij</t>
    </r>
  </si>
  <si>
    <t>J</t>
  </si>
  <si>
    <t>T</t>
  </si>
  <si>
    <t>B</t>
  </si>
  <si>
    <t>G'</t>
  </si>
  <si>
    <t xml:space="preserve">yij </t>
  </si>
  <si>
    <r>
      <t>U</t>
    </r>
    <r>
      <rPr>
        <vertAlign val="subscript"/>
        <sz val="11"/>
        <color theme="1"/>
        <rFont val="Calibri"/>
        <family val="2"/>
        <scheme val="minor"/>
      </rPr>
      <t>B</t>
    </r>
  </si>
  <si>
    <r>
      <t>U</t>
    </r>
    <r>
      <rPr>
        <vertAlign val="subscript"/>
        <sz val="11"/>
        <color theme="1"/>
        <rFont val="Calibri"/>
        <family val="2"/>
        <scheme val="minor"/>
      </rPr>
      <t>T</t>
    </r>
  </si>
  <si>
    <t>Bloco (Aj)</t>
  </si>
  <si>
    <t>Trat.(Aj)</t>
  </si>
  <si>
    <t>Fc(4 x 19)</t>
  </si>
  <si>
    <t>Fc(5 x 19)</t>
  </si>
  <si>
    <t>q(5 X 19)</t>
  </si>
  <si>
    <t>Não Perdeu Parcela</t>
  </si>
  <si>
    <t>Perdeu Parcela</t>
  </si>
  <si>
    <t>m2 - m3</t>
  </si>
  <si>
    <t>m2 - m1</t>
  </si>
  <si>
    <t>DMS comparada</t>
  </si>
  <si>
    <t>m2 - m5</t>
  </si>
  <si>
    <t>m1 - m5</t>
  </si>
  <si>
    <t>ab</t>
  </si>
  <si>
    <t>m3 - m5</t>
  </si>
  <si>
    <t>m5 - m4</t>
  </si>
  <si>
    <t>Melhores variedades: CB 41/76 e CB 40/19</t>
  </si>
  <si>
    <t>V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</si>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</sst>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9" fontId="0" fillId="0" borderId="0" xfId="0" applyNumberFormat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/>
    </xf>
    <xf numFmtId="165" fontId="0" fillId="0" borderId="5" xfId="0" applyNumberFormat="1" applyBorder="1"/>
    <xf numFmtId="165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/>
    <xf numFmtId="0" fontId="0" fillId="0" borderId="0" xfId="0" applyFill="1"/>
    <xf numFmtId="0" fontId="0" fillId="0" borderId="1" xfId="0" applyFill="1" applyBorder="1"/>
    <xf numFmtId="2" fontId="0" fillId="0" borderId="1" xfId="0" applyNumberFormat="1" applyFill="1" applyBorder="1"/>
    <xf numFmtId="164" fontId="0" fillId="0" borderId="1" xfId="0" applyNumberFormat="1" applyFill="1" applyBorder="1"/>
    <xf numFmtId="2" fontId="0" fillId="0" borderId="0" xfId="0" applyNumberFormat="1" applyFill="1"/>
    <xf numFmtId="164" fontId="0" fillId="0" borderId="0" xfId="0" applyNumberFormat="1" applyFill="1"/>
    <xf numFmtId="0" fontId="0" fillId="0" borderId="6" xfId="0" applyFill="1" applyBorder="1"/>
    <xf numFmtId="2" fontId="0" fillId="0" borderId="6" xfId="0" applyNumberFormat="1" applyFill="1" applyBorder="1"/>
    <xf numFmtId="164" fontId="0" fillId="0" borderId="6" xfId="0" applyNumberFormat="1" applyFill="1" applyBorder="1"/>
    <xf numFmtId="0" fontId="4" fillId="0" borderId="0" xfId="0" applyFont="1" applyFill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/>
    <xf numFmtId="164" fontId="0" fillId="0" borderId="8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5050-5291-4B26-9FFA-18A15DF21D7F}">
  <dimension ref="A1:K73"/>
  <sheetViews>
    <sheetView tabSelected="1" zoomScale="175" zoomScaleNormal="175" workbookViewId="0">
      <selection activeCell="G3" sqref="G3"/>
    </sheetView>
  </sheetViews>
  <sheetFormatPr defaultRowHeight="15" x14ac:dyDescent="0.25"/>
  <cols>
    <col min="1" max="1" width="16.140625" bestFit="1" customWidth="1"/>
    <col min="3" max="3" width="9.85546875" customWidth="1"/>
    <col min="4" max="4" width="15.28515625" customWidth="1"/>
    <col min="5" max="5" width="11.7109375" customWidth="1"/>
    <col min="7" max="7" width="12" bestFit="1" customWidth="1"/>
    <col min="8" max="8" width="11.5703125" customWidth="1"/>
    <col min="14" max="14" width="10.140625" bestFit="1" customWidth="1"/>
  </cols>
  <sheetData>
    <row r="1" spans="1:8" x14ac:dyDescent="0.25">
      <c r="A1" s="12" t="s">
        <v>7</v>
      </c>
      <c r="B1" s="14" t="s">
        <v>6</v>
      </c>
      <c r="C1" s="14"/>
      <c r="D1" s="14"/>
      <c r="E1" s="14"/>
      <c r="F1" s="14"/>
      <c r="G1" s="14"/>
    </row>
    <row r="2" spans="1:8" x14ac:dyDescent="0.25">
      <c r="A2" s="13"/>
      <c r="B2" s="8" t="s">
        <v>2</v>
      </c>
      <c r="C2" s="8" t="s">
        <v>3</v>
      </c>
      <c r="D2" s="8" t="s">
        <v>4</v>
      </c>
      <c r="E2" s="8" t="s">
        <v>5</v>
      </c>
      <c r="F2" s="8" t="s">
        <v>64</v>
      </c>
      <c r="G2" s="8" t="s">
        <v>65</v>
      </c>
      <c r="H2" s="7" t="s">
        <v>9</v>
      </c>
    </row>
    <row r="3" spans="1:8" ht="18" x14ac:dyDescent="0.35">
      <c r="A3" t="s">
        <v>35</v>
      </c>
      <c r="B3">
        <v>131.1</v>
      </c>
      <c r="C3">
        <v>140.19999999999999</v>
      </c>
      <c r="D3">
        <v>141.9</v>
      </c>
      <c r="E3" s="9" t="s">
        <v>40</v>
      </c>
      <c r="F3">
        <v>143.69999999999999</v>
      </c>
      <c r="G3">
        <v>146.5</v>
      </c>
      <c r="H3" s="11">
        <f>SUM(B3:G3)</f>
        <v>703.39999999999986</v>
      </c>
    </row>
    <row r="4" spans="1:8" x14ac:dyDescent="0.25">
      <c r="A4" t="s">
        <v>36</v>
      </c>
      <c r="B4">
        <v>140.6</v>
      </c>
      <c r="C4">
        <v>150.80000000000001</v>
      </c>
      <c r="D4">
        <v>148.5</v>
      </c>
      <c r="E4">
        <v>141.30000000000001</v>
      </c>
      <c r="F4">
        <v>151.80000000000001</v>
      </c>
      <c r="G4">
        <v>156.19999999999999</v>
      </c>
      <c r="H4" s="11"/>
    </row>
    <row r="5" spans="1:8" x14ac:dyDescent="0.25">
      <c r="A5" t="s">
        <v>37</v>
      </c>
      <c r="B5">
        <v>131.69999999999999</v>
      </c>
      <c r="C5">
        <v>145</v>
      </c>
      <c r="D5">
        <v>137.6</v>
      </c>
      <c r="E5">
        <v>143.69999999999999</v>
      </c>
      <c r="F5">
        <v>152.19999999999999</v>
      </c>
      <c r="G5">
        <v>154.9</v>
      </c>
      <c r="H5" s="11"/>
    </row>
    <row r="6" spans="1:8" x14ac:dyDescent="0.25">
      <c r="A6" t="s">
        <v>38</v>
      </c>
      <c r="B6">
        <v>112.9</v>
      </c>
      <c r="C6">
        <v>122</v>
      </c>
      <c r="D6">
        <v>122.6</v>
      </c>
      <c r="E6">
        <v>107.5</v>
      </c>
      <c r="F6">
        <v>133.80000000000001</v>
      </c>
      <c r="G6">
        <v>141</v>
      </c>
      <c r="H6" s="11"/>
    </row>
    <row r="7" spans="1:8" x14ac:dyDescent="0.25">
      <c r="A7" t="s">
        <v>39</v>
      </c>
      <c r="B7">
        <v>117.9</v>
      </c>
      <c r="C7">
        <v>129.80000000000001</v>
      </c>
      <c r="D7">
        <v>132.80000000000001</v>
      </c>
      <c r="E7">
        <v>116</v>
      </c>
      <c r="F7">
        <v>148.4</v>
      </c>
      <c r="G7">
        <v>157.1</v>
      </c>
      <c r="H7" s="11"/>
    </row>
    <row r="8" spans="1:8" x14ac:dyDescent="0.25">
      <c r="A8" s="7" t="s">
        <v>8</v>
      </c>
      <c r="B8" s="10"/>
      <c r="C8" s="10"/>
      <c r="D8" s="10"/>
      <c r="E8" s="10">
        <f t="shared" ref="E8:H8" si="0">SUM(E3:E7)</f>
        <v>508.5</v>
      </c>
      <c r="F8" s="10"/>
      <c r="G8" s="10"/>
      <c r="H8" s="10">
        <f t="shared" si="0"/>
        <v>703.39999999999986</v>
      </c>
    </row>
    <row r="9" spans="1:8" x14ac:dyDescent="0.25">
      <c r="B9" s="2"/>
      <c r="C9" s="2"/>
      <c r="D9" s="2"/>
      <c r="E9" s="2"/>
      <c r="F9" s="2"/>
      <c r="G9" s="2"/>
      <c r="H9" s="2"/>
    </row>
    <row r="10" spans="1:8" x14ac:dyDescent="0.25">
      <c r="A10" t="s">
        <v>2</v>
      </c>
      <c r="B10" s="2">
        <v>5</v>
      </c>
      <c r="C10" s="2"/>
      <c r="D10" s="2"/>
      <c r="E10" s="2"/>
      <c r="F10" s="2"/>
      <c r="G10" s="2"/>
      <c r="H10" s="2"/>
    </row>
    <row r="11" spans="1:8" x14ac:dyDescent="0.25">
      <c r="A11" t="s">
        <v>41</v>
      </c>
      <c r="B11" s="2">
        <v>6</v>
      </c>
      <c r="C11" s="2"/>
      <c r="D11" s="2"/>
      <c r="E11" s="2"/>
      <c r="F11" s="2"/>
      <c r="G11" s="2"/>
      <c r="H11" s="2"/>
    </row>
    <row r="12" spans="1:8" x14ac:dyDescent="0.25">
      <c r="A12" t="s">
        <v>42</v>
      </c>
      <c r="B12">
        <f>H3</f>
        <v>703.39999999999986</v>
      </c>
      <c r="H12" s="2"/>
    </row>
    <row r="13" spans="1:8" x14ac:dyDescent="0.25">
      <c r="A13" t="s">
        <v>43</v>
      </c>
      <c r="B13" s="2">
        <f>E8</f>
        <v>508.5</v>
      </c>
    </row>
    <row r="14" spans="1:8" x14ac:dyDescent="0.25">
      <c r="A14" t="s">
        <v>44</v>
      </c>
      <c r="B14">
        <f>SUM(B3:D7,E4:E7,F3:G7)</f>
        <v>3999.4999999999995</v>
      </c>
    </row>
    <row r="15" spans="1:8" x14ac:dyDescent="0.25">
      <c r="A15" t="s">
        <v>45</v>
      </c>
      <c r="B15">
        <f>(B10*B12+B11*B13-B14)/((B10-1)*(B11-1))</f>
        <v>128.42499999999998</v>
      </c>
    </row>
    <row r="17" spans="1:8" x14ac:dyDescent="0.25">
      <c r="A17" s="12" t="s">
        <v>7</v>
      </c>
      <c r="B17" s="15" t="s">
        <v>6</v>
      </c>
      <c r="C17" s="15"/>
      <c r="D17" s="15"/>
      <c r="E17" s="15"/>
      <c r="F17" s="15"/>
      <c r="G17" s="15"/>
      <c r="H17" s="7"/>
    </row>
    <row r="18" spans="1:8" x14ac:dyDescent="0.25">
      <c r="A18" s="13"/>
      <c r="B18" s="8" t="s">
        <v>2</v>
      </c>
      <c r="C18" s="8" t="s">
        <v>3</v>
      </c>
      <c r="D18" s="8" t="s">
        <v>4</v>
      </c>
      <c r="E18" s="8" t="s">
        <v>5</v>
      </c>
      <c r="F18" s="8" t="s">
        <v>5</v>
      </c>
      <c r="G18" s="8" t="s">
        <v>5</v>
      </c>
      <c r="H18" s="7" t="s">
        <v>9</v>
      </c>
    </row>
    <row r="19" spans="1:8" x14ac:dyDescent="0.25">
      <c r="A19" t="s">
        <v>35</v>
      </c>
      <c r="B19">
        <v>131.1</v>
      </c>
      <c r="C19">
        <v>140.19999999999999</v>
      </c>
      <c r="D19">
        <v>141.9</v>
      </c>
      <c r="E19" s="9">
        <f>B15</f>
        <v>128.42499999999998</v>
      </c>
      <c r="F19">
        <v>143.69999999999999</v>
      </c>
      <c r="G19">
        <v>146.5</v>
      </c>
      <c r="H19" s="11">
        <f>SUM(B19:G19)</f>
        <v>831.82499999999982</v>
      </c>
    </row>
    <row r="20" spans="1:8" x14ac:dyDescent="0.25">
      <c r="A20" t="s">
        <v>36</v>
      </c>
      <c r="B20">
        <v>140.6</v>
      </c>
      <c r="C20">
        <v>150.80000000000001</v>
      </c>
      <c r="D20">
        <v>148.5</v>
      </c>
      <c r="E20">
        <v>141.30000000000001</v>
      </c>
      <c r="F20">
        <v>151.80000000000001</v>
      </c>
      <c r="G20">
        <v>156.19999999999999</v>
      </c>
      <c r="H20" s="11">
        <f>SUM(B20:G20)</f>
        <v>889.2</v>
      </c>
    </row>
    <row r="21" spans="1:8" x14ac:dyDescent="0.25">
      <c r="A21" t="s">
        <v>37</v>
      </c>
      <c r="B21">
        <v>131.69999999999999</v>
      </c>
      <c r="C21">
        <v>145</v>
      </c>
      <c r="D21">
        <v>137.6</v>
      </c>
      <c r="E21">
        <v>143.69999999999999</v>
      </c>
      <c r="F21">
        <v>152.19999999999999</v>
      </c>
      <c r="G21">
        <v>154.9</v>
      </c>
      <c r="H21" s="11">
        <f>SUM(B21:G21)</f>
        <v>865.1</v>
      </c>
    </row>
    <row r="22" spans="1:8" x14ac:dyDescent="0.25">
      <c r="A22" t="s">
        <v>38</v>
      </c>
      <c r="B22">
        <v>112.9</v>
      </c>
      <c r="C22">
        <v>122</v>
      </c>
      <c r="D22">
        <v>122.6</v>
      </c>
      <c r="E22">
        <v>107.5</v>
      </c>
      <c r="F22">
        <v>133.80000000000001</v>
      </c>
      <c r="G22">
        <v>141</v>
      </c>
      <c r="H22" s="11">
        <f>SUM(B22:G22)</f>
        <v>739.8</v>
      </c>
    </row>
    <row r="23" spans="1:8" x14ac:dyDescent="0.25">
      <c r="A23" t="s">
        <v>39</v>
      </c>
      <c r="B23">
        <v>117.9</v>
      </c>
      <c r="C23">
        <v>129.80000000000001</v>
      </c>
      <c r="D23">
        <v>132.80000000000001</v>
      </c>
      <c r="E23">
        <v>116</v>
      </c>
      <c r="F23">
        <v>148.4</v>
      </c>
      <c r="G23">
        <v>157.1</v>
      </c>
      <c r="H23" s="11">
        <f>SUM(B23:G23)</f>
        <v>802</v>
      </c>
    </row>
    <row r="24" spans="1:8" x14ac:dyDescent="0.25">
      <c r="A24" s="7" t="s">
        <v>8</v>
      </c>
      <c r="B24" s="10">
        <f t="shared" ref="B24:H24" si="1">SUM(B19:B23)</f>
        <v>634.19999999999993</v>
      </c>
      <c r="C24" s="10">
        <f t="shared" si="1"/>
        <v>687.8</v>
      </c>
      <c r="D24" s="10">
        <f t="shared" si="1"/>
        <v>683.40000000000009</v>
      </c>
      <c r="E24" s="10">
        <f t="shared" si="1"/>
        <v>636.92499999999995</v>
      </c>
      <c r="F24" s="10">
        <f t="shared" si="1"/>
        <v>729.9</v>
      </c>
      <c r="G24" s="10">
        <f t="shared" si="1"/>
        <v>755.7</v>
      </c>
      <c r="H24" s="10">
        <f t="shared" si="1"/>
        <v>4127.9250000000002</v>
      </c>
    </row>
    <row r="25" spans="1:8" x14ac:dyDescent="0.25">
      <c r="G25" t="s">
        <v>18</v>
      </c>
      <c r="H25" s="11">
        <f>H24</f>
        <v>4127.9250000000002</v>
      </c>
    </row>
    <row r="26" spans="1:8" ht="18" x14ac:dyDescent="0.35">
      <c r="B26" t="s">
        <v>47</v>
      </c>
      <c r="C26">
        <f>(B10-1)/B10*(E19-E8/(5-1))^2</f>
        <v>1.3519999999999648</v>
      </c>
      <c r="D26">
        <f>4/5*(128.425-508.5/4)^2</f>
        <v>1.3520000000000236</v>
      </c>
      <c r="G26" t="s">
        <v>19</v>
      </c>
      <c r="H26">
        <f>H25^2/6/5</f>
        <v>567992.16018750006</v>
      </c>
    </row>
    <row r="27" spans="1:8" ht="18" x14ac:dyDescent="0.35">
      <c r="B27" t="s">
        <v>46</v>
      </c>
      <c r="C27">
        <f>(B11-1)/B11*(E19-H3/(6-1))^2</f>
        <v>125.15418749999991</v>
      </c>
      <c r="D27">
        <f>5/6*(128.425-703.4/5)^2</f>
        <v>125.15418749999991</v>
      </c>
      <c r="G27" t="s">
        <v>20</v>
      </c>
      <c r="H27">
        <f>H25/6/5</f>
        <v>137.59750000000003</v>
      </c>
    </row>
    <row r="29" spans="1:8" ht="15.75" thickBot="1" x14ac:dyDescent="0.3"/>
    <row r="30" spans="1:8" ht="15.75" thickBot="1" x14ac:dyDescent="0.3">
      <c r="A30" s="3" t="s">
        <v>10</v>
      </c>
      <c r="B30" s="4" t="s">
        <v>11</v>
      </c>
      <c r="C30" s="4" t="s">
        <v>12</v>
      </c>
      <c r="D30" s="4" t="s">
        <v>13</v>
      </c>
      <c r="E30" s="5" t="s">
        <v>14</v>
      </c>
    </row>
    <row r="31" spans="1:8" x14ac:dyDescent="0.25">
      <c r="A31" t="s">
        <v>49</v>
      </c>
      <c r="B31">
        <f>5-1</f>
        <v>4</v>
      </c>
      <c r="C31">
        <f>SUMSQ(H19:H23)/6-H26-C26</f>
        <v>2259.0745833332903</v>
      </c>
      <c r="D31">
        <f>C31/B31</f>
        <v>564.76864583332258</v>
      </c>
      <c r="E31">
        <f>D31/D33</f>
        <v>18.390542693256176</v>
      </c>
      <c r="F31" t="s">
        <v>21</v>
      </c>
    </row>
    <row r="32" spans="1:8" x14ac:dyDescent="0.25">
      <c r="A32" t="s">
        <v>48</v>
      </c>
      <c r="B32">
        <f>6-1</f>
        <v>5</v>
      </c>
      <c r="C32">
        <f>SUMSQ(B24:G24)/5-H26-C27</f>
        <v>2247.4847499999564</v>
      </c>
      <c r="D32">
        <f>C32/B32</f>
        <v>449.49694999999127</v>
      </c>
      <c r="E32">
        <f>D32/D33</f>
        <v>14.636954282874488</v>
      </c>
      <c r="F32" t="s">
        <v>21</v>
      </c>
    </row>
    <row r="33" spans="1:11" ht="15.75" thickBot="1" x14ac:dyDescent="0.3">
      <c r="A33" t="s">
        <v>15</v>
      </c>
      <c r="B33">
        <f>B32*B31-1</f>
        <v>19</v>
      </c>
      <c r="C33">
        <f>C34-(C31+C26)-(C32+C27)</f>
        <v>583.48491666687187</v>
      </c>
      <c r="D33">
        <f>C33/B33</f>
        <v>30.709732456151151</v>
      </c>
    </row>
    <row r="34" spans="1:11" ht="15.75" thickBot="1" x14ac:dyDescent="0.3">
      <c r="A34" s="3" t="s">
        <v>16</v>
      </c>
      <c r="B34" s="4">
        <f>6*5-2</f>
        <v>28</v>
      </c>
      <c r="C34" s="4">
        <f>SUMSQ(B19:G23)-H26</f>
        <v>5216.5504375001183</v>
      </c>
      <c r="D34" s="4"/>
      <c r="E34" s="5"/>
    </row>
    <row r="35" spans="1:11" x14ac:dyDescent="0.25">
      <c r="A35" t="s">
        <v>17</v>
      </c>
      <c r="B35" s="1">
        <f>100*SQRT(D33)/137.5975</f>
        <v>4.0274251070146363</v>
      </c>
    </row>
    <row r="37" spans="1:11" x14ac:dyDescent="0.25">
      <c r="A37" t="s">
        <v>0</v>
      </c>
      <c r="D37" t="s">
        <v>1</v>
      </c>
    </row>
    <row r="38" spans="1:11" x14ac:dyDescent="0.25">
      <c r="A38" t="s">
        <v>50</v>
      </c>
      <c r="D38" t="s">
        <v>51</v>
      </c>
    </row>
    <row r="39" spans="1:11" x14ac:dyDescent="0.25">
      <c r="A39" s="6">
        <v>0.05</v>
      </c>
      <c r="B39" s="1">
        <f>_xlfn.F.INV(0.95,B31,B33)</f>
        <v>2.8951073075078404</v>
      </c>
      <c r="D39" s="6">
        <v>0.05</v>
      </c>
      <c r="E39" s="1">
        <f>_xlfn.F.INV(0.95,B32,B33)</f>
        <v>2.7400575416853443</v>
      </c>
      <c r="G39" s="6"/>
      <c r="H39" s="1"/>
      <c r="J39" s="6"/>
      <c r="K39" s="1"/>
    </row>
    <row r="40" spans="1:11" x14ac:dyDescent="0.25">
      <c r="A40" s="6">
        <v>0.01</v>
      </c>
      <c r="B40" s="1">
        <f>_xlfn.F.INV(0.99,B31,B33)</f>
        <v>4.5002576989066974</v>
      </c>
      <c r="D40" s="6">
        <v>0.01</v>
      </c>
      <c r="E40" s="1">
        <f>_xlfn.F.INV(0.99,B32,B33)</f>
        <v>4.1707669806148067</v>
      </c>
      <c r="G40" s="6"/>
      <c r="H40" s="1"/>
      <c r="J40" s="6"/>
      <c r="K40" s="1"/>
    </row>
    <row r="41" spans="1:11" x14ac:dyDescent="0.25">
      <c r="G41" s="6"/>
      <c r="H41" s="1"/>
      <c r="J41" s="6"/>
      <c r="K41" s="1"/>
    </row>
    <row r="42" spans="1:11" x14ac:dyDescent="0.25">
      <c r="A42" t="s">
        <v>24</v>
      </c>
      <c r="B42" t="s">
        <v>23</v>
      </c>
      <c r="G42" s="6"/>
      <c r="H42" s="1"/>
      <c r="J42" s="6"/>
      <c r="K42" s="1"/>
    </row>
    <row r="43" spans="1:11" x14ac:dyDescent="0.25">
      <c r="A43" t="s">
        <v>25</v>
      </c>
      <c r="B43" t="s">
        <v>23</v>
      </c>
      <c r="G43" s="6"/>
      <c r="H43" s="1"/>
      <c r="J43" s="6"/>
      <c r="K43" s="1"/>
    </row>
    <row r="44" spans="1:11" x14ac:dyDescent="0.25">
      <c r="G44" s="6"/>
      <c r="H44" s="1"/>
      <c r="J44" s="6"/>
      <c r="K44" s="1"/>
    </row>
    <row r="45" spans="1:11" s="17" customFormat="1" x14ac:dyDescent="0.25">
      <c r="A45" s="16" t="s">
        <v>0</v>
      </c>
      <c r="B45" s="16" t="s">
        <v>26</v>
      </c>
      <c r="C45" s="16" t="s">
        <v>27</v>
      </c>
    </row>
    <row r="46" spans="1:11" s="17" customFormat="1" x14ac:dyDescent="0.25">
      <c r="A46" s="18" t="s">
        <v>35</v>
      </c>
      <c r="B46" s="19">
        <v>138.63749999999996</v>
      </c>
      <c r="C46" s="20">
        <f>SQRT(D33*(1/B11+5/(B11*(B11-1)*(B10-1))))</f>
        <v>2.5293993216502653</v>
      </c>
    </row>
    <row r="47" spans="1:11" s="17" customFormat="1" x14ac:dyDescent="0.25">
      <c r="A47" s="17" t="s">
        <v>36</v>
      </c>
      <c r="B47" s="21">
        <v>148.20000000000002</v>
      </c>
      <c r="C47" s="22">
        <f>SQRT($D$33/6)</f>
        <v>2.2623635301807399</v>
      </c>
    </row>
    <row r="48" spans="1:11" s="17" customFormat="1" x14ac:dyDescent="0.25">
      <c r="A48" s="17" t="s">
        <v>37</v>
      </c>
      <c r="B48" s="21">
        <v>144.18333333333334</v>
      </c>
      <c r="C48" s="22">
        <f t="shared" ref="C48:C50" si="2">SQRT($D$33/6)</f>
        <v>2.2623635301807399</v>
      </c>
    </row>
    <row r="49" spans="1:4" s="17" customFormat="1" x14ac:dyDescent="0.25">
      <c r="A49" s="17" t="s">
        <v>38</v>
      </c>
      <c r="B49" s="21">
        <v>123.3</v>
      </c>
      <c r="C49" s="22">
        <f t="shared" si="2"/>
        <v>2.2623635301807399</v>
      </c>
    </row>
    <row r="50" spans="1:4" s="17" customFormat="1" x14ac:dyDescent="0.25">
      <c r="A50" s="23" t="s">
        <v>39</v>
      </c>
      <c r="B50" s="24">
        <v>133.66666666666666</v>
      </c>
      <c r="C50" s="25">
        <f t="shared" si="2"/>
        <v>2.2623635301807399</v>
      </c>
    </row>
    <row r="51" spans="1:4" s="17" customFormat="1" x14ac:dyDescent="0.25"/>
    <row r="52" spans="1:4" s="17" customFormat="1" x14ac:dyDescent="0.25">
      <c r="A52" s="26" t="s">
        <v>28</v>
      </c>
    </row>
    <row r="53" spans="1:4" s="17" customFormat="1" x14ac:dyDescent="0.25">
      <c r="A53" s="17" t="s">
        <v>52</v>
      </c>
      <c r="B53" s="17">
        <v>4.25</v>
      </c>
    </row>
    <row r="54" spans="1:4" s="17" customFormat="1" ht="15.75" thickBot="1" x14ac:dyDescent="0.3"/>
    <row r="55" spans="1:4" s="17" customFormat="1" ht="15.75" thickBot="1" x14ac:dyDescent="0.3">
      <c r="A55" s="27" t="s">
        <v>53</v>
      </c>
      <c r="B55" s="28"/>
      <c r="C55" s="27" t="s">
        <v>54</v>
      </c>
      <c r="D55" s="28"/>
    </row>
    <row r="56" spans="1:4" s="17" customFormat="1" ht="15.75" thickBot="1" x14ac:dyDescent="0.3">
      <c r="A56" s="29" t="s">
        <v>29</v>
      </c>
      <c r="B56" s="30">
        <f>B53*SQRT(D33/6)</f>
        <v>9.6150450032681452</v>
      </c>
      <c r="C56" s="29" t="s">
        <v>29</v>
      </c>
      <c r="D56" s="30">
        <f>B53*SQRT(1/2*(2/B11+B10/(B11*(B11-1)*(B10-1)))*D33)</f>
        <v>10.1982952848371</v>
      </c>
    </row>
    <row r="57" spans="1:4" s="17" customFormat="1" x14ac:dyDescent="0.25"/>
    <row r="58" spans="1:4" s="17" customFormat="1" x14ac:dyDescent="0.25">
      <c r="A58" s="16" t="s">
        <v>0</v>
      </c>
      <c r="B58" s="16" t="s">
        <v>26</v>
      </c>
    </row>
    <row r="59" spans="1:4" s="17" customFormat="1" x14ac:dyDescent="0.25">
      <c r="A59" s="18" t="s">
        <v>36</v>
      </c>
      <c r="B59" s="19">
        <v>148.20000000000002</v>
      </c>
      <c r="C59" s="17" t="s">
        <v>30</v>
      </c>
    </row>
    <row r="60" spans="1:4" s="17" customFormat="1" x14ac:dyDescent="0.25">
      <c r="A60" s="31" t="s">
        <v>37</v>
      </c>
      <c r="B60" s="32">
        <v>144.18333333333334</v>
      </c>
      <c r="C60" s="17" t="s">
        <v>30</v>
      </c>
    </row>
    <row r="61" spans="1:4" s="17" customFormat="1" x14ac:dyDescent="0.25">
      <c r="A61" s="31" t="s">
        <v>35</v>
      </c>
      <c r="B61" s="32">
        <v>138.63749999999996</v>
      </c>
      <c r="C61" s="31" t="s">
        <v>60</v>
      </c>
    </row>
    <row r="62" spans="1:4" s="17" customFormat="1" x14ac:dyDescent="0.25">
      <c r="A62" s="31" t="s">
        <v>39</v>
      </c>
      <c r="B62" s="32">
        <v>133.66666666666666</v>
      </c>
      <c r="C62" s="31" t="s">
        <v>32</v>
      </c>
    </row>
    <row r="63" spans="1:4" s="17" customFormat="1" x14ac:dyDescent="0.25">
      <c r="A63" s="23" t="s">
        <v>38</v>
      </c>
      <c r="B63" s="24">
        <v>123.3</v>
      </c>
      <c r="C63" s="31" t="s">
        <v>34</v>
      </c>
    </row>
    <row r="64" spans="1:4" s="17" customFormat="1" x14ac:dyDescent="0.25"/>
    <row r="65" spans="1:5" s="17" customFormat="1" x14ac:dyDescent="0.25">
      <c r="A65" s="17" t="s">
        <v>31</v>
      </c>
    </row>
    <row r="66" spans="1:5" s="17" customFormat="1" x14ac:dyDescent="0.25">
      <c r="A66" s="17" t="s">
        <v>55</v>
      </c>
      <c r="B66" s="21">
        <f>B59-B60</f>
        <v>4.0166666666666799</v>
      </c>
      <c r="C66" s="17" t="s">
        <v>33</v>
      </c>
      <c r="D66" s="17" t="s">
        <v>57</v>
      </c>
      <c r="E66" s="22">
        <v>9.6150450032681452</v>
      </c>
    </row>
    <row r="67" spans="1:5" s="17" customFormat="1" x14ac:dyDescent="0.25">
      <c r="A67" s="17" t="s">
        <v>56</v>
      </c>
      <c r="B67" s="21">
        <f>B59-B61</f>
        <v>9.5625000000000568</v>
      </c>
      <c r="C67" s="17" t="s">
        <v>33</v>
      </c>
      <c r="D67" s="17" t="s">
        <v>57</v>
      </c>
      <c r="E67" s="22">
        <v>10.1982952848371</v>
      </c>
    </row>
    <row r="68" spans="1:5" s="17" customFormat="1" x14ac:dyDescent="0.25">
      <c r="A68" s="17" t="s">
        <v>58</v>
      </c>
      <c r="B68" s="21">
        <f>B59-B62</f>
        <v>14.53333333333336</v>
      </c>
      <c r="C68" s="17" t="s">
        <v>22</v>
      </c>
      <c r="D68" s="17" t="s">
        <v>57</v>
      </c>
      <c r="E68" s="22">
        <v>9.6150450032681452</v>
      </c>
    </row>
    <row r="69" spans="1:5" s="17" customFormat="1" x14ac:dyDescent="0.25">
      <c r="A69" s="17" t="s">
        <v>59</v>
      </c>
      <c r="B69" s="21">
        <f>B61-B62</f>
        <v>4.970833333333303</v>
      </c>
      <c r="C69" s="17" t="s">
        <v>33</v>
      </c>
      <c r="D69" s="17" t="s">
        <v>57</v>
      </c>
      <c r="E69" s="22">
        <v>10.1982952848371</v>
      </c>
    </row>
    <row r="70" spans="1:5" s="17" customFormat="1" x14ac:dyDescent="0.25">
      <c r="A70" s="17" t="s">
        <v>61</v>
      </c>
      <c r="B70" s="21">
        <f>B60-B62</f>
        <v>10.51666666666668</v>
      </c>
      <c r="C70" s="17" t="s">
        <v>22</v>
      </c>
      <c r="D70" s="17" t="s">
        <v>57</v>
      </c>
      <c r="E70" s="22">
        <v>9.6150450032681452</v>
      </c>
    </row>
    <row r="71" spans="1:5" s="17" customFormat="1" x14ac:dyDescent="0.25">
      <c r="A71" s="17" t="s">
        <v>62</v>
      </c>
      <c r="B71" s="21">
        <f>B62-B63</f>
        <v>10.36666666666666</v>
      </c>
      <c r="C71" s="17" t="s">
        <v>22</v>
      </c>
      <c r="D71" s="17" t="s">
        <v>57</v>
      </c>
      <c r="E71" s="22">
        <v>9.6150450032681452</v>
      </c>
    </row>
    <row r="72" spans="1:5" s="17" customFormat="1" x14ac:dyDescent="0.25"/>
    <row r="73" spans="1:5" s="17" customFormat="1" x14ac:dyDescent="0.25">
      <c r="A73" s="17" t="s">
        <v>63</v>
      </c>
    </row>
  </sheetData>
  <sortState xmlns:xlrd2="http://schemas.microsoft.com/office/spreadsheetml/2017/richdata2" ref="A59:B63">
    <sortCondition descending="1" ref="B59:B63"/>
  </sortState>
  <mergeCells count="6">
    <mergeCell ref="A1:A2"/>
    <mergeCell ref="B1:G1"/>
    <mergeCell ref="A17:A18"/>
    <mergeCell ref="B17:G17"/>
    <mergeCell ref="A55:B55"/>
    <mergeCell ref="C55:D5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Rodrigo Panosso</dc:creator>
  <cp:lastModifiedBy>Alan Rodrigo Panosso</cp:lastModifiedBy>
  <dcterms:created xsi:type="dcterms:W3CDTF">2023-10-06T19:16:33Z</dcterms:created>
  <dcterms:modified xsi:type="dcterms:W3CDTF">2023-10-16T19:00:35Z</dcterms:modified>
</cp:coreProperties>
</file>