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. Unesp\Desktop\"/>
    </mc:Choice>
  </mc:AlternateContent>
  <bookViews>
    <workbookView xWindow="0" yWindow="0" windowWidth="20490" windowHeight="90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B102" i="1" s="1"/>
  <c r="B100" i="1"/>
  <c r="G54" i="1"/>
  <c r="H54" i="1"/>
  <c r="E58" i="1"/>
  <c r="E57" i="1"/>
  <c r="E56" i="1"/>
  <c r="E54" i="1"/>
  <c r="E53" i="1"/>
  <c r="D59" i="1"/>
  <c r="E59" i="1" s="1"/>
  <c r="D58" i="1"/>
  <c r="D57" i="1"/>
  <c r="D56" i="1"/>
  <c r="D55" i="1"/>
  <c r="E55" i="1" s="1"/>
  <c r="D54" i="1"/>
  <c r="D53" i="1"/>
  <c r="K44" i="1"/>
  <c r="K45" i="1" s="1"/>
  <c r="G47" i="1"/>
  <c r="G44" i="1"/>
  <c r="G45" i="1" s="1"/>
  <c r="G48" i="1" s="1"/>
  <c r="F47" i="1"/>
  <c r="F44" i="1"/>
  <c r="F45" i="1" s="1"/>
  <c r="E47" i="1"/>
  <c r="E45" i="1"/>
  <c r="E48" i="1" s="1"/>
  <c r="E44" i="1"/>
  <c r="H37" i="1"/>
  <c r="H47" i="1" s="1"/>
  <c r="I37" i="1"/>
  <c r="I44" i="1" s="1"/>
  <c r="I45" i="1" s="1"/>
  <c r="I48" i="1" s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K36" i="1"/>
  <c r="K47" i="1" s="1"/>
  <c r="J36" i="1"/>
  <c r="J47" i="1" s="1"/>
  <c r="I36" i="1"/>
  <c r="I47" i="1" s="1"/>
  <c r="H36" i="1"/>
  <c r="H44" i="1" s="1"/>
  <c r="H45" i="1" s="1"/>
  <c r="H48" i="1" s="1"/>
  <c r="K48" i="1" l="1"/>
  <c r="F48" i="1"/>
  <c r="J44" i="1"/>
  <c r="J45" i="1" s="1"/>
  <c r="J48" i="1" s="1"/>
  <c r="K96" i="1"/>
  <c r="K95" i="1"/>
  <c r="K89" i="1"/>
  <c r="L89" i="1" s="1"/>
  <c r="K88" i="1"/>
  <c r="L88" i="1" s="1"/>
  <c r="K87" i="1"/>
  <c r="L87" i="1" s="1"/>
  <c r="K86" i="1"/>
  <c r="L86" i="1" s="1"/>
  <c r="K85" i="1"/>
  <c r="L85" i="1" s="1"/>
  <c r="D96" i="1"/>
  <c r="D95" i="1"/>
  <c r="D89" i="1"/>
  <c r="E89" i="1" s="1"/>
  <c r="D88" i="1"/>
  <c r="E88" i="1" s="1"/>
  <c r="D87" i="1"/>
  <c r="E87" i="1" s="1"/>
  <c r="D86" i="1"/>
  <c r="E86" i="1" s="1"/>
  <c r="D85" i="1"/>
  <c r="E85" i="1" s="1"/>
  <c r="H74" i="1"/>
  <c r="G74" i="1"/>
  <c r="F103" i="1" s="1"/>
  <c r="F74" i="1"/>
  <c r="E103" i="1" s="1"/>
  <c r="G73" i="1"/>
  <c r="F102" i="1" s="1"/>
  <c r="F73" i="1"/>
  <c r="E102" i="1" s="1"/>
  <c r="B111" i="1" s="1"/>
  <c r="B21" i="1"/>
  <c r="B20" i="1"/>
  <c r="B23" i="1"/>
  <c r="B14" i="1"/>
  <c r="I11" i="1"/>
  <c r="H11" i="1"/>
  <c r="G11" i="1"/>
  <c r="F11" i="1"/>
  <c r="E11" i="1"/>
  <c r="D11" i="1"/>
  <c r="J10" i="1"/>
  <c r="J9" i="1"/>
  <c r="J8" i="1"/>
  <c r="J7" i="1"/>
  <c r="J6" i="1"/>
  <c r="J5" i="1"/>
  <c r="J4" i="1"/>
  <c r="J3" i="1"/>
  <c r="H73" i="1" l="1"/>
  <c r="G103" i="1"/>
  <c r="J84" i="1"/>
  <c r="K84" i="1" s="1"/>
  <c r="L84" i="1" s="1"/>
  <c r="B108" i="1"/>
  <c r="F75" i="1"/>
  <c r="B112" i="1"/>
  <c r="B109" i="1"/>
  <c r="G75" i="1"/>
  <c r="B22" i="1"/>
  <c r="B26" i="1" s="1"/>
  <c r="D25" i="1"/>
  <c r="D26" i="1"/>
  <c r="B25" i="1"/>
  <c r="J11" i="1"/>
  <c r="B15" i="1" s="1"/>
  <c r="B17" i="1" s="1"/>
  <c r="F104" i="1" l="1"/>
  <c r="C84" i="1"/>
  <c r="D84" i="1" s="1"/>
  <c r="E84" i="1" s="1"/>
  <c r="H75" i="1"/>
  <c r="G104" i="1" s="1"/>
  <c r="E104" i="1"/>
  <c r="C83" i="1"/>
  <c r="D83" i="1" s="1"/>
  <c r="E83" i="1" s="1"/>
  <c r="G102" i="1"/>
  <c r="J83" i="1"/>
  <c r="K83" i="1" s="1"/>
  <c r="L83" i="1" s="1"/>
  <c r="B16" i="1"/>
  <c r="C20" i="1" s="1"/>
  <c r="C23" i="1" l="1"/>
  <c r="C21" i="1"/>
  <c r="D21" i="1" s="1"/>
  <c r="D20" i="1"/>
  <c r="C22" i="1" l="1"/>
  <c r="D22" i="1" s="1"/>
  <c r="B24" i="1" s="1"/>
  <c r="E21" i="1" l="1"/>
  <c r="E20" i="1"/>
</calcChain>
</file>

<file path=xl/sharedStrings.xml><?xml version="1.0" encoding="utf-8"?>
<sst xmlns="http://schemas.openxmlformats.org/spreadsheetml/2006/main" count="183" uniqueCount="81">
  <si>
    <t>N</t>
  </si>
  <si>
    <t>P</t>
  </si>
  <si>
    <t>K</t>
  </si>
  <si>
    <t>Total</t>
  </si>
  <si>
    <t>Tratamentos</t>
  </si>
  <si>
    <t>Blocos</t>
  </si>
  <si>
    <t>I</t>
  </si>
  <si>
    <t>II</t>
  </si>
  <si>
    <t>III</t>
  </si>
  <si>
    <t>IV</t>
  </si>
  <si>
    <t>V</t>
  </si>
  <si>
    <t>VI</t>
  </si>
  <si>
    <t>Responder:</t>
  </si>
  <si>
    <t xml:space="preserve">a) Nº Tratamentos: </t>
  </si>
  <si>
    <t>b) Calcular G:</t>
  </si>
  <si>
    <t>c) Calcular C:</t>
  </si>
  <si>
    <t>d) Média Geral:</t>
  </si>
  <si>
    <t>Quadro da análise de variância</t>
  </si>
  <si>
    <t>FV</t>
  </si>
  <si>
    <t>GL</t>
  </si>
  <si>
    <t>SQ</t>
  </si>
  <si>
    <t>QM</t>
  </si>
  <si>
    <t>F</t>
  </si>
  <si>
    <t>Tratamento</t>
  </si>
  <si>
    <t>**</t>
  </si>
  <si>
    <t>Resíduo</t>
  </si>
  <si>
    <t>CV</t>
  </si>
  <si>
    <t>Fc5%</t>
  </si>
  <si>
    <t>Fc1%</t>
  </si>
  <si>
    <t>Conclusão:</t>
  </si>
  <si>
    <t>Bloco</t>
  </si>
  <si>
    <t>ns</t>
  </si>
  <si>
    <r>
      <t xml:space="preserve">O teste F para tratmentos foi significativo ao nível de </t>
    </r>
    <r>
      <rPr>
        <sz val="13.2"/>
        <color theme="1"/>
        <rFont val="MathJax_Main"/>
      </rPr>
      <t>1%</t>
    </r>
    <r>
      <rPr>
        <sz val="11"/>
        <color theme="1"/>
        <rFont val="Calibri"/>
        <family val="2"/>
        <scheme val="minor"/>
      </rPr>
      <t xml:space="preserve"> de probabilidade,</t>
    </r>
  </si>
  <si>
    <t xml:space="preserve"> logo, rejeitamos a hipótese da nulidade (H0), e concluímos que os efeitos dos </t>
  </si>
  <si>
    <t>tratamentos diferentes entre si em relação à produção da cultura do cafeeiro,</t>
  </si>
  <si>
    <t xml:space="preserve"> com um grau de confiança superior a 99% de probabilidade</t>
  </si>
  <si>
    <t>Cálculo das somas de quadrados pelo método dos contrastes de totais de tratamentos.</t>
  </si>
  <si>
    <t>NP</t>
  </si>
  <si>
    <t>NK</t>
  </si>
  <si>
    <t>PK</t>
  </si>
  <si>
    <t>NPK</t>
  </si>
  <si>
    <t>Y</t>
  </si>
  <si>
    <t>Y²</t>
  </si>
  <si>
    <t>r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</si>
  <si>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c²</t>
    </r>
  </si>
  <si>
    <t>SQY</t>
  </si>
  <si>
    <t>NxP</t>
  </si>
  <si>
    <t>NxK</t>
  </si>
  <si>
    <t>PxK</t>
  </si>
  <si>
    <t>NxPxK</t>
  </si>
  <si>
    <r>
      <t xml:space="preserve">Desdobramento da Interação </t>
    </r>
    <r>
      <rPr>
        <b/>
        <i/>
        <sz val="13.2"/>
        <color theme="1"/>
        <rFont val="MathJax_Math"/>
      </rPr>
      <t>N</t>
    </r>
    <r>
      <rPr>
        <b/>
        <sz val="13.2"/>
        <color theme="1"/>
        <rFont val="MathJax_Main"/>
      </rPr>
      <t>×</t>
    </r>
    <r>
      <rPr>
        <b/>
        <i/>
        <sz val="13.2"/>
        <color theme="1"/>
        <rFont val="MathJax_Math"/>
      </rPr>
      <t>K</t>
    </r>
  </si>
  <si>
    <t>N d K0</t>
  </si>
  <si>
    <t>N d K1</t>
  </si>
  <si>
    <t>Estudar os efeitos de N dentro de K</t>
  </si>
  <si>
    <t>Estudar os efeitos de K dentro de N</t>
  </si>
  <si>
    <t>K d N0</t>
  </si>
  <si>
    <t>K d N1</t>
  </si>
  <si>
    <t>Tabela de Totais</t>
  </si>
  <si>
    <t>Fc</t>
  </si>
  <si>
    <t>Tukey</t>
  </si>
  <si>
    <t>q(2 x 35)</t>
  </si>
  <si>
    <t>s(m)</t>
  </si>
  <si>
    <t>DMS</t>
  </si>
  <si>
    <t>Tabela de Médias</t>
  </si>
  <si>
    <t>e maiúsculas nas linhas, não diferem entre si pelo teste</t>
  </si>
  <si>
    <t>de Tukey ao nível de 5% de significânica.</t>
  </si>
  <si>
    <t>Médias segidas pela mesma letra, minúsculas nas colunas</t>
  </si>
  <si>
    <t>N0</t>
  </si>
  <si>
    <t>N1</t>
  </si>
  <si>
    <t>K0</t>
  </si>
  <si>
    <t>K1</t>
  </si>
  <si>
    <t>Contrastes</t>
  </si>
  <si>
    <t>mN1K0-mN0K0</t>
  </si>
  <si>
    <t>mN1K1-mN0K1</t>
  </si>
  <si>
    <t>mN0K1-mN0K0</t>
  </si>
  <si>
    <t>mN1K1-mN1K0</t>
  </si>
  <si>
    <t>*</t>
  </si>
  <si>
    <t>36.39aA</t>
  </si>
  <si>
    <t>35.03bA</t>
  </si>
  <si>
    <t>53.68aA</t>
  </si>
  <si>
    <t>37.13aB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</si>
</sst>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2"/>
      <color theme="1"/>
      <name val="MathJax_Main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i/>
      <sz val="13.2"/>
      <color theme="1"/>
      <name val="MathJax_Math"/>
    </font>
    <font>
      <b/>
      <sz val="13.2"/>
      <color theme="1"/>
      <name val="MathJax_Main"/>
    </font>
    <font>
      <b/>
      <sz val="13.5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0" xfId="0" applyNumberFormat="1"/>
    <xf numFmtId="0" fontId="1" fillId="0" borderId="0" xfId="0" applyFont="1"/>
    <xf numFmtId="0" fontId="0" fillId="0" borderId="12" xfId="0" applyBorder="1"/>
    <xf numFmtId="0" fontId="0" fillId="0" borderId="0" xfId="0" applyFill="1" applyBorder="1"/>
    <xf numFmtId="0" fontId="1" fillId="0" borderId="0" xfId="0" applyFont="1" applyFill="1" applyBorder="1"/>
    <xf numFmtId="2" fontId="0" fillId="0" borderId="1" xfId="0" applyNumberFormat="1" applyBorder="1"/>
    <xf numFmtId="2" fontId="0" fillId="0" borderId="11" xfId="0" applyNumberForma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10" xfId="0" applyFill="1" applyBorder="1"/>
    <xf numFmtId="2" fontId="0" fillId="0" borderId="12" xfId="0" applyNumberFormat="1" applyBorder="1"/>
    <xf numFmtId="0" fontId="8" fillId="0" borderId="0" xfId="0" applyFont="1" applyAlignment="1">
      <alignment vertical="center"/>
    </xf>
    <xf numFmtId="0" fontId="0" fillId="0" borderId="13" xfId="0" quotePrefix="1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2" fontId="0" fillId="0" borderId="15" xfId="0" applyNumberFormat="1" applyBorder="1"/>
    <xf numFmtId="9" fontId="0" fillId="0" borderId="0" xfId="0" applyNumberFormat="1"/>
    <xf numFmtId="0" fontId="9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0" xfId="0" applyNumberFormat="1" applyBorder="1"/>
    <xf numFmtId="2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63501</xdr:rowOff>
    </xdr:from>
    <xdr:to>
      <xdr:col>2</xdr:col>
      <xdr:colOff>571500</xdr:colOff>
      <xdr:row>48</xdr:row>
      <xdr:rowOff>155576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6501"/>
          <a:ext cx="2087563" cy="85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zoomScale="160" zoomScaleNormal="160" workbookViewId="0">
      <selection sqref="A1:C1"/>
    </sheetView>
  </sheetViews>
  <sheetFormatPr defaultRowHeight="15"/>
  <cols>
    <col min="1" max="1" width="13.5703125" customWidth="1"/>
  </cols>
  <sheetData>
    <row r="1" spans="1:10" ht="15.75" thickBot="1">
      <c r="A1" s="42" t="s">
        <v>4</v>
      </c>
      <c r="B1" s="43"/>
      <c r="C1" s="44"/>
      <c r="D1" s="42" t="s">
        <v>5</v>
      </c>
      <c r="E1" s="43"/>
      <c r="F1" s="43"/>
      <c r="G1" s="43"/>
      <c r="H1" s="43"/>
      <c r="I1" s="44"/>
      <c r="J1" s="40" t="s">
        <v>3</v>
      </c>
    </row>
    <row r="2" spans="1:10" ht="15.75" thickBot="1">
      <c r="A2" s="15" t="s">
        <v>0</v>
      </c>
      <c r="B2" s="16" t="s">
        <v>1</v>
      </c>
      <c r="C2" s="17" t="s">
        <v>2</v>
      </c>
      <c r="D2" s="15" t="s">
        <v>6</v>
      </c>
      <c r="E2" s="16" t="s">
        <v>7</v>
      </c>
      <c r="F2" s="16" t="s">
        <v>8</v>
      </c>
      <c r="G2" s="16" t="s">
        <v>9</v>
      </c>
      <c r="H2" s="16" t="s">
        <v>10</v>
      </c>
      <c r="I2" s="17" t="s">
        <v>11</v>
      </c>
      <c r="J2" s="41"/>
    </row>
    <row r="3" spans="1:10">
      <c r="A3" s="1">
        <v>0</v>
      </c>
      <c r="B3" s="2">
        <v>0</v>
      </c>
      <c r="C3" s="2">
        <v>0</v>
      </c>
      <c r="D3" s="9">
        <v>31.8</v>
      </c>
      <c r="E3" s="9">
        <v>40.5</v>
      </c>
      <c r="F3" s="9">
        <v>25.7</v>
      </c>
      <c r="G3" s="9">
        <v>25.7</v>
      </c>
      <c r="H3" s="9">
        <v>37.200000000000003</v>
      </c>
      <c r="I3" s="10">
        <v>45.3</v>
      </c>
      <c r="J3" s="10">
        <f t="shared" ref="J3:J10" si="0">SUM(D3:I3)</f>
        <v>206.2</v>
      </c>
    </row>
    <row r="4" spans="1:10">
      <c r="A4" s="3">
        <v>1</v>
      </c>
      <c r="B4" s="4">
        <v>0</v>
      </c>
      <c r="C4" s="4">
        <v>0</v>
      </c>
      <c r="D4" s="11">
        <v>35.299999999999997</v>
      </c>
      <c r="E4" s="11">
        <v>39</v>
      </c>
      <c r="F4" s="11">
        <v>36</v>
      </c>
      <c r="G4" s="11">
        <v>33.5</v>
      </c>
      <c r="H4" s="11">
        <v>28.2</v>
      </c>
      <c r="I4" s="12">
        <v>42.4</v>
      </c>
      <c r="J4" s="12">
        <f t="shared" si="0"/>
        <v>214.4</v>
      </c>
    </row>
    <row r="5" spans="1:10">
      <c r="A5" s="3">
        <v>0</v>
      </c>
      <c r="B5" s="4">
        <v>1</v>
      </c>
      <c r="C5" s="4">
        <v>0</v>
      </c>
      <c r="D5" s="11">
        <v>36.200000000000003</v>
      </c>
      <c r="E5" s="11">
        <v>37.799999999999997</v>
      </c>
      <c r="F5" s="11">
        <v>40.9</v>
      </c>
      <c r="G5" s="11">
        <v>44.8</v>
      </c>
      <c r="H5" s="11">
        <v>32.4</v>
      </c>
      <c r="I5" s="12">
        <v>38.4</v>
      </c>
      <c r="J5" s="12">
        <f t="shared" si="0"/>
        <v>230.5</v>
      </c>
    </row>
    <row r="6" spans="1:10">
      <c r="A6" s="3">
        <v>0</v>
      </c>
      <c r="B6" s="4">
        <v>0</v>
      </c>
      <c r="C6" s="4">
        <v>1</v>
      </c>
      <c r="D6" s="11">
        <v>25.6</v>
      </c>
      <c r="E6" s="11">
        <v>32.4</v>
      </c>
      <c r="F6" s="11">
        <v>39.6</v>
      </c>
      <c r="G6" s="11">
        <v>48.9</v>
      </c>
      <c r="H6" s="11">
        <v>20.6</v>
      </c>
      <c r="I6" s="12">
        <v>33.700000000000003</v>
      </c>
      <c r="J6" s="12">
        <f t="shared" si="0"/>
        <v>200.8</v>
      </c>
    </row>
    <row r="7" spans="1:10">
      <c r="A7" s="3">
        <v>1</v>
      </c>
      <c r="B7" s="4">
        <v>1</v>
      </c>
      <c r="C7" s="4">
        <v>0</v>
      </c>
      <c r="D7" s="11">
        <v>43.8</v>
      </c>
      <c r="E7" s="11">
        <v>32.700000000000003</v>
      </c>
      <c r="F7" s="11">
        <v>43.3</v>
      </c>
      <c r="G7" s="11">
        <v>41.8</v>
      </c>
      <c r="H7" s="11">
        <v>31.9</v>
      </c>
      <c r="I7" s="12">
        <v>37.700000000000003</v>
      </c>
      <c r="J7" s="12">
        <f t="shared" si="0"/>
        <v>231.2</v>
      </c>
    </row>
    <row r="8" spans="1:10">
      <c r="A8" s="3">
        <v>1</v>
      </c>
      <c r="B8" s="4">
        <v>0</v>
      </c>
      <c r="C8" s="4">
        <v>1</v>
      </c>
      <c r="D8" s="11">
        <v>51.5</v>
      </c>
      <c r="E8" s="11">
        <v>66.099999999999994</v>
      </c>
      <c r="F8" s="11">
        <v>51.7</v>
      </c>
      <c r="G8" s="11">
        <v>52</v>
      </c>
      <c r="H8" s="11">
        <v>56.5</v>
      </c>
      <c r="I8" s="12">
        <v>58.2</v>
      </c>
      <c r="J8" s="12">
        <f t="shared" si="0"/>
        <v>336</v>
      </c>
    </row>
    <row r="9" spans="1:10">
      <c r="A9" s="3">
        <v>0</v>
      </c>
      <c r="B9" s="4">
        <v>1</v>
      </c>
      <c r="C9" s="4">
        <v>1</v>
      </c>
      <c r="D9" s="11">
        <v>37.1</v>
      </c>
      <c r="E9" s="11">
        <v>53</v>
      </c>
      <c r="F9" s="11">
        <v>36.4</v>
      </c>
      <c r="G9" s="11">
        <v>43</v>
      </c>
      <c r="H9" s="11">
        <v>19.7</v>
      </c>
      <c r="I9" s="12">
        <v>30.4</v>
      </c>
      <c r="J9" s="12">
        <f t="shared" si="0"/>
        <v>219.6</v>
      </c>
    </row>
    <row r="10" spans="1:10" ht="15.75" thickBot="1">
      <c r="A10" s="5">
        <v>1</v>
      </c>
      <c r="B10" s="6">
        <v>1</v>
      </c>
      <c r="C10" s="6">
        <v>1</v>
      </c>
      <c r="D10" s="13">
        <v>47</v>
      </c>
      <c r="E10" s="13">
        <v>49.9</v>
      </c>
      <c r="F10" s="13">
        <v>50.9</v>
      </c>
      <c r="G10" s="13">
        <v>49.1</v>
      </c>
      <c r="H10" s="13">
        <v>71.7</v>
      </c>
      <c r="I10" s="14">
        <v>39.6</v>
      </c>
      <c r="J10" s="12">
        <f t="shared" si="0"/>
        <v>308.20000000000005</v>
      </c>
    </row>
    <row r="11" spans="1:10" ht="15.75" thickBot="1">
      <c r="A11" s="7" t="s">
        <v>3</v>
      </c>
      <c r="B11" s="8"/>
      <c r="C11" s="8"/>
      <c r="D11" s="26">
        <f t="shared" ref="D11:J11" si="1">SUM(D3:D10)</f>
        <v>308.3</v>
      </c>
      <c r="E11" s="26">
        <f t="shared" si="1"/>
        <v>351.4</v>
      </c>
      <c r="F11" s="26">
        <f t="shared" si="1"/>
        <v>324.49999999999994</v>
      </c>
      <c r="G11" s="26">
        <f t="shared" si="1"/>
        <v>338.8</v>
      </c>
      <c r="H11" s="26">
        <f t="shared" si="1"/>
        <v>298.2</v>
      </c>
      <c r="I11" s="26">
        <f t="shared" si="1"/>
        <v>325.7</v>
      </c>
      <c r="J11" s="25">
        <f t="shared" si="1"/>
        <v>1946.9</v>
      </c>
    </row>
    <row r="12" spans="1:10" ht="15.75" thickBot="1"/>
    <row r="13" spans="1:10" ht="15.75" thickBot="1">
      <c r="A13" s="18" t="s">
        <v>12</v>
      </c>
      <c r="B13" s="19"/>
    </row>
    <row r="14" spans="1:10">
      <c r="A14" t="s">
        <v>13</v>
      </c>
      <c r="B14">
        <f>2*2*2</f>
        <v>8</v>
      </c>
    </row>
    <row r="15" spans="1:10">
      <c r="A15" t="s">
        <v>14</v>
      </c>
      <c r="B15" s="20">
        <f>J11</f>
        <v>1946.9</v>
      </c>
    </row>
    <row r="16" spans="1:10">
      <c r="A16" t="s">
        <v>15</v>
      </c>
      <c r="B16" s="20">
        <f>B15*B15/B14/6</f>
        <v>78967.075208333335</v>
      </c>
    </row>
    <row r="17" spans="1:6">
      <c r="A17" t="s">
        <v>16</v>
      </c>
      <c r="B17" s="20">
        <f>B15/B14/6</f>
        <v>40.560416666666669</v>
      </c>
    </row>
    <row r="18" spans="1:6" ht="15.75" thickBot="1">
      <c r="A18" s="21" t="s">
        <v>17</v>
      </c>
    </row>
    <row r="19" spans="1:6" ht="15.75" thickBot="1">
      <c r="A19" s="7" t="s">
        <v>18</v>
      </c>
      <c r="B19" s="8" t="s">
        <v>19</v>
      </c>
      <c r="C19" s="8" t="s">
        <v>20</v>
      </c>
      <c r="D19" s="8" t="s">
        <v>21</v>
      </c>
      <c r="E19" s="22" t="s">
        <v>22</v>
      </c>
    </row>
    <row r="20" spans="1:6">
      <c r="A20" s="23" t="s">
        <v>23</v>
      </c>
      <c r="B20">
        <f>8-1</f>
        <v>7</v>
      </c>
      <c r="C20" s="20">
        <f>SUMSQ(J3:J10)/6-B16</f>
        <v>2949.1797916666692</v>
      </c>
      <c r="D20" s="20">
        <f>C20/B20</f>
        <v>421.31139880952418</v>
      </c>
      <c r="E20" s="20">
        <f>D20/D22</f>
        <v>6.3809744853209907</v>
      </c>
      <c r="F20" t="s">
        <v>24</v>
      </c>
    </row>
    <row r="21" spans="1:6">
      <c r="A21" s="23" t="s">
        <v>30</v>
      </c>
      <c r="B21">
        <f>6-1</f>
        <v>5</v>
      </c>
      <c r="C21">
        <f>SUMSQ(D11:I11)/8-B16</f>
        <v>235.45854166665231</v>
      </c>
      <c r="D21" s="20">
        <f>C21/B21</f>
        <v>47.091708333330459</v>
      </c>
      <c r="E21" s="20">
        <f>D21/D22</f>
        <v>0.7132277697547228</v>
      </c>
      <c r="F21" t="s">
        <v>31</v>
      </c>
    </row>
    <row r="22" spans="1:6" ht="15.75" thickBot="1">
      <c r="A22" s="23" t="s">
        <v>25</v>
      </c>
      <c r="B22">
        <f>B23-B21-B20</f>
        <v>35</v>
      </c>
      <c r="C22" s="20">
        <f>C23-C21-C20</f>
        <v>2310.9164583333331</v>
      </c>
      <c r="D22">
        <f>C22/B22</f>
        <v>66.026184523809519</v>
      </c>
    </row>
    <row r="23" spans="1:6" ht="15.75" thickBot="1">
      <c r="A23" s="7" t="s">
        <v>3</v>
      </c>
      <c r="B23" s="8">
        <f>6*8-1</f>
        <v>47</v>
      </c>
      <c r="C23" s="26">
        <f>SUMSQ(D3:I10)-B16</f>
        <v>5495.5547916666546</v>
      </c>
      <c r="D23" s="8"/>
      <c r="E23" s="22"/>
    </row>
    <row r="24" spans="1:6">
      <c r="A24" s="23" t="s">
        <v>26</v>
      </c>
      <c r="B24" s="20">
        <f>SQRT(D22)/B17*100</f>
        <v>20.03344753000124</v>
      </c>
    </row>
    <row r="25" spans="1:6">
      <c r="A25" s="23" t="s">
        <v>27</v>
      </c>
      <c r="B25" s="20">
        <f>_xlfn.F.INV.RT(5%,B20,B22)</f>
        <v>2.2852351731018694</v>
      </c>
      <c r="D25" s="20">
        <f>_xlfn.F.INV.RT(5%,B21,B22)</f>
        <v>2.4851432213730082</v>
      </c>
    </row>
    <row r="26" spans="1:6">
      <c r="A26" s="23" t="s">
        <v>28</v>
      </c>
      <c r="B26" s="20">
        <f>_xlfn.F.INV.RT(1%,B20,B22)</f>
        <v>3.1999521072983783</v>
      </c>
      <c r="D26" s="20">
        <f>_xlfn.F.INV.RT(1%,B21,B22)</f>
        <v>3.5919135589514761</v>
      </c>
    </row>
    <row r="27" spans="1:6" ht="17.25">
      <c r="A27" s="24" t="s">
        <v>29</v>
      </c>
      <c r="B27" t="s">
        <v>32</v>
      </c>
    </row>
    <row r="28" spans="1:6">
      <c r="B28" t="s">
        <v>33</v>
      </c>
    </row>
    <row r="29" spans="1:6">
      <c r="B29" t="s">
        <v>34</v>
      </c>
    </row>
    <row r="30" spans="1:6">
      <c r="B30" t="s">
        <v>35</v>
      </c>
    </row>
    <row r="32" spans="1:6" ht="18.75">
      <c r="A32" s="28" t="s">
        <v>36</v>
      </c>
    </row>
    <row r="33" spans="1:11" ht="15.75" thickBot="1"/>
    <row r="34" spans="1:11" ht="15.75" thickBot="1">
      <c r="A34" s="42" t="s">
        <v>4</v>
      </c>
      <c r="B34" s="43"/>
      <c r="C34" s="44"/>
      <c r="D34" s="40" t="s">
        <v>3</v>
      </c>
    </row>
    <row r="35" spans="1:11" ht="15.75" thickBot="1">
      <c r="A35" s="15" t="s">
        <v>0</v>
      </c>
      <c r="B35" s="16" t="s">
        <v>1</v>
      </c>
      <c r="C35" s="17" t="s">
        <v>2</v>
      </c>
      <c r="D35" s="41"/>
      <c r="E35" s="29" t="s">
        <v>0</v>
      </c>
      <c r="F35" s="29" t="s">
        <v>1</v>
      </c>
      <c r="G35" s="29" t="s">
        <v>2</v>
      </c>
      <c r="H35" s="29" t="s">
        <v>37</v>
      </c>
      <c r="I35" s="29" t="s">
        <v>38</v>
      </c>
      <c r="J35" s="29" t="s">
        <v>39</v>
      </c>
      <c r="K35" s="29" t="s">
        <v>40</v>
      </c>
    </row>
    <row r="36" spans="1:11">
      <c r="A36" s="1">
        <v>0</v>
      </c>
      <c r="B36" s="2">
        <v>0</v>
      </c>
      <c r="C36" s="2">
        <v>0</v>
      </c>
      <c r="D36" s="10">
        <v>206.2</v>
      </c>
      <c r="E36" s="23">
        <v>-1</v>
      </c>
      <c r="F36" s="23">
        <v>-1</v>
      </c>
      <c r="G36" s="23">
        <v>-1</v>
      </c>
      <c r="H36">
        <f>E36*F36</f>
        <v>1</v>
      </c>
      <c r="I36">
        <f>E36*G36</f>
        <v>1</v>
      </c>
      <c r="J36">
        <f>F36*G36</f>
        <v>1</v>
      </c>
      <c r="K36">
        <f>E36*F36*G36</f>
        <v>-1</v>
      </c>
    </row>
    <row r="37" spans="1:11">
      <c r="A37" s="3">
        <v>1</v>
      </c>
      <c r="B37" s="4">
        <v>0</v>
      </c>
      <c r="C37" s="4">
        <v>0</v>
      </c>
      <c r="D37" s="12">
        <v>214.4</v>
      </c>
      <c r="E37" s="23">
        <v>1</v>
      </c>
      <c r="F37" s="23">
        <v>-1</v>
      </c>
      <c r="G37" s="23">
        <v>-1</v>
      </c>
      <c r="H37">
        <f t="shared" ref="H37:H43" si="2">E37*F37</f>
        <v>-1</v>
      </c>
      <c r="I37">
        <f t="shared" ref="I37:I43" si="3">E37*G37</f>
        <v>-1</v>
      </c>
      <c r="J37">
        <f t="shared" ref="J37:J43" si="4">F37*G37</f>
        <v>1</v>
      </c>
      <c r="K37">
        <f t="shared" ref="K37:K43" si="5">E37*F37*G37</f>
        <v>1</v>
      </c>
    </row>
    <row r="38" spans="1:11">
      <c r="A38" s="3">
        <v>0</v>
      </c>
      <c r="B38" s="4">
        <v>1</v>
      </c>
      <c r="C38" s="4">
        <v>0</v>
      </c>
      <c r="D38" s="12">
        <v>230.5</v>
      </c>
      <c r="E38" s="23">
        <v>-1</v>
      </c>
      <c r="F38" s="23">
        <v>1</v>
      </c>
      <c r="G38" s="23">
        <v>-1</v>
      </c>
      <c r="H38">
        <f t="shared" si="2"/>
        <v>-1</v>
      </c>
      <c r="I38">
        <f t="shared" si="3"/>
        <v>1</v>
      </c>
      <c r="J38">
        <f t="shared" si="4"/>
        <v>-1</v>
      </c>
      <c r="K38">
        <f t="shared" si="5"/>
        <v>1</v>
      </c>
    </row>
    <row r="39" spans="1:11">
      <c r="A39" s="3">
        <v>0</v>
      </c>
      <c r="B39" s="4">
        <v>0</v>
      </c>
      <c r="C39" s="4">
        <v>1</v>
      </c>
      <c r="D39" s="12">
        <v>200.8</v>
      </c>
      <c r="E39" s="23">
        <v>-1</v>
      </c>
      <c r="F39" s="23">
        <v>-1</v>
      </c>
      <c r="G39" s="23">
        <v>1</v>
      </c>
      <c r="H39">
        <f t="shared" si="2"/>
        <v>1</v>
      </c>
      <c r="I39">
        <f t="shared" si="3"/>
        <v>-1</v>
      </c>
      <c r="J39">
        <f t="shared" si="4"/>
        <v>-1</v>
      </c>
      <c r="K39">
        <f t="shared" si="5"/>
        <v>1</v>
      </c>
    </row>
    <row r="40" spans="1:11">
      <c r="A40" s="3">
        <v>1</v>
      </c>
      <c r="B40" s="4">
        <v>1</v>
      </c>
      <c r="C40" s="4">
        <v>0</v>
      </c>
      <c r="D40" s="12">
        <v>231.2</v>
      </c>
      <c r="E40" s="23">
        <v>1</v>
      </c>
      <c r="F40" s="23">
        <v>1</v>
      </c>
      <c r="G40" s="23">
        <v>-1</v>
      </c>
      <c r="H40">
        <f t="shared" si="2"/>
        <v>1</v>
      </c>
      <c r="I40">
        <f t="shared" si="3"/>
        <v>-1</v>
      </c>
      <c r="J40">
        <f t="shared" si="4"/>
        <v>-1</v>
      </c>
      <c r="K40">
        <f t="shared" si="5"/>
        <v>-1</v>
      </c>
    </row>
    <row r="41" spans="1:11">
      <c r="A41" s="3">
        <v>1</v>
      </c>
      <c r="B41" s="4">
        <v>0</v>
      </c>
      <c r="C41" s="4">
        <v>1</v>
      </c>
      <c r="D41" s="12">
        <v>336</v>
      </c>
      <c r="E41" s="23">
        <v>1</v>
      </c>
      <c r="F41" s="23">
        <v>-1</v>
      </c>
      <c r="G41" s="23">
        <v>1</v>
      </c>
      <c r="H41">
        <f t="shared" si="2"/>
        <v>-1</v>
      </c>
      <c r="I41">
        <f t="shared" si="3"/>
        <v>1</v>
      </c>
      <c r="J41">
        <f t="shared" si="4"/>
        <v>-1</v>
      </c>
      <c r="K41">
        <f t="shared" si="5"/>
        <v>-1</v>
      </c>
    </row>
    <row r="42" spans="1:11">
      <c r="A42" s="3">
        <v>0</v>
      </c>
      <c r="B42" s="4">
        <v>1</v>
      </c>
      <c r="C42" s="4">
        <v>1</v>
      </c>
      <c r="D42" s="12">
        <v>219.6</v>
      </c>
      <c r="E42" s="23">
        <v>-1</v>
      </c>
      <c r="F42" s="23">
        <v>1</v>
      </c>
      <c r="G42" s="23">
        <v>1</v>
      </c>
      <c r="H42">
        <f t="shared" si="2"/>
        <v>-1</v>
      </c>
      <c r="I42">
        <f t="shared" si="3"/>
        <v>-1</v>
      </c>
      <c r="J42">
        <f t="shared" si="4"/>
        <v>1</v>
      </c>
      <c r="K42">
        <f t="shared" si="5"/>
        <v>-1</v>
      </c>
    </row>
    <row r="43" spans="1:11" ht="15.75" thickBot="1">
      <c r="A43" s="5">
        <v>1</v>
      </c>
      <c r="B43" s="6">
        <v>1</v>
      </c>
      <c r="C43" s="6">
        <v>1</v>
      </c>
      <c r="D43" s="14">
        <v>308.20000000000005</v>
      </c>
      <c r="E43" s="23">
        <v>1</v>
      </c>
      <c r="F43" s="23">
        <v>1</v>
      </c>
      <c r="G43" s="23">
        <v>1</v>
      </c>
      <c r="H43">
        <f t="shared" si="2"/>
        <v>1</v>
      </c>
      <c r="I43">
        <f t="shared" si="3"/>
        <v>1</v>
      </c>
      <c r="J43">
        <f t="shared" si="4"/>
        <v>1</v>
      </c>
      <c r="K43">
        <f t="shared" si="5"/>
        <v>1</v>
      </c>
    </row>
    <row r="44" spans="1:11">
      <c r="D44" t="s">
        <v>41</v>
      </c>
      <c r="E44">
        <f t="shared" ref="E44:K44" si="6">SUMPRODUCT($D$36:$D$43,E36:E43)</f>
        <v>232.70000000000002</v>
      </c>
      <c r="F44">
        <f t="shared" si="6"/>
        <v>32.100000000000023</v>
      </c>
      <c r="G44">
        <f t="shared" si="6"/>
        <v>182.30000000000004</v>
      </c>
      <c r="H44">
        <f t="shared" si="6"/>
        <v>-54.099999999999966</v>
      </c>
      <c r="I44">
        <f t="shared" si="6"/>
        <v>214.90000000000003</v>
      </c>
      <c r="J44">
        <f t="shared" si="6"/>
        <v>-50.099999999999909</v>
      </c>
      <c r="K44">
        <f t="shared" si="6"/>
        <v>-39.099999999999909</v>
      </c>
    </row>
    <row r="45" spans="1:11">
      <c r="D45" t="s">
        <v>42</v>
      </c>
      <c r="E45">
        <f t="shared" ref="E45:K45" si="7">E44*E44</f>
        <v>54149.290000000008</v>
      </c>
      <c r="F45">
        <f t="shared" si="7"/>
        <v>1030.4100000000014</v>
      </c>
      <c r="G45">
        <f t="shared" si="7"/>
        <v>33233.290000000015</v>
      </c>
      <c r="H45">
        <f t="shared" si="7"/>
        <v>2926.8099999999963</v>
      </c>
      <c r="I45">
        <f t="shared" si="7"/>
        <v>46182.010000000017</v>
      </c>
      <c r="J45">
        <f t="shared" si="7"/>
        <v>2510.0099999999907</v>
      </c>
      <c r="K45">
        <f t="shared" si="7"/>
        <v>1528.8099999999929</v>
      </c>
    </row>
    <row r="46" spans="1:11">
      <c r="D46" t="s">
        <v>43</v>
      </c>
      <c r="E46">
        <v>6</v>
      </c>
      <c r="F46">
        <v>6</v>
      </c>
      <c r="G46">
        <v>6</v>
      </c>
      <c r="H46">
        <v>6</v>
      </c>
      <c r="I46">
        <v>6</v>
      </c>
      <c r="J46">
        <v>6</v>
      </c>
      <c r="K46">
        <v>6</v>
      </c>
    </row>
    <row r="47" spans="1:11">
      <c r="D47" t="s">
        <v>44</v>
      </c>
      <c r="E47">
        <f t="shared" ref="E47:K47" si="8">SUMSQ(E36:E43)</f>
        <v>8</v>
      </c>
      <c r="F47">
        <f t="shared" si="8"/>
        <v>8</v>
      </c>
      <c r="G47">
        <f t="shared" si="8"/>
        <v>8</v>
      </c>
      <c r="H47">
        <f t="shared" si="8"/>
        <v>8</v>
      </c>
      <c r="I47">
        <f t="shared" si="8"/>
        <v>8</v>
      </c>
      <c r="J47">
        <f t="shared" si="8"/>
        <v>8</v>
      </c>
      <c r="K47">
        <f t="shared" si="8"/>
        <v>8</v>
      </c>
    </row>
    <row r="48" spans="1:11">
      <c r="D48" t="s">
        <v>45</v>
      </c>
      <c r="E48">
        <f t="shared" ref="E48:K48" si="9">E45/E46/E47</f>
        <v>1128.1102083333335</v>
      </c>
      <c r="F48">
        <f t="shared" si="9"/>
        <v>21.46687500000003</v>
      </c>
      <c r="G48">
        <f t="shared" si="9"/>
        <v>692.36020833333362</v>
      </c>
      <c r="H48">
        <f t="shared" si="9"/>
        <v>60.975208333333256</v>
      </c>
      <c r="I48">
        <f t="shared" si="9"/>
        <v>962.12520833333372</v>
      </c>
      <c r="J48">
        <f t="shared" si="9"/>
        <v>52.291874999999806</v>
      </c>
      <c r="K48">
        <f t="shared" si="9"/>
        <v>31.850208333333185</v>
      </c>
    </row>
    <row r="51" spans="1:8" ht="15.75" thickBot="1">
      <c r="A51" s="21" t="s">
        <v>17</v>
      </c>
    </row>
    <row r="52" spans="1:8" ht="15.75" thickBot="1">
      <c r="A52" s="7" t="s">
        <v>18</v>
      </c>
      <c r="B52" s="8" t="s">
        <v>19</v>
      </c>
      <c r="C52" s="8" t="s">
        <v>20</v>
      </c>
      <c r="D52" s="8" t="s">
        <v>21</v>
      </c>
      <c r="E52" s="22" t="s">
        <v>22</v>
      </c>
      <c r="G52" t="s">
        <v>58</v>
      </c>
      <c r="H52" t="s">
        <v>58</v>
      </c>
    </row>
    <row r="53" spans="1:8">
      <c r="A53" t="s">
        <v>0</v>
      </c>
      <c r="B53">
        <v>1</v>
      </c>
      <c r="C53">
        <v>1128.1102083333335</v>
      </c>
      <c r="D53">
        <f t="shared" ref="D53:D59" si="10">C53/B53</f>
        <v>1128.1102083333335</v>
      </c>
      <c r="E53">
        <f t="shared" ref="E53:E59" si="11">D53/$D$62</f>
        <v>17.08580037555447</v>
      </c>
      <c r="F53" t="s">
        <v>24</v>
      </c>
      <c r="G53" s="38">
        <v>0.05</v>
      </c>
      <c r="H53" s="38">
        <v>0.01</v>
      </c>
    </row>
    <row r="54" spans="1:8">
      <c r="A54" t="s">
        <v>1</v>
      </c>
      <c r="B54">
        <v>1</v>
      </c>
      <c r="C54">
        <v>21.46687500000003</v>
      </c>
      <c r="D54">
        <f t="shared" si="10"/>
        <v>21.46687500000003</v>
      </c>
      <c r="E54">
        <f t="shared" si="11"/>
        <v>0.32512669261176103</v>
      </c>
      <c r="F54" t="s">
        <v>31</v>
      </c>
      <c r="G54" s="20">
        <f>_xlfn.F.INV.RT(G53,1,35)</f>
        <v>4.1213382003448995</v>
      </c>
      <c r="H54" s="20">
        <f>_xlfn.F.INV.RT(H53,1,35)</f>
        <v>7.4191168878012368</v>
      </c>
    </row>
    <row r="55" spans="1:8">
      <c r="A55" t="s">
        <v>2</v>
      </c>
      <c r="B55">
        <v>1</v>
      </c>
      <c r="C55">
        <v>692.36020833333362</v>
      </c>
      <c r="D55">
        <f t="shared" si="10"/>
        <v>692.36020833333362</v>
      </c>
      <c r="E55">
        <f t="shared" si="11"/>
        <v>10.486145963555769</v>
      </c>
      <c r="F55" t="s">
        <v>24</v>
      </c>
    </row>
    <row r="56" spans="1:8">
      <c r="A56" t="s">
        <v>46</v>
      </c>
      <c r="B56">
        <v>1</v>
      </c>
      <c r="C56">
        <v>60.975208333333256</v>
      </c>
      <c r="D56">
        <f t="shared" si="10"/>
        <v>60.975208333333256</v>
      </c>
      <c r="E56">
        <f t="shared" si="11"/>
        <v>0.92350040780177378</v>
      </c>
      <c r="F56" t="s">
        <v>31</v>
      </c>
    </row>
    <row r="57" spans="1:8">
      <c r="A57" s="39" t="s">
        <v>47</v>
      </c>
      <c r="B57" s="39">
        <v>1</v>
      </c>
      <c r="C57" s="39">
        <v>962.12520833333372</v>
      </c>
      <c r="D57" s="39">
        <f t="shared" si="10"/>
        <v>962.12520833333372</v>
      </c>
      <c r="E57" s="39">
        <f t="shared" si="11"/>
        <v>14.571873496436622</v>
      </c>
      <c r="F57" s="39" t="s">
        <v>24</v>
      </c>
    </row>
    <row r="58" spans="1:8">
      <c r="A58" t="s">
        <v>48</v>
      </c>
      <c r="B58">
        <v>1</v>
      </c>
      <c r="C58">
        <v>52.291874999999806</v>
      </c>
      <c r="D58">
        <f t="shared" si="10"/>
        <v>52.291874999999806</v>
      </c>
      <c r="E58">
        <f t="shared" si="11"/>
        <v>0.79198692726433373</v>
      </c>
      <c r="F58" t="s">
        <v>31</v>
      </c>
    </row>
    <row r="59" spans="1:8" ht="15.75" thickBot="1">
      <c r="A59" t="s">
        <v>49</v>
      </c>
      <c r="B59">
        <v>1</v>
      </c>
      <c r="C59">
        <v>31.850208333333185</v>
      </c>
      <c r="D59">
        <f t="shared" si="10"/>
        <v>31.850208333333185</v>
      </c>
      <c r="E59">
        <f t="shared" si="11"/>
        <v>0.48238753402216922</v>
      </c>
      <c r="F59" t="s">
        <v>31</v>
      </c>
    </row>
    <row r="60" spans="1:8" ht="15.75" thickBot="1">
      <c r="A60" s="30" t="s">
        <v>23</v>
      </c>
      <c r="B60" s="8">
        <v>7</v>
      </c>
      <c r="C60" s="26">
        <v>2949.1797916666692</v>
      </c>
      <c r="D60" s="26">
        <v>421.31139880952418</v>
      </c>
      <c r="E60" s="31">
        <v>6.3809744853209907</v>
      </c>
      <c r="F60" t="s">
        <v>24</v>
      </c>
    </row>
    <row r="61" spans="1:8">
      <c r="A61" s="23" t="s">
        <v>30</v>
      </c>
      <c r="B61">
        <v>5</v>
      </c>
      <c r="C61">
        <v>235.45854166665231</v>
      </c>
      <c r="D61" s="20">
        <v>47.091708333330459</v>
      </c>
      <c r="E61" s="20">
        <v>0.7132277697547228</v>
      </c>
      <c r="F61" t="s">
        <v>31</v>
      </c>
    </row>
    <row r="62" spans="1:8" ht="15.75" thickBot="1">
      <c r="A62" s="23" t="s">
        <v>25</v>
      </c>
      <c r="B62">
        <v>35</v>
      </c>
      <c r="C62" s="20">
        <v>2310.9164583333331</v>
      </c>
      <c r="D62">
        <v>66.026184523809519</v>
      </c>
    </row>
    <row r="63" spans="1:8" ht="15.75" thickBot="1">
      <c r="A63" s="7" t="s">
        <v>3</v>
      </c>
      <c r="B63" s="8">
        <v>47</v>
      </c>
      <c r="C63" s="26">
        <v>5495.5547916666546</v>
      </c>
      <c r="D63" s="8"/>
      <c r="E63" s="22"/>
    </row>
    <row r="64" spans="1:8">
      <c r="A64" s="23" t="s">
        <v>26</v>
      </c>
      <c r="B64" s="20">
        <v>10.01672376500062</v>
      </c>
    </row>
    <row r="65" spans="1:8">
      <c r="A65" s="23" t="s">
        <v>27</v>
      </c>
      <c r="B65" s="20"/>
      <c r="D65" s="20"/>
    </row>
    <row r="66" spans="1:8">
      <c r="A66" s="23" t="s">
        <v>28</v>
      </c>
      <c r="B66" s="20"/>
      <c r="D66" s="20"/>
    </row>
    <row r="68" spans="1:8" ht="24" thickBot="1">
      <c r="A68" s="27" t="s">
        <v>50</v>
      </c>
    </row>
    <row r="69" spans="1:8" ht="15.75" thickBot="1">
      <c r="A69" s="15" t="s">
        <v>4</v>
      </c>
      <c r="B69" s="17"/>
      <c r="C69" s="40" t="s">
        <v>3</v>
      </c>
    </row>
    <row r="70" spans="1:8" ht="15.75" thickBot="1">
      <c r="A70" s="15" t="s">
        <v>0</v>
      </c>
      <c r="B70" s="17" t="s">
        <v>2</v>
      </c>
      <c r="C70" s="41"/>
      <c r="E70" s="21" t="s">
        <v>57</v>
      </c>
    </row>
    <row r="71" spans="1:8" ht="15.75" thickBot="1">
      <c r="A71" s="1">
        <v>0</v>
      </c>
      <c r="B71" s="2">
        <v>0</v>
      </c>
      <c r="C71" s="10">
        <v>206.2</v>
      </c>
      <c r="E71" s="33"/>
      <c r="F71" s="45" t="s">
        <v>2</v>
      </c>
      <c r="G71" s="45"/>
      <c r="H71" s="46" t="s">
        <v>3</v>
      </c>
    </row>
    <row r="72" spans="1:8" ht="15.75" thickBot="1">
      <c r="A72" s="3">
        <v>1</v>
      </c>
      <c r="B72" s="4">
        <v>0</v>
      </c>
      <c r="C72" s="12">
        <v>214.4</v>
      </c>
      <c r="E72" s="34" t="s">
        <v>0</v>
      </c>
      <c r="F72" s="8">
        <v>0</v>
      </c>
      <c r="G72" s="8">
        <v>1</v>
      </c>
      <c r="H72" s="47"/>
    </row>
    <row r="73" spans="1:8">
      <c r="A73" s="3">
        <v>0</v>
      </c>
      <c r="B73" s="4">
        <v>0</v>
      </c>
      <c r="C73" s="12">
        <v>230.5</v>
      </c>
      <c r="E73" s="35">
        <v>0</v>
      </c>
      <c r="F73" s="11">
        <f>C71+C73</f>
        <v>436.7</v>
      </c>
      <c r="G73" s="11">
        <f>C74+C77</f>
        <v>420.4</v>
      </c>
      <c r="H73" s="37">
        <f>SUM(F73:G73)</f>
        <v>857.09999999999991</v>
      </c>
    </row>
    <row r="74" spans="1:8" ht="15.75" thickBot="1">
      <c r="A74" s="3">
        <v>0</v>
      </c>
      <c r="B74" s="4">
        <v>1</v>
      </c>
      <c r="C74" s="12">
        <v>200.8</v>
      </c>
      <c r="E74" s="35">
        <v>1</v>
      </c>
      <c r="F74" s="11">
        <f>C72+C75</f>
        <v>445.6</v>
      </c>
      <c r="G74" s="11">
        <f>C76+C78</f>
        <v>644.20000000000005</v>
      </c>
      <c r="H74" s="37">
        <f>SUM(F74:G74)</f>
        <v>1089.8000000000002</v>
      </c>
    </row>
    <row r="75" spans="1:8" ht="15.75" thickBot="1">
      <c r="A75" s="3">
        <v>1</v>
      </c>
      <c r="B75" s="4">
        <v>0</v>
      </c>
      <c r="C75" s="12">
        <v>231.2</v>
      </c>
      <c r="E75" s="36" t="s">
        <v>3</v>
      </c>
      <c r="F75" s="26">
        <f>F74+F73</f>
        <v>882.3</v>
      </c>
      <c r="G75" s="26">
        <f>G74+G73</f>
        <v>1064.5999999999999</v>
      </c>
      <c r="H75" s="25">
        <f>SUM(F75:G75)</f>
        <v>1946.8999999999999</v>
      </c>
    </row>
    <row r="76" spans="1:8">
      <c r="A76" s="3">
        <v>1</v>
      </c>
      <c r="B76" s="4">
        <v>1</v>
      </c>
      <c r="C76" s="12">
        <v>336</v>
      </c>
    </row>
    <row r="77" spans="1:8">
      <c r="A77" s="3">
        <v>0</v>
      </c>
      <c r="B77" s="4">
        <v>1</v>
      </c>
      <c r="C77" s="12">
        <v>219.6</v>
      </c>
    </row>
    <row r="78" spans="1:8" ht="15.75" thickBot="1">
      <c r="A78" s="5">
        <v>1</v>
      </c>
      <c r="B78" s="6">
        <v>1</v>
      </c>
      <c r="C78" s="14">
        <v>308.20000000000005</v>
      </c>
    </row>
    <row r="80" spans="1:8" ht="18">
      <c r="A80" s="32" t="s">
        <v>53</v>
      </c>
      <c r="H80" s="32" t="s">
        <v>54</v>
      </c>
    </row>
    <row r="81" spans="1:13" ht="15.75" thickBot="1"/>
    <row r="82" spans="1:13" ht="15.75" thickBot="1">
      <c r="A82" s="7" t="s">
        <v>18</v>
      </c>
      <c r="B82" s="8" t="s">
        <v>19</v>
      </c>
      <c r="C82" s="8" t="s">
        <v>20</v>
      </c>
      <c r="D82" s="8" t="s">
        <v>21</v>
      </c>
      <c r="E82" s="22" t="s">
        <v>22</v>
      </c>
      <c r="H82" s="7" t="s">
        <v>18</v>
      </c>
      <c r="I82" s="8" t="s">
        <v>19</v>
      </c>
      <c r="J82" s="8" t="s">
        <v>20</v>
      </c>
      <c r="K82" s="8" t="s">
        <v>21</v>
      </c>
      <c r="L82" s="22" t="s">
        <v>22</v>
      </c>
    </row>
    <row r="83" spans="1:13">
      <c r="A83" t="s">
        <v>51</v>
      </c>
      <c r="B83">
        <v>1</v>
      </c>
      <c r="C83">
        <f>SUMSQ(F73:F74)/12-F75*F75/24</f>
        <v>3.3004166666723904</v>
      </c>
      <c r="D83">
        <f>C83/B83</f>
        <v>3.3004166666723904</v>
      </c>
      <c r="E83">
        <f>D83/D92</f>
        <v>4.9986481734110147E-2</v>
      </c>
      <c r="F83" t="s">
        <v>31</v>
      </c>
      <c r="H83" t="s">
        <v>55</v>
      </c>
      <c r="I83">
        <v>1</v>
      </c>
      <c r="J83">
        <f>SUMSQ(F73:G73)/12-H73*H73/24</f>
        <v>11.070416666669189</v>
      </c>
      <c r="K83">
        <f>J83/I83</f>
        <v>11.070416666669189</v>
      </c>
      <c r="L83">
        <f>K83/K92</f>
        <v>0.16766706642994214</v>
      </c>
      <c r="M83" t="s">
        <v>31</v>
      </c>
    </row>
    <row r="84" spans="1:13">
      <c r="A84" t="s">
        <v>52</v>
      </c>
      <c r="B84">
        <v>1</v>
      </c>
      <c r="C84">
        <f>SUMSQ(G73:G74)/12-G75*G75/24</f>
        <v>2086.9350000000122</v>
      </c>
      <c r="D84">
        <f>C84/B84</f>
        <v>2086.9350000000122</v>
      </c>
      <c r="E84">
        <f>D84/D92</f>
        <v>31.607687390257244</v>
      </c>
      <c r="F84" t="s">
        <v>24</v>
      </c>
      <c r="H84" t="s">
        <v>56</v>
      </c>
      <c r="I84">
        <v>1</v>
      </c>
      <c r="J84">
        <f>SUMSQ(F74:G74)/12-H74*H74/24</f>
        <v>1643.4149999999936</v>
      </c>
      <c r="K84">
        <f>J84/I84</f>
        <v>1643.4149999999936</v>
      </c>
      <c r="L84">
        <f>K84/K92</f>
        <v>24.890352393562381</v>
      </c>
      <c r="M84" t="s">
        <v>24</v>
      </c>
    </row>
    <row r="85" spans="1:13">
      <c r="A85" t="s">
        <v>1</v>
      </c>
      <c r="B85">
        <v>1</v>
      </c>
      <c r="C85">
        <v>21.46687500000003</v>
      </c>
      <c r="D85">
        <f t="shared" ref="D85:D89" si="12">C85/B85</f>
        <v>21.46687500000003</v>
      </c>
      <c r="E85">
        <f t="shared" ref="E85:E89" si="13">D85/$D$62</f>
        <v>0.32512669261176103</v>
      </c>
      <c r="F85" t="s">
        <v>31</v>
      </c>
      <c r="H85" t="s">
        <v>0</v>
      </c>
      <c r="I85">
        <v>1</v>
      </c>
      <c r="J85">
        <v>1128.1102083333335</v>
      </c>
      <c r="K85">
        <f t="shared" ref="K85:K89" si="14">J85/I85</f>
        <v>1128.1102083333335</v>
      </c>
      <c r="L85">
        <f t="shared" ref="L85:L89" si="15">K85/$D$62</f>
        <v>17.08580037555447</v>
      </c>
      <c r="M85" t="s">
        <v>24</v>
      </c>
    </row>
    <row r="86" spans="1:13">
      <c r="A86" t="s">
        <v>2</v>
      </c>
      <c r="B86">
        <v>1</v>
      </c>
      <c r="C86">
        <v>692.36020833333362</v>
      </c>
      <c r="D86">
        <f t="shared" si="12"/>
        <v>692.36020833333362</v>
      </c>
      <c r="E86">
        <f t="shared" si="13"/>
        <v>10.486145963555769</v>
      </c>
      <c r="F86" t="s">
        <v>24</v>
      </c>
      <c r="H86" t="s">
        <v>1</v>
      </c>
      <c r="I86">
        <v>1</v>
      </c>
      <c r="J86">
        <v>21.46687500000003</v>
      </c>
      <c r="K86">
        <f t="shared" si="14"/>
        <v>21.46687500000003</v>
      </c>
      <c r="L86">
        <f t="shared" si="15"/>
        <v>0.32512669261176103</v>
      </c>
      <c r="M86" t="s">
        <v>31</v>
      </c>
    </row>
    <row r="87" spans="1:13">
      <c r="A87" t="s">
        <v>46</v>
      </c>
      <c r="B87">
        <v>1</v>
      </c>
      <c r="C87">
        <v>60.975208333333256</v>
      </c>
      <c r="D87">
        <f t="shared" si="12"/>
        <v>60.975208333333256</v>
      </c>
      <c r="E87">
        <f t="shared" si="13"/>
        <v>0.92350040780177378</v>
      </c>
      <c r="F87" t="s">
        <v>31</v>
      </c>
      <c r="H87" t="s">
        <v>46</v>
      </c>
      <c r="I87">
        <v>1</v>
      </c>
      <c r="J87">
        <v>60.975208333333256</v>
      </c>
      <c r="K87">
        <f t="shared" si="14"/>
        <v>60.975208333333256</v>
      </c>
      <c r="L87">
        <f t="shared" si="15"/>
        <v>0.92350040780177378</v>
      </c>
      <c r="M87" t="s">
        <v>31</v>
      </c>
    </row>
    <row r="88" spans="1:13">
      <c r="A88" t="s">
        <v>48</v>
      </c>
      <c r="B88">
        <v>1</v>
      </c>
      <c r="C88">
        <v>52.291874999999806</v>
      </c>
      <c r="D88">
        <f t="shared" si="12"/>
        <v>52.291874999999806</v>
      </c>
      <c r="E88">
        <f t="shared" si="13"/>
        <v>0.79198692726433373</v>
      </c>
      <c r="F88" t="s">
        <v>31</v>
      </c>
      <c r="H88" t="s">
        <v>48</v>
      </c>
      <c r="I88">
        <v>1</v>
      </c>
      <c r="J88">
        <v>52.291874999999806</v>
      </c>
      <c r="K88">
        <f t="shared" si="14"/>
        <v>52.291874999999806</v>
      </c>
      <c r="L88">
        <f t="shared" si="15"/>
        <v>0.79198692726433373</v>
      </c>
      <c r="M88" t="s">
        <v>31</v>
      </c>
    </row>
    <row r="89" spans="1:13" ht="15.75" thickBot="1">
      <c r="A89" t="s">
        <v>49</v>
      </c>
      <c r="B89">
        <v>1</v>
      </c>
      <c r="C89">
        <v>31.850208333333185</v>
      </c>
      <c r="D89">
        <f t="shared" si="12"/>
        <v>31.850208333333185</v>
      </c>
      <c r="E89">
        <f t="shared" si="13"/>
        <v>0.48238753402216922</v>
      </c>
      <c r="F89" t="s">
        <v>31</v>
      </c>
      <c r="H89" t="s">
        <v>49</v>
      </c>
      <c r="I89">
        <v>1</v>
      </c>
      <c r="J89">
        <v>31.850208333333185</v>
      </c>
      <c r="K89">
        <f t="shared" si="14"/>
        <v>31.850208333333185</v>
      </c>
      <c r="L89">
        <f t="shared" si="15"/>
        <v>0.48238753402216922</v>
      </c>
      <c r="M89" t="s">
        <v>31</v>
      </c>
    </row>
    <row r="90" spans="1:13" ht="15.75" thickBot="1">
      <c r="A90" s="30" t="s">
        <v>23</v>
      </c>
      <c r="B90" s="8">
        <v>7</v>
      </c>
      <c r="C90" s="26">
        <v>2949.1797916666692</v>
      </c>
      <c r="D90" s="26">
        <v>421.31139880952418</v>
      </c>
      <c r="E90" s="31">
        <v>6.3809744853209907</v>
      </c>
      <c r="F90" t="s">
        <v>24</v>
      </c>
      <c r="H90" s="30" t="s">
        <v>23</v>
      </c>
      <c r="I90" s="8">
        <v>7</v>
      </c>
      <c r="J90" s="26">
        <v>2949.1797916666692</v>
      </c>
      <c r="K90" s="26">
        <v>421.31139880952418</v>
      </c>
      <c r="L90" s="31">
        <v>6.3809744853209907</v>
      </c>
      <c r="M90" t="s">
        <v>24</v>
      </c>
    </row>
    <row r="91" spans="1:13">
      <c r="A91" s="23" t="s">
        <v>30</v>
      </c>
      <c r="B91">
        <v>5</v>
      </c>
      <c r="C91">
        <v>235.45854166665231</v>
      </c>
      <c r="D91" s="20">
        <v>47.091708333330459</v>
      </c>
      <c r="E91" s="20">
        <v>0.7132277697547228</v>
      </c>
      <c r="F91" t="s">
        <v>31</v>
      </c>
      <c r="H91" s="23" t="s">
        <v>30</v>
      </c>
      <c r="I91">
        <v>5</v>
      </c>
      <c r="J91">
        <v>235.45854166665231</v>
      </c>
      <c r="K91" s="20">
        <v>47.091708333330459</v>
      </c>
      <c r="L91" s="20">
        <v>0.7132277697547228</v>
      </c>
      <c r="M91" t="s">
        <v>31</v>
      </c>
    </row>
    <row r="92" spans="1:13" ht="15.75" thickBot="1">
      <c r="A92" s="23" t="s">
        <v>25</v>
      </c>
      <c r="B92">
        <v>35</v>
      </c>
      <c r="C92" s="20">
        <v>2310.9164583333331</v>
      </c>
      <c r="D92">
        <v>66.026184523809519</v>
      </c>
      <c r="H92" s="23" t="s">
        <v>25</v>
      </c>
      <c r="I92">
        <v>35</v>
      </c>
      <c r="J92" s="20">
        <v>2310.9164583333331</v>
      </c>
      <c r="K92">
        <v>66.026184523809519</v>
      </c>
    </row>
    <row r="93" spans="1:13" ht="15.75" thickBot="1">
      <c r="A93" s="7" t="s">
        <v>3</v>
      </c>
      <c r="B93" s="8">
        <v>47</v>
      </c>
      <c r="C93" s="26">
        <v>5495.5547916666546</v>
      </c>
      <c r="D93" s="8"/>
      <c r="E93" s="22"/>
      <c r="H93" s="7" t="s">
        <v>3</v>
      </c>
      <c r="I93" s="8">
        <v>47</v>
      </c>
      <c r="J93" s="26">
        <v>5495.5547916666546</v>
      </c>
      <c r="K93" s="8"/>
      <c r="L93" s="22"/>
    </row>
    <row r="94" spans="1:13">
      <c r="A94" s="23" t="s">
        <v>26</v>
      </c>
      <c r="B94" s="20">
        <v>10.01672376500062</v>
      </c>
      <c r="H94" s="23" t="s">
        <v>26</v>
      </c>
      <c r="I94" s="20">
        <v>10.01672376500062</v>
      </c>
    </row>
    <row r="95" spans="1:13">
      <c r="A95" s="23" t="s">
        <v>27</v>
      </c>
      <c r="B95" s="20">
        <v>2.2852351731018694</v>
      </c>
      <c r="D95" s="20">
        <f>_xlfn.F.INV.RT(5%,B83,B92)</f>
        <v>4.1213382003448995</v>
      </c>
      <c r="H95" s="23" t="s">
        <v>27</v>
      </c>
      <c r="I95" s="20">
        <v>2.2852351731018694</v>
      </c>
      <c r="K95" s="20">
        <f>_xlfn.F.INV.RT(5%,I85,I92)</f>
        <v>4.1213382003448995</v>
      </c>
    </row>
    <row r="96" spans="1:13">
      <c r="A96" s="23" t="s">
        <v>28</v>
      </c>
      <c r="B96" s="20">
        <v>3.1999521072983783</v>
      </c>
      <c r="D96" s="20">
        <f>_xlfn.F.INV.RT(1%,B83,B92)</f>
        <v>7.4191168878012368</v>
      </c>
      <c r="H96" s="23" t="s">
        <v>28</v>
      </c>
      <c r="I96" s="20">
        <v>3.1999521072983783</v>
      </c>
      <c r="K96" s="20">
        <f>_xlfn.F.INV.RT(1%,I85,I92)</f>
        <v>7.4191168878012368</v>
      </c>
    </row>
    <row r="99" spans="1:7" ht="15.75" thickBot="1">
      <c r="A99" t="s">
        <v>59</v>
      </c>
      <c r="D99" s="21" t="s">
        <v>63</v>
      </c>
    </row>
    <row r="100" spans="1:7" ht="15.75" thickBot="1">
      <c r="A100" t="s">
        <v>60</v>
      </c>
      <c r="B100">
        <f>2.87</f>
        <v>2.87</v>
      </c>
      <c r="D100" s="33"/>
      <c r="E100" s="45" t="s">
        <v>2</v>
      </c>
      <c r="F100" s="45"/>
      <c r="G100" s="46" t="s">
        <v>3</v>
      </c>
    </row>
    <row r="101" spans="1:7" ht="15.75" thickBot="1">
      <c r="A101" t="s">
        <v>61</v>
      </c>
      <c r="B101">
        <f>SQRT(D92/12)</f>
        <v>2.345673047048713</v>
      </c>
      <c r="D101" s="34" t="s">
        <v>0</v>
      </c>
      <c r="E101" s="8">
        <v>0</v>
      </c>
      <c r="F101" s="8">
        <v>1</v>
      </c>
      <c r="G101" s="47"/>
    </row>
    <row r="102" spans="1:7">
      <c r="A102" t="s">
        <v>62</v>
      </c>
      <c r="B102">
        <f>B101*B100</f>
        <v>6.7320816450298064</v>
      </c>
      <c r="D102" s="35">
        <v>0</v>
      </c>
      <c r="E102" s="11">
        <f>F73/12</f>
        <v>36.391666666666666</v>
      </c>
      <c r="F102" s="11">
        <f>G73/12</f>
        <v>35.033333333333331</v>
      </c>
      <c r="G102" s="49">
        <f>H73/24</f>
        <v>35.712499999999999</v>
      </c>
    </row>
    <row r="103" spans="1:7" ht="15.75" thickBot="1">
      <c r="D103" s="35">
        <v>1</v>
      </c>
      <c r="E103" s="11">
        <f>F74/12</f>
        <v>37.133333333333333</v>
      </c>
      <c r="F103" s="11">
        <f>G74/12</f>
        <v>53.683333333333337</v>
      </c>
      <c r="G103" s="37">
        <f>H74/24</f>
        <v>45.408333333333339</v>
      </c>
    </row>
    <row r="104" spans="1:7" ht="15.75" thickBot="1">
      <c r="D104" s="36" t="s">
        <v>3</v>
      </c>
      <c r="E104" s="48">
        <f>F75/24</f>
        <v>36.762499999999996</v>
      </c>
      <c r="F104" s="26">
        <f>G75/24</f>
        <v>44.358333333333327</v>
      </c>
      <c r="G104" s="25">
        <f>H75/48</f>
        <v>40.560416666666661</v>
      </c>
    </row>
    <row r="107" spans="1:7">
      <c r="A107" t="s">
        <v>71</v>
      </c>
      <c r="F107" t="s">
        <v>69</v>
      </c>
      <c r="G107" t="s">
        <v>70</v>
      </c>
    </row>
    <row r="108" spans="1:7">
      <c r="A108" t="s">
        <v>72</v>
      </c>
      <c r="B108" s="20">
        <f>E103-E102</f>
        <v>0.74166666666666714</v>
      </c>
      <c r="C108" t="s">
        <v>31</v>
      </c>
      <c r="E108" t="s">
        <v>67</v>
      </c>
      <c r="F108" t="s">
        <v>77</v>
      </c>
      <c r="G108" t="s">
        <v>78</v>
      </c>
    </row>
    <row r="109" spans="1:7">
      <c r="A109" t="s">
        <v>73</v>
      </c>
      <c r="B109" s="20">
        <f>F103-F102</f>
        <v>18.650000000000006</v>
      </c>
      <c r="C109" t="s">
        <v>76</v>
      </c>
      <c r="E109" t="s">
        <v>68</v>
      </c>
      <c r="F109" t="s">
        <v>80</v>
      </c>
      <c r="G109" t="s">
        <v>79</v>
      </c>
    </row>
    <row r="110" spans="1:7">
      <c r="E110" t="s">
        <v>66</v>
      </c>
    </row>
    <row r="111" spans="1:7">
      <c r="A111" t="s">
        <v>74</v>
      </c>
      <c r="B111" s="20">
        <f>E102-F102</f>
        <v>1.3583333333333343</v>
      </c>
      <c r="E111" t="s">
        <v>64</v>
      </c>
    </row>
    <row r="112" spans="1:7">
      <c r="A112" t="s">
        <v>75</v>
      </c>
      <c r="B112" s="20">
        <f>F103-E103</f>
        <v>16.550000000000004</v>
      </c>
      <c r="C112" t="s">
        <v>76</v>
      </c>
      <c r="E112" t="s">
        <v>65</v>
      </c>
    </row>
  </sheetData>
  <mergeCells count="10">
    <mergeCell ref="E100:F100"/>
    <mergeCell ref="G100:G101"/>
    <mergeCell ref="J1:J2"/>
    <mergeCell ref="A34:C34"/>
    <mergeCell ref="D34:D35"/>
    <mergeCell ref="F71:G71"/>
    <mergeCell ref="H71:H72"/>
    <mergeCell ref="C69:C70"/>
    <mergeCell ref="A1:C1"/>
    <mergeCell ref="D1:I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Panosso</dc:creator>
  <cp:lastModifiedBy>Not. Unesp</cp:lastModifiedBy>
  <dcterms:created xsi:type="dcterms:W3CDTF">2019-11-04T23:04:38Z</dcterms:created>
  <dcterms:modified xsi:type="dcterms:W3CDTF">2022-12-05T23:07:44Z</dcterms:modified>
</cp:coreProperties>
</file>