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erimentacao-agricola-unesp-fcav\Listas\"/>
    </mc:Choice>
  </mc:AlternateContent>
  <xr:revisionPtr revIDLastSave="0" documentId="13_ncr:1_{BABD26FF-20B2-478C-8774-FEE718DFCD1C}" xr6:coauthVersionLast="47" xr6:coauthVersionMax="47" xr10:uidLastSave="{00000000-0000-0000-0000-000000000000}"/>
  <bookViews>
    <workbookView xWindow="-108" yWindow="-108" windowWidth="23256" windowHeight="12456" xr2:uid="{515D6C85-36C7-40AE-A3B3-0E51A53945E9}"/>
  </bookViews>
  <sheets>
    <sheet name="Plani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3" l="1"/>
  <c r="Q32" i="3"/>
  <c r="Q31" i="3"/>
  <c r="P31" i="3"/>
  <c r="Q30" i="3"/>
  <c r="P30" i="3"/>
  <c r="O30" i="3"/>
  <c r="K26" i="3"/>
  <c r="K25" i="3"/>
  <c r="K24" i="3"/>
  <c r="K23" i="3"/>
  <c r="K12" i="3"/>
  <c r="K11" i="3"/>
  <c r="N16" i="3"/>
  <c r="N15" i="3"/>
  <c r="N14" i="3"/>
  <c r="N13" i="3"/>
  <c r="N12" i="3"/>
  <c r="N11" i="3"/>
  <c r="S15" i="3"/>
  <c r="R15" i="3"/>
  <c r="Q15" i="3"/>
  <c r="T14" i="3"/>
  <c r="S14" i="3"/>
  <c r="Q7" i="3"/>
  <c r="V7" i="3" s="1"/>
  <c r="H14" i="3"/>
  <c r="T15" i="3" s="1"/>
  <c r="H5" i="3"/>
  <c r="S13" i="3" s="1"/>
  <c r="S16" i="3" s="1"/>
  <c r="H6" i="3"/>
  <c r="T13" i="3" s="1"/>
  <c r="T16" i="3" s="1"/>
  <c r="H7" i="3"/>
  <c r="Q14" i="3" s="1"/>
  <c r="U14" i="3" s="1"/>
  <c r="H8" i="3"/>
  <c r="R14" i="3" s="1"/>
  <c r="H9" i="3"/>
  <c r="H10" i="3"/>
  <c r="H11" i="3"/>
  <c r="H12" i="3"/>
  <c r="H13" i="3"/>
  <c r="H4" i="3"/>
  <c r="R13" i="3" s="1"/>
  <c r="R16" i="3" s="1"/>
  <c r="H3" i="3"/>
  <c r="Q13" i="3" s="1"/>
  <c r="R5" i="3"/>
  <c r="V5" i="3" s="1"/>
  <c r="S5" i="3"/>
  <c r="T5" i="3"/>
  <c r="U5" i="3"/>
  <c r="R6" i="3"/>
  <c r="V6" i="3" s="1"/>
  <c r="S6" i="3"/>
  <c r="T6" i="3"/>
  <c r="U6" i="3"/>
  <c r="R7" i="3"/>
  <c r="S7" i="3"/>
  <c r="T7" i="3"/>
  <c r="U7" i="3"/>
  <c r="Q6" i="3"/>
  <c r="Q5" i="3"/>
  <c r="K6" i="3"/>
  <c r="K8" i="3" s="1"/>
  <c r="K4" i="3"/>
  <c r="K5" i="3"/>
  <c r="K3" i="3"/>
  <c r="K7" i="3" s="1"/>
  <c r="K9" i="3"/>
  <c r="V8" i="3" l="1"/>
  <c r="U15" i="3"/>
  <c r="U13" i="3"/>
  <c r="Q16" i="3"/>
  <c r="L6" i="3" s="1"/>
  <c r="M6" i="3" s="1"/>
  <c r="H15" i="3"/>
  <c r="B18" i="3" s="1"/>
  <c r="B19" i="3"/>
  <c r="L9" i="3" s="1"/>
  <c r="L5" i="3" l="1"/>
  <c r="L3" i="3"/>
  <c r="M3" i="3" s="1"/>
  <c r="L7" i="3" l="1"/>
  <c r="L4" i="3"/>
  <c r="M4" i="3" s="1"/>
  <c r="N3" i="3" s="1"/>
  <c r="M7" i="3" l="1"/>
  <c r="L8" i="3"/>
  <c r="M8" i="3" s="1"/>
  <c r="U16" i="3"/>
  <c r="K19" i="3" l="1"/>
  <c r="N6" i="3"/>
  <c r="N7" i="3"/>
</calcChain>
</file>

<file path=xl/sharedStrings.xml><?xml version="1.0" encoding="utf-8"?>
<sst xmlns="http://schemas.openxmlformats.org/spreadsheetml/2006/main" count="104" uniqueCount="47">
  <si>
    <t>FV</t>
  </si>
  <si>
    <t>GL</t>
  </si>
  <si>
    <t>SQ</t>
  </si>
  <si>
    <t>QM</t>
  </si>
  <si>
    <t>F</t>
  </si>
  <si>
    <t>Total</t>
  </si>
  <si>
    <t>C</t>
  </si>
  <si>
    <t>**</t>
  </si>
  <si>
    <t>Média</t>
  </si>
  <si>
    <t>Tukey</t>
  </si>
  <si>
    <t>T</t>
  </si>
  <si>
    <t>Teste de Tukey</t>
  </si>
  <si>
    <t>DMS</t>
  </si>
  <si>
    <t>a</t>
  </si>
  <si>
    <t>b</t>
  </si>
  <si>
    <t>I1</t>
  </si>
  <si>
    <t>I2</t>
  </si>
  <si>
    <t>I3</t>
  </si>
  <si>
    <t>Irrigação</t>
  </si>
  <si>
    <t>Adubação</t>
  </si>
  <si>
    <t>A1</t>
  </si>
  <si>
    <t>A2</t>
  </si>
  <si>
    <t>A3</t>
  </si>
  <si>
    <t>A4</t>
  </si>
  <si>
    <t>Rep</t>
  </si>
  <si>
    <t>TOTAL</t>
  </si>
  <si>
    <t>r</t>
  </si>
  <si>
    <t>média</t>
  </si>
  <si>
    <t>A</t>
  </si>
  <si>
    <t>Ra</t>
  </si>
  <si>
    <t>Parcela</t>
  </si>
  <si>
    <t>B</t>
  </si>
  <si>
    <t>AxB</t>
  </si>
  <si>
    <t>Rb</t>
  </si>
  <si>
    <t>Total de Parcelas</t>
  </si>
  <si>
    <t>Irigação</t>
  </si>
  <si>
    <t>b=4</t>
  </si>
  <si>
    <t>Total AxB</t>
  </si>
  <si>
    <t>r=5</t>
  </si>
  <si>
    <t>Fc(2x12)</t>
  </si>
  <si>
    <t>Fc(3x36)</t>
  </si>
  <si>
    <t>Fc(6x36)</t>
  </si>
  <si>
    <t>s(mb)</t>
  </si>
  <si>
    <t xml:space="preserve">CVb </t>
  </si>
  <si>
    <t xml:space="preserve">CVa  </t>
  </si>
  <si>
    <t>q(4x36)</t>
  </si>
  <si>
    <t>Matriz de contrastes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</si>
</sst>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1" fillId="0" borderId="1" xfId="0" applyFont="1" applyBorder="1"/>
    <xf numFmtId="0" fontId="0" fillId="0" borderId="11" xfId="0" applyBorder="1"/>
    <xf numFmtId="0" fontId="0" fillId="0" borderId="5" xfId="0" applyBorder="1"/>
    <xf numFmtId="0" fontId="1" fillId="0" borderId="2" xfId="0" applyFont="1" applyBorder="1"/>
    <xf numFmtId="0" fontId="1" fillId="0" borderId="3" xfId="0" applyFont="1" applyBorder="1"/>
    <xf numFmtId="0" fontId="0" fillId="0" borderId="15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4" xfId="0" applyBorder="1"/>
    <xf numFmtId="9" fontId="0" fillId="0" borderId="10" xfId="0" applyNumberFormat="1" applyBorder="1"/>
    <xf numFmtId="2" fontId="0" fillId="0" borderId="7" xfId="0" applyNumberFormat="1" applyBorder="1"/>
    <xf numFmtId="9" fontId="0" fillId="0" borderId="11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2F79-B1E9-44B5-8F3A-7B2047FF296C}">
  <dimension ref="A1:V32"/>
  <sheetViews>
    <sheetView tabSelected="1" workbookViewId="0">
      <selection activeCell="D26" sqref="D26"/>
    </sheetView>
  </sheetViews>
  <sheetFormatPr defaultRowHeight="14.4" x14ac:dyDescent="0.3"/>
  <cols>
    <col min="16" max="16" width="16" bestFit="1" customWidth="1"/>
    <col min="17" max="20" width="5" bestFit="1" customWidth="1"/>
    <col min="21" max="21" width="5.88671875" customWidth="1"/>
    <col min="22" max="22" width="6" bestFit="1" customWidth="1"/>
  </cols>
  <sheetData>
    <row r="1" spans="1:22" ht="15" thickBot="1" x14ac:dyDescent="0.35">
      <c r="A1" s="34" t="s">
        <v>18</v>
      </c>
      <c r="B1" s="36" t="s">
        <v>19</v>
      </c>
      <c r="C1" s="28" t="s">
        <v>24</v>
      </c>
      <c r="D1" s="29"/>
      <c r="E1" s="29"/>
      <c r="F1" s="29"/>
      <c r="G1" s="33"/>
      <c r="H1" s="31" t="s">
        <v>25</v>
      </c>
    </row>
    <row r="2" spans="1:22" ht="15" thickBot="1" x14ac:dyDescent="0.35">
      <c r="A2" s="35"/>
      <c r="B2" s="37"/>
      <c r="C2" s="21">
        <v>1</v>
      </c>
      <c r="D2" s="11">
        <v>2</v>
      </c>
      <c r="E2" s="11">
        <v>3</v>
      </c>
      <c r="F2" s="11">
        <v>4</v>
      </c>
      <c r="G2" s="12">
        <v>5</v>
      </c>
      <c r="H2" s="32"/>
      <c r="J2" s="10" t="s">
        <v>0</v>
      </c>
      <c r="K2" s="13" t="s">
        <v>1</v>
      </c>
      <c r="L2" s="13" t="s">
        <v>2</v>
      </c>
      <c r="M2" s="13" t="s">
        <v>3</v>
      </c>
      <c r="N2" s="14" t="s">
        <v>4</v>
      </c>
      <c r="P2" s="5" t="s">
        <v>34</v>
      </c>
    </row>
    <row r="3" spans="1:22" ht="15" thickBot="1" x14ac:dyDescent="0.35">
      <c r="A3" s="6" t="s">
        <v>15</v>
      </c>
      <c r="B3" t="s">
        <v>20</v>
      </c>
      <c r="C3" s="6">
        <v>17.7</v>
      </c>
      <c r="D3">
        <v>17.3</v>
      </c>
      <c r="E3">
        <v>18</v>
      </c>
      <c r="F3">
        <v>18.2</v>
      </c>
      <c r="G3" s="7">
        <v>17.3</v>
      </c>
      <c r="H3" s="7">
        <f>SUM(C3:G3)</f>
        <v>88.5</v>
      </c>
      <c r="J3" s="6" t="s">
        <v>28</v>
      </c>
      <c r="K3">
        <f>B15-1</f>
        <v>2</v>
      </c>
      <c r="L3">
        <f>SUMSQ(V5:V7)/4/5-B19</f>
        <v>0.2823333333399205</v>
      </c>
      <c r="M3">
        <f>L3/K3</f>
        <v>0.14116666666996025</v>
      </c>
      <c r="N3" s="8">
        <f>M3/M4</f>
        <v>0.11558406113804677</v>
      </c>
      <c r="P3" s="20" t="s">
        <v>36</v>
      </c>
      <c r="Q3" s="30" t="s">
        <v>24</v>
      </c>
      <c r="R3" s="30"/>
      <c r="S3" s="30"/>
      <c r="T3" s="30"/>
      <c r="U3" s="30"/>
      <c r="V3" s="17"/>
    </row>
    <row r="4" spans="1:22" ht="15" thickBot="1" x14ac:dyDescent="0.35">
      <c r="A4" s="6" t="s">
        <v>15</v>
      </c>
      <c r="B4" t="s">
        <v>21</v>
      </c>
      <c r="C4" s="6">
        <v>17</v>
      </c>
      <c r="D4">
        <v>18.600000000000001</v>
      </c>
      <c r="E4">
        <v>17.100000000000001</v>
      </c>
      <c r="F4">
        <v>18</v>
      </c>
      <c r="G4" s="7">
        <v>19.399999999999999</v>
      </c>
      <c r="H4" s="7">
        <f>SUM(C4:G4)</f>
        <v>90.1</v>
      </c>
      <c r="J4" s="6" t="s">
        <v>29</v>
      </c>
      <c r="K4">
        <f>B15*(B17-1)</f>
        <v>12</v>
      </c>
      <c r="L4">
        <f>L5-L3</f>
        <v>14.656000000002678</v>
      </c>
      <c r="M4">
        <f>L4/K4</f>
        <v>1.2213333333335565</v>
      </c>
      <c r="N4" s="7"/>
      <c r="P4" s="16" t="s">
        <v>35</v>
      </c>
      <c r="Q4" s="9">
        <v>1</v>
      </c>
      <c r="R4" s="9">
        <v>2</v>
      </c>
      <c r="S4" s="9">
        <v>3</v>
      </c>
      <c r="T4" s="9">
        <v>4</v>
      </c>
      <c r="U4" s="9">
        <v>5</v>
      </c>
      <c r="V4" s="4" t="s">
        <v>5</v>
      </c>
    </row>
    <row r="5" spans="1:22" ht="15" thickBot="1" x14ac:dyDescent="0.35">
      <c r="A5" s="6" t="s">
        <v>15</v>
      </c>
      <c r="B5" t="s">
        <v>22</v>
      </c>
      <c r="C5" s="6">
        <v>18.899999999999999</v>
      </c>
      <c r="D5">
        <v>18.100000000000001</v>
      </c>
      <c r="E5">
        <v>18.5</v>
      </c>
      <c r="F5">
        <v>18.399999999999999</v>
      </c>
      <c r="G5" s="7">
        <v>19.2</v>
      </c>
      <c r="H5" s="7">
        <f t="shared" ref="H5:H13" si="0">SUM(C5:G5)</f>
        <v>93.100000000000009</v>
      </c>
      <c r="J5" s="2" t="s">
        <v>30</v>
      </c>
      <c r="K5" s="3">
        <f>B15*B17-1</f>
        <v>14</v>
      </c>
      <c r="L5" s="3">
        <f>SUMSQ(Q5:U7)/4-B19</f>
        <v>14.938333333342598</v>
      </c>
      <c r="M5" s="3"/>
      <c r="N5" s="4"/>
      <c r="P5" s="6" t="s">
        <v>15</v>
      </c>
      <c r="Q5" s="20">
        <f>C3+C4+C5+C6</f>
        <v>72.2</v>
      </c>
      <c r="R5" s="9">
        <f t="shared" ref="R5:U5" si="1">D3+D4+D5+D6</f>
        <v>72.5</v>
      </c>
      <c r="S5" s="9">
        <f t="shared" si="1"/>
        <v>73.099999999999994</v>
      </c>
      <c r="T5" s="9">
        <f t="shared" si="1"/>
        <v>72.900000000000006</v>
      </c>
      <c r="U5" s="17">
        <f t="shared" si="1"/>
        <v>76</v>
      </c>
      <c r="V5" s="17">
        <f>SUM(Q5:U5)</f>
        <v>366.7</v>
      </c>
    </row>
    <row r="6" spans="1:22" x14ac:dyDescent="0.3">
      <c r="A6" s="6" t="s">
        <v>15</v>
      </c>
      <c r="B6" t="s">
        <v>23</v>
      </c>
      <c r="C6" s="6">
        <v>18.600000000000001</v>
      </c>
      <c r="D6">
        <v>18.5</v>
      </c>
      <c r="E6">
        <v>19.5</v>
      </c>
      <c r="F6">
        <v>18.3</v>
      </c>
      <c r="G6" s="7">
        <v>20.100000000000001</v>
      </c>
      <c r="H6" s="7">
        <f t="shared" si="0"/>
        <v>95</v>
      </c>
      <c r="J6" s="20" t="s">
        <v>31</v>
      </c>
      <c r="K6" s="9">
        <f>B16-1</f>
        <v>3</v>
      </c>
      <c r="L6" s="9">
        <f>SUMSQ(Q16:T16)/5/3-B19</f>
        <v>23.831333333342627</v>
      </c>
      <c r="M6" s="9">
        <f>L6/K6</f>
        <v>7.943777777780876</v>
      </c>
      <c r="N6" s="17">
        <f>M6/M8</f>
        <v>24.576830525966471</v>
      </c>
      <c r="O6" t="s">
        <v>7</v>
      </c>
      <c r="P6" s="6" t="s">
        <v>16</v>
      </c>
      <c r="Q6" s="6">
        <f>C7+C8+C9+C10</f>
        <v>70.8</v>
      </c>
      <c r="R6">
        <f t="shared" ref="R6:U6" si="2">D7+D8+D9+D10</f>
        <v>71.5</v>
      </c>
      <c r="S6">
        <f t="shared" si="2"/>
        <v>71.7</v>
      </c>
      <c r="T6">
        <f t="shared" si="2"/>
        <v>75.8</v>
      </c>
      <c r="U6" s="7">
        <f t="shared" si="2"/>
        <v>78</v>
      </c>
      <c r="V6" s="7">
        <f>SUM(Q6:U6)</f>
        <v>367.8</v>
      </c>
    </row>
    <row r="7" spans="1:22" ht="15" thickBot="1" x14ac:dyDescent="0.35">
      <c r="A7" s="6" t="s">
        <v>16</v>
      </c>
      <c r="B7" t="s">
        <v>20</v>
      </c>
      <c r="C7" s="6">
        <v>16.7</v>
      </c>
      <c r="D7">
        <v>17</v>
      </c>
      <c r="E7">
        <v>17.3</v>
      </c>
      <c r="F7">
        <v>18.2</v>
      </c>
      <c r="G7" s="7">
        <v>17.8</v>
      </c>
      <c r="H7" s="7">
        <f t="shared" si="0"/>
        <v>87</v>
      </c>
      <c r="J7" s="6" t="s">
        <v>32</v>
      </c>
      <c r="K7">
        <f>K3*K6</f>
        <v>6</v>
      </c>
      <c r="L7">
        <f>SUMSQ(Q13:T15)/5-B19-L3-L6</f>
        <v>0.85766666665949742</v>
      </c>
      <c r="M7">
        <f>L7/K7</f>
        <v>0.14294444444324958</v>
      </c>
      <c r="N7" s="7">
        <f>M7/M8</f>
        <v>0.44224819525245807</v>
      </c>
      <c r="P7" s="21" t="s">
        <v>17</v>
      </c>
      <c r="Q7" s="21">
        <f>C11+C12+C13+C14</f>
        <v>70.400000000000006</v>
      </c>
      <c r="R7" s="11">
        <f t="shared" ref="R7:U7" si="3">D11+D12+D13+D14</f>
        <v>73.2</v>
      </c>
      <c r="S7" s="11">
        <f t="shared" si="3"/>
        <v>72.800000000000011</v>
      </c>
      <c r="T7" s="11">
        <f t="shared" si="3"/>
        <v>73.7</v>
      </c>
      <c r="U7" s="12">
        <f t="shared" si="3"/>
        <v>74.400000000000006</v>
      </c>
      <c r="V7" s="12">
        <f>SUM(Q7:U7)</f>
        <v>364.5</v>
      </c>
    </row>
    <row r="8" spans="1:22" ht="15" thickBot="1" x14ac:dyDescent="0.35">
      <c r="A8" s="6" t="s">
        <v>16</v>
      </c>
      <c r="B8" t="s">
        <v>21</v>
      </c>
      <c r="C8" s="6">
        <v>17.600000000000001</v>
      </c>
      <c r="D8">
        <v>17.600000000000001</v>
      </c>
      <c r="E8">
        <v>18.2</v>
      </c>
      <c r="F8">
        <v>17.7</v>
      </c>
      <c r="G8" s="7">
        <v>19.5</v>
      </c>
      <c r="H8" s="7">
        <f t="shared" si="0"/>
        <v>90.600000000000009</v>
      </c>
      <c r="J8" s="6" t="s">
        <v>33</v>
      </c>
      <c r="K8">
        <f>B15*K6*(B17-1)</f>
        <v>36</v>
      </c>
      <c r="L8">
        <f>L9-L6-L7-L5</f>
        <v>11.635999999998603</v>
      </c>
      <c r="M8">
        <f>L8/K8</f>
        <v>0.32322222222218344</v>
      </c>
      <c r="N8" s="7"/>
      <c r="V8">
        <f>SUM(V5:V7)</f>
        <v>1099</v>
      </c>
    </row>
    <row r="9" spans="1:22" ht="15" thickBot="1" x14ac:dyDescent="0.35">
      <c r="A9" s="6" t="s">
        <v>16</v>
      </c>
      <c r="B9" t="s">
        <v>22</v>
      </c>
      <c r="C9" s="6">
        <v>18</v>
      </c>
      <c r="D9">
        <v>18.100000000000001</v>
      </c>
      <c r="E9">
        <v>18.600000000000001</v>
      </c>
      <c r="F9">
        <v>19.5</v>
      </c>
      <c r="G9" s="7">
        <v>20.7</v>
      </c>
      <c r="H9" s="7">
        <f t="shared" si="0"/>
        <v>94.9</v>
      </c>
      <c r="J9" s="2" t="s">
        <v>10</v>
      </c>
      <c r="K9" s="3">
        <f>B15*B16*B17-1</f>
        <v>59</v>
      </c>
      <c r="L9" s="3">
        <f>SUMSQ(C3:G14)-B19</f>
        <v>51.263333333343326</v>
      </c>
      <c r="M9" s="3"/>
      <c r="N9" s="4"/>
    </row>
    <row r="10" spans="1:22" ht="15" thickBot="1" x14ac:dyDescent="0.35">
      <c r="A10" s="6" t="s">
        <v>16</v>
      </c>
      <c r="B10" t="s">
        <v>23</v>
      </c>
      <c r="C10" s="6">
        <v>18.5</v>
      </c>
      <c r="D10">
        <v>18.8</v>
      </c>
      <c r="E10">
        <v>17.600000000000001</v>
      </c>
      <c r="F10">
        <v>20.399999999999999</v>
      </c>
      <c r="G10" s="7">
        <v>20</v>
      </c>
      <c r="H10" s="7">
        <f t="shared" si="0"/>
        <v>95.3</v>
      </c>
      <c r="P10" t="s">
        <v>37</v>
      </c>
    </row>
    <row r="11" spans="1:22" ht="15" thickBot="1" x14ac:dyDescent="0.35">
      <c r="A11" s="6" t="s">
        <v>17</v>
      </c>
      <c r="B11" t="s">
        <v>20</v>
      </c>
      <c r="C11" s="6">
        <v>16.600000000000001</v>
      </c>
      <c r="D11">
        <v>17.7</v>
      </c>
      <c r="E11">
        <v>17.5</v>
      </c>
      <c r="F11">
        <v>17.5</v>
      </c>
      <c r="G11" s="7">
        <v>17.3</v>
      </c>
      <c r="H11" s="7">
        <f t="shared" si="0"/>
        <v>86.6</v>
      </c>
      <c r="J11" s="20" t="s">
        <v>44</v>
      </c>
      <c r="K11" s="17">
        <f>100*SQRT(M4)/B18</f>
        <v>6.0335186999392905</v>
      </c>
      <c r="L11" s="9" t="s">
        <v>39</v>
      </c>
      <c r="M11" s="22">
        <v>0.05</v>
      </c>
      <c r="N11" s="23">
        <f>_xlfn.F.INV(1-M11,2,12)</f>
        <v>3.8852938346523924</v>
      </c>
      <c r="P11" s="20" t="s">
        <v>38</v>
      </c>
      <c r="Q11" s="29" t="s">
        <v>19</v>
      </c>
      <c r="R11" s="29"/>
      <c r="S11" s="29"/>
      <c r="T11" s="33"/>
      <c r="U11" s="18"/>
    </row>
    <row r="12" spans="1:22" ht="15" thickBot="1" x14ac:dyDescent="0.35">
      <c r="A12" s="6" t="s">
        <v>17</v>
      </c>
      <c r="B12" t="s">
        <v>21</v>
      </c>
      <c r="C12" s="6">
        <v>17.2</v>
      </c>
      <c r="D12">
        <v>17.8</v>
      </c>
      <c r="E12">
        <v>17.600000000000001</v>
      </c>
      <c r="F12">
        <v>17.600000000000001</v>
      </c>
      <c r="G12" s="7">
        <v>18.600000000000001</v>
      </c>
      <c r="H12" s="7">
        <f t="shared" si="0"/>
        <v>88.800000000000011</v>
      </c>
      <c r="J12" s="21" t="s">
        <v>43</v>
      </c>
      <c r="K12" s="12">
        <f>100*SQRT(M8)/B18</f>
        <v>3.1038745778835852</v>
      </c>
      <c r="L12" s="21"/>
      <c r="M12" s="24">
        <v>0.01</v>
      </c>
      <c r="N12" s="25">
        <f>_xlfn.F.INV(1-M12,2,12)</f>
        <v>6.9266081401913011</v>
      </c>
      <c r="P12" s="16" t="s">
        <v>35</v>
      </c>
      <c r="Q12" s="9" t="s">
        <v>20</v>
      </c>
      <c r="R12" s="9" t="s">
        <v>21</v>
      </c>
      <c r="S12" s="9" t="s">
        <v>22</v>
      </c>
      <c r="T12" s="9" t="s">
        <v>23</v>
      </c>
      <c r="U12" s="16" t="s">
        <v>5</v>
      </c>
    </row>
    <row r="13" spans="1:22" x14ac:dyDescent="0.3">
      <c r="A13" s="6" t="s">
        <v>17</v>
      </c>
      <c r="B13" t="s">
        <v>22</v>
      </c>
      <c r="C13" s="6">
        <v>18.100000000000001</v>
      </c>
      <c r="D13">
        <v>18.2</v>
      </c>
      <c r="E13">
        <v>18.600000000000001</v>
      </c>
      <c r="F13">
        <v>19.600000000000001</v>
      </c>
      <c r="G13" s="7">
        <v>19</v>
      </c>
      <c r="H13" s="7">
        <f t="shared" si="0"/>
        <v>93.5</v>
      </c>
      <c r="L13" s="20" t="s">
        <v>40</v>
      </c>
      <c r="M13" s="22">
        <v>0.05</v>
      </c>
      <c r="N13" s="23">
        <f>_xlfn.F.INV(1-M13,3,36)</f>
        <v>2.8662655509401795</v>
      </c>
      <c r="P13" s="6" t="s">
        <v>15</v>
      </c>
      <c r="Q13" s="20">
        <f>H3</f>
        <v>88.5</v>
      </c>
      <c r="R13" s="9">
        <f>H4</f>
        <v>90.1</v>
      </c>
      <c r="S13" s="9">
        <f>H5</f>
        <v>93.100000000000009</v>
      </c>
      <c r="T13" s="9">
        <f>H6</f>
        <v>95</v>
      </c>
      <c r="U13" s="18">
        <f>SUM(Q13:T13)</f>
        <v>366.7</v>
      </c>
    </row>
    <row r="14" spans="1:22" ht="15" thickBot="1" x14ac:dyDescent="0.35">
      <c r="A14" s="21" t="s">
        <v>17</v>
      </c>
      <c r="B14" s="11" t="s">
        <v>23</v>
      </c>
      <c r="C14" s="21">
        <v>18.5</v>
      </c>
      <c r="D14" s="11">
        <v>19.5</v>
      </c>
      <c r="E14" s="11">
        <v>19.100000000000001</v>
      </c>
      <c r="F14" s="11">
        <v>19</v>
      </c>
      <c r="G14" s="12">
        <v>19.5</v>
      </c>
      <c r="H14" s="12">
        <f>SUM(C14:G14)</f>
        <v>95.6</v>
      </c>
      <c r="L14" s="21"/>
      <c r="M14" s="24">
        <v>0.01</v>
      </c>
      <c r="N14" s="25">
        <f>_xlfn.F.INV(1-M14,3,36)</f>
        <v>4.3770956208011746</v>
      </c>
      <c r="P14" s="6" t="s">
        <v>16</v>
      </c>
      <c r="Q14" s="6">
        <f>H7</f>
        <v>87</v>
      </c>
      <c r="R14">
        <f>H8</f>
        <v>90.600000000000009</v>
      </c>
      <c r="S14">
        <f>H9</f>
        <v>94.9</v>
      </c>
      <c r="T14">
        <f>H10</f>
        <v>95.3</v>
      </c>
      <c r="U14" s="15">
        <f>SUM(Q14:T14)</f>
        <v>367.8</v>
      </c>
    </row>
    <row r="15" spans="1:22" ht="15" thickBot="1" x14ac:dyDescent="0.35">
      <c r="A15" s="6" t="s">
        <v>13</v>
      </c>
      <c r="B15">
        <v>3</v>
      </c>
      <c r="H15">
        <f>SUM(H3:H14)</f>
        <v>1098.9999999999998</v>
      </c>
      <c r="L15" s="20" t="s">
        <v>41</v>
      </c>
      <c r="M15" s="22">
        <v>0.05</v>
      </c>
      <c r="N15" s="23">
        <f>_xlfn.F.INV(1-M15,6,36)</f>
        <v>2.3637509583661442</v>
      </c>
      <c r="P15" s="21" t="s">
        <v>17</v>
      </c>
      <c r="Q15" s="21">
        <f>H11</f>
        <v>86.6</v>
      </c>
      <c r="R15" s="11">
        <f>H12</f>
        <v>88.800000000000011</v>
      </c>
      <c r="S15" s="11">
        <f>H13</f>
        <v>93.5</v>
      </c>
      <c r="T15" s="11">
        <f>H14</f>
        <v>95.6</v>
      </c>
      <c r="U15" s="19">
        <f>SUM(Q15:T15)</f>
        <v>364.5</v>
      </c>
    </row>
    <row r="16" spans="1:22" ht="15" thickBot="1" x14ac:dyDescent="0.35">
      <c r="A16" s="6" t="s">
        <v>14</v>
      </c>
      <c r="B16">
        <v>4</v>
      </c>
      <c r="L16" s="21"/>
      <c r="M16" s="24">
        <v>0.01</v>
      </c>
      <c r="N16" s="25">
        <f>_xlfn.F.INV(1-M16,6,36)</f>
        <v>3.3506774654535043</v>
      </c>
      <c r="P16" s="2" t="s">
        <v>5</v>
      </c>
      <c r="Q16" s="2">
        <f>SUM(Q13:Q15)</f>
        <v>262.10000000000002</v>
      </c>
      <c r="R16" s="3">
        <f>SUM(R13:R15)</f>
        <v>269.5</v>
      </c>
      <c r="S16" s="3">
        <f>SUM(S13:S15)</f>
        <v>281.5</v>
      </c>
      <c r="T16" s="4">
        <f>SUM(T13:T15)</f>
        <v>285.89999999999998</v>
      </c>
      <c r="U16" s="4">
        <f>SUM(U13:U15)</f>
        <v>1099</v>
      </c>
    </row>
    <row r="17" spans="1:17" x14ac:dyDescent="0.3">
      <c r="A17" s="6" t="s">
        <v>26</v>
      </c>
      <c r="B17">
        <v>5</v>
      </c>
    </row>
    <row r="18" spans="1:17" x14ac:dyDescent="0.3">
      <c r="A18" s="6" t="s">
        <v>27</v>
      </c>
      <c r="B18">
        <f>H15/B15/B16/B17</f>
        <v>18.316666666666663</v>
      </c>
      <c r="J18" s="5" t="s">
        <v>11</v>
      </c>
    </row>
    <row r="19" spans="1:17" x14ac:dyDescent="0.3">
      <c r="A19" s="6" t="s">
        <v>6</v>
      </c>
      <c r="B19">
        <f>H15*H15/B15/B16/B17</f>
        <v>20130.016666666659</v>
      </c>
      <c r="J19" t="s">
        <v>42</v>
      </c>
      <c r="K19">
        <f>SQRT(M8/5/3)</f>
        <v>0.14679287499107566</v>
      </c>
    </row>
    <row r="20" spans="1:17" x14ac:dyDescent="0.3">
      <c r="J20" t="s">
        <v>45</v>
      </c>
      <c r="K20">
        <v>3.81</v>
      </c>
    </row>
    <row r="21" spans="1:17" ht="15" thickBot="1" x14ac:dyDescent="0.35">
      <c r="J21" t="s">
        <v>12</v>
      </c>
      <c r="K21">
        <f>K19*K20</f>
        <v>0.55928085371599823</v>
      </c>
      <c r="N21" t="s">
        <v>19</v>
      </c>
      <c r="O21" t="s">
        <v>8</v>
      </c>
    </row>
    <row r="22" spans="1:17" ht="15" thickBot="1" x14ac:dyDescent="0.35">
      <c r="J22" s="2" t="s">
        <v>19</v>
      </c>
      <c r="K22" s="3" t="s">
        <v>8</v>
      </c>
      <c r="L22" s="4" t="s">
        <v>9</v>
      </c>
      <c r="N22" t="s">
        <v>23</v>
      </c>
      <c r="O22" s="1">
        <v>19.059999999999999</v>
      </c>
      <c r="P22" t="s">
        <v>13</v>
      </c>
    </row>
    <row r="23" spans="1:17" x14ac:dyDescent="0.3">
      <c r="J23" s="20" t="s">
        <v>20</v>
      </c>
      <c r="K23" s="26">
        <f>Q16/3/5</f>
        <v>17.473333333333336</v>
      </c>
      <c r="L23" s="17" t="s">
        <v>14</v>
      </c>
      <c r="N23" t="s">
        <v>22</v>
      </c>
      <c r="O23" s="1">
        <v>18.766666666666666</v>
      </c>
      <c r="P23" t="s">
        <v>13</v>
      </c>
    </row>
    <row r="24" spans="1:17" x14ac:dyDescent="0.3">
      <c r="J24" s="6" t="s">
        <v>21</v>
      </c>
      <c r="K24" s="1">
        <f>R16/3/5</f>
        <v>17.966666666666665</v>
      </c>
      <c r="L24" s="7" t="s">
        <v>14</v>
      </c>
      <c r="N24" t="s">
        <v>21</v>
      </c>
      <c r="O24" s="1">
        <v>17.966666666666665</v>
      </c>
      <c r="P24" t="s">
        <v>14</v>
      </c>
    </row>
    <row r="25" spans="1:17" x14ac:dyDescent="0.3">
      <c r="J25" s="6" t="s">
        <v>22</v>
      </c>
      <c r="K25" s="1">
        <f>S16/3/5</f>
        <v>18.766666666666666</v>
      </c>
      <c r="L25" s="7" t="s">
        <v>13</v>
      </c>
      <c r="N25" t="s">
        <v>20</v>
      </c>
      <c r="O25" s="1">
        <v>17.473333333333336</v>
      </c>
      <c r="P25" t="s">
        <v>14</v>
      </c>
    </row>
    <row r="26" spans="1:17" ht="15" thickBot="1" x14ac:dyDescent="0.35">
      <c r="J26" s="21" t="s">
        <v>23</v>
      </c>
      <c r="K26" s="27">
        <f>T16/3/5</f>
        <v>19.059999999999999</v>
      </c>
      <c r="L26" s="12" t="s">
        <v>13</v>
      </c>
    </row>
    <row r="27" spans="1:17" x14ac:dyDescent="0.3">
      <c r="N27" t="s">
        <v>46</v>
      </c>
    </row>
    <row r="28" spans="1:17" ht="15" thickBot="1" x14ac:dyDescent="0.35"/>
    <row r="29" spans="1:17" ht="15" thickBot="1" x14ac:dyDescent="0.35">
      <c r="N29" s="18"/>
      <c r="O29" s="2" t="s">
        <v>22</v>
      </c>
      <c r="P29" s="3" t="s">
        <v>21</v>
      </c>
      <c r="Q29" s="4" t="s">
        <v>20</v>
      </c>
    </row>
    <row r="30" spans="1:17" x14ac:dyDescent="0.3">
      <c r="N30" s="15" t="s">
        <v>23</v>
      </c>
      <c r="O30" s="9">
        <f>O22-O23</f>
        <v>0.293333333333333</v>
      </c>
      <c r="P30" s="9">
        <f>O22-O24</f>
        <v>1.0933333333333337</v>
      </c>
      <c r="Q30" s="17">
        <f>O22-O25</f>
        <v>1.5866666666666625</v>
      </c>
    </row>
    <row r="31" spans="1:17" x14ac:dyDescent="0.3">
      <c r="N31" s="15" t="s">
        <v>22</v>
      </c>
      <c r="P31">
        <f>O23-O24</f>
        <v>0.80000000000000071</v>
      </c>
      <c r="Q31" s="7">
        <f>O23-O25</f>
        <v>1.2933333333333294</v>
      </c>
    </row>
    <row r="32" spans="1:17" ht="15" thickBot="1" x14ac:dyDescent="0.35">
      <c r="N32" s="19" t="s">
        <v>21</v>
      </c>
      <c r="O32" s="11"/>
      <c r="P32" s="11"/>
      <c r="Q32" s="12">
        <f>O24-O25</f>
        <v>0.49333333333332874</v>
      </c>
    </row>
  </sheetData>
  <sortState xmlns:xlrd2="http://schemas.microsoft.com/office/spreadsheetml/2017/richdata2" ref="N22:O25">
    <sortCondition descending="1" ref="O22:O25"/>
  </sortState>
  <mergeCells count="6">
    <mergeCell ref="Q11:T11"/>
    <mergeCell ref="C1:G1"/>
    <mergeCell ref="A1:A2"/>
    <mergeCell ref="B1:B2"/>
    <mergeCell ref="H1:H2"/>
    <mergeCell ref="Q3:U3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2023-10-06T19:16:33Z</dcterms:created>
  <dcterms:modified xsi:type="dcterms:W3CDTF">2024-11-29T12:22:18Z</dcterms:modified>
</cp:coreProperties>
</file>