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perimentacao-agricola-unesp-fcav\Listas\"/>
    </mc:Choice>
  </mc:AlternateContent>
  <xr:revisionPtr revIDLastSave="0" documentId="13_ncr:1_{B326BD1E-0277-4914-AD17-68A535C8EFF1}" xr6:coauthVersionLast="47" xr6:coauthVersionMax="47" xr10:uidLastSave="{00000000-0000-0000-0000-000000000000}"/>
  <bookViews>
    <workbookView xWindow="-108" yWindow="-108" windowWidth="23256" windowHeight="12456" xr2:uid="{515D6C85-36C7-40AE-A3B3-0E51A53945E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3" i="1" l="1"/>
  <c r="Q22" i="1"/>
  <c r="Q21" i="1"/>
  <c r="Q20" i="1"/>
  <c r="Q19" i="1"/>
  <c r="L21" i="1"/>
  <c r="K21" i="1"/>
  <c r="J27" i="1"/>
  <c r="K20" i="1"/>
  <c r="J22" i="1"/>
  <c r="J23" i="1"/>
  <c r="J24" i="1"/>
  <c r="J21" i="1"/>
  <c r="I25" i="1"/>
  <c r="I21" i="1"/>
  <c r="I22" i="1"/>
  <c r="I23" i="1"/>
  <c r="I24" i="1"/>
  <c r="I20" i="1"/>
  <c r="B36" i="1"/>
  <c r="D32" i="1"/>
  <c r="E32" i="1"/>
  <c r="C34" i="1"/>
  <c r="I30" i="1"/>
  <c r="I31" i="1"/>
  <c r="C33" i="1"/>
  <c r="D28" i="1"/>
  <c r="C28" i="1"/>
  <c r="D27" i="1"/>
  <c r="C27" i="1"/>
  <c r="G32" i="1"/>
  <c r="G31" i="1"/>
  <c r="F31" i="1"/>
  <c r="G30" i="1"/>
  <c r="F30" i="1"/>
  <c r="E30" i="1"/>
  <c r="E29" i="1"/>
  <c r="C35" i="1"/>
  <c r="C32" i="1"/>
  <c r="K39" i="1"/>
  <c r="K38" i="1"/>
  <c r="H39" i="1"/>
  <c r="H38" i="1"/>
  <c r="B34" i="1"/>
  <c r="B33" i="1"/>
  <c r="B32" i="1"/>
  <c r="B35" i="1"/>
  <c r="H27" i="1"/>
  <c r="H28" i="1"/>
  <c r="H26" i="1"/>
  <c r="E20" i="1"/>
  <c r="E25" i="1" s="1"/>
  <c r="G25" i="1"/>
  <c r="F25" i="1"/>
  <c r="D25" i="1"/>
  <c r="C25" i="1"/>
  <c r="B25" i="1"/>
  <c r="H24" i="1"/>
  <c r="H23" i="1"/>
  <c r="H22" i="1"/>
  <c r="H21" i="1"/>
  <c r="B14" i="1"/>
  <c r="B12" i="1"/>
  <c r="G8" i="1"/>
  <c r="B8" i="1"/>
  <c r="H7" i="1"/>
  <c r="H6" i="1"/>
  <c r="H5" i="1"/>
  <c r="H4" i="1"/>
  <c r="H3" i="1"/>
  <c r="F8" i="1"/>
  <c r="B67" i="1"/>
  <c r="B66" i="1"/>
  <c r="B65" i="1"/>
  <c r="B64" i="1"/>
  <c r="B63" i="1"/>
  <c r="B62" i="1"/>
  <c r="B46" i="1"/>
  <c r="H20" i="1" l="1"/>
  <c r="H25" i="1" s="1"/>
  <c r="C8" i="1" l="1"/>
  <c r="D8" i="1"/>
  <c r="E8" i="1"/>
  <c r="B13" i="1" s="1"/>
  <c r="B15" i="1" s="1"/>
  <c r="B42" i="1"/>
  <c r="B43" i="1"/>
  <c r="B44" i="1"/>
  <c r="B45" i="1"/>
  <c r="B41" i="1"/>
  <c r="H8" i="1" l="1"/>
  <c r="D33" i="1" l="1"/>
  <c r="D34" i="1" l="1"/>
  <c r="E33" i="1" l="1"/>
  <c r="C43" i="1"/>
  <c r="C44" i="1"/>
  <c r="C45" i="1"/>
  <c r="C46" i="1"/>
  <c r="C41" i="1"/>
  <c r="B50" i="1" s="1"/>
  <c r="B51" i="1" s="1"/>
  <c r="C42" i="1"/>
</calcChain>
</file>

<file path=xl/sharedStrings.xml><?xml version="1.0" encoding="utf-8"?>
<sst xmlns="http://schemas.openxmlformats.org/spreadsheetml/2006/main" count="111" uniqueCount="76">
  <si>
    <t>Tratamento</t>
  </si>
  <si>
    <t>Bloco</t>
  </si>
  <si>
    <t>DIMECRON+DDT</t>
  </si>
  <si>
    <t>NUVACRON+DDT</t>
  </si>
  <si>
    <t>SEVIN</t>
  </si>
  <si>
    <t>FOLIDOL</t>
  </si>
  <si>
    <t>SUMITHION</t>
  </si>
  <si>
    <t>TESTEMUNHA</t>
  </si>
  <si>
    <t>I</t>
  </si>
  <si>
    <t>II</t>
  </si>
  <si>
    <t>III</t>
  </si>
  <si>
    <t>IV</t>
  </si>
  <si>
    <t>Blocos</t>
  </si>
  <si>
    <t>Tratamentos</t>
  </si>
  <si>
    <t>Total (B)</t>
  </si>
  <si>
    <t>Total (T)</t>
  </si>
  <si>
    <t>FV</t>
  </si>
  <si>
    <t>GL</t>
  </si>
  <si>
    <t>SQ</t>
  </si>
  <si>
    <t>QM</t>
  </si>
  <si>
    <t>F</t>
  </si>
  <si>
    <t>Res.</t>
  </si>
  <si>
    <t>Total</t>
  </si>
  <si>
    <t>CV</t>
  </si>
  <si>
    <t>G</t>
  </si>
  <si>
    <t>C</t>
  </si>
  <si>
    <t>media_geral</t>
  </si>
  <si>
    <t>Fc(5 x 15)</t>
  </si>
  <si>
    <t>Fc(3 x 15)</t>
  </si>
  <si>
    <t>**</t>
  </si>
  <si>
    <t>*</t>
  </si>
  <si>
    <t>Rejeitamos H0 a 1%</t>
  </si>
  <si>
    <t>Conclusão (Trat):</t>
  </si>
  <si>
    <t>Conclusão (Bloco):</t>
  </si>
  <si>
    <t>Média</t>
  </si>
  <si>
    <t>Erro Padrão</t>
  </si>
  <si>
    <t>Tukey</t>
  </si>
  <si>
    <t>q(6 X 15)</t>
  </si>
  <si>
    <t>s(m)</t>
  </si>
  <si>
    <t>DMS</t>
  </si>
  <si>
    <t>a</t>
  </si>
  <si>
    <t>1-DIMECRON+DDT</t>
  </si>
  <si>
    <t>2-NUVACRON+DDT</t>
  </si>
  <si>
    <t>3-SEVIN</t>
  </si>
  <si>
    <t>4-FOLIDOL</t>
  </si>
  <si>
    <t>5-SUMITHION</t>
  </si>
  <si>
    <t>6-TESTEMUNHA</t>
  </si>
  <si>
    <t>contrastes</t>
  </si>
  <si>
    <t>m6 - m1</t>
  </si>
  <si>
    <t>b</t>
  </si>
  <si>
    <t>m1 - m2</t>
  </si>
  <si>
    <t>ns</t>
  </si>
  <si>
    <t>m1 - m4</t>
  </si>
  <si>
    <t>c</t>
  </si>
  <si>
    <t>m2 - m4</t>
  </si>
  <si>
    <t>m4 - m3</t>
  </si>
  <si>
    <t>m4 - m5</t>
  </si>
  <si>
    <t>Melhores inseticidas: Folidol, Sevin e Sumituion</t>
  </si>
  <si>
    <t>1-CB 41/70</t>
  </si>
  <si>
    <t>2-CB 41/76</t>
  </si>
  <si>
    <t>3-CB 40/19</t>
  </si>
  <si>
    <t>4-Co 419</t>
  </si>
  <si>
    <t>5-Co 421</t>
  </si>
  <si>
    <r>
      <t>y</t>
    </r>
    <r>
      <rPr>
        <vertAlign val="subscript"/>
        <sz val="11"/>
        <color rgb="FFFF0000"/>
        <rFont val="Calibri"/>
        <family val="2"/>
        <scheme val="minor"/>
      </rPr>
      <t>ij</t>
    </r>
  </si>
  <si>
    <t>J</t>
  </si>
  <si>
    <t>T</t>
  </si>
  <si>
    <t>B</t>
  </si>
  <si>
    <t>G'</t>
  </si>
  <si>
    <t xml:space="preserve">yij </t>
  </si>
  <si>
    <r>
      <t>U</t>
    </r>
    <r>
      <rPr>
        <vertAlign val="subscript"/>
        <sz val="11"/>
        <color theme="1"/>
        <rFont val="Calibri"/>
        <family val="2"/>
        <scheme val="minor"/>
      </rPr>
      <t>B</t>
    </r>
  </si>
  <si>
    <r>
      <t>U</t>
    </r>
    <r>
      <rPr>
        <vertAlign val="subscript"/>
        <sz val="11"/>
        <color theme="1"/>
        <rFont val="Calibri"/>
        <family val="2"/>
        <scheme val="minor"/>
      </rPr>
      <t>T</t>
    </r>
  </si>
  <si>
    <t>Bloco (Aj)</t>
  </si>
  <si>
    <t>Trat.(Aj)</t>
  </si>
  <si>
    <t>i</t>
  </si>
  <si>
    <t>j</t>
  </si>
  <si>
    <t>qmr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</si>
</sst>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9" fontId="0" fillId="0" borderId="0" xfId="0" applyNumberFormat="1"/>
    <xf numFmtId="0" fontId="0" fillId="0" borderId="5" xfId="0" applyBorder="1"/>
    <xf numFmtId="0" fontId="0" fillId="0" borderId="6" xfId="0" applyBorder="1"/>
    <xf numFmtId="0" fontId="1" fillId="0" borderId="0" xfId="0" applyFont="1" applyAlignment="1">
      <alignment horizontal="center"/>
    </xf>
    <xf numFmtId="165" fontId="0" fillId="0" borderId="5" xfId="0" applyNumberFormat="1" applyBorder="1"/>
    <xf numFmtId="165" fontId="0" fillId="0" borderId="0" xfId="0" applyNumberFormat="1"/>
    <xf numFmtId="0" fontId="0" fillId="2" borderId="5" xfId="0" applyFill="1" applyBorder="1"/>
    <xf numFmtId="0" fontId="0" fillId="2" borderId="0" xfId="0" applyFill="1"/>
    <xf numFmtId="0" fontId="0" fillId="2" borderId="1" xfId="0" applyFill="1" applyBorder="1"/>
    <xf numFmtId="2" fontId="0" fillId="2" borderId="1" xfId="0" applyNumberFormat="1" applyFill="1" applyBorder="1"/>
    <xf numFmtId="164" fontId="0" fillId="2" borderId="1" xfId="0" applyNumberFormat="1" applyFill="1" applyBorder="1"/>
    <xf numFmtId="2" fontId="0" fillId="2" borderId="0" xfId="0" applyNumberFormat="1" applyFill="1"/>
    <xf numFmtId="164" fontId="0" fillId="2" borderId="0" xfId="0" applyNumberFormat="1" applyFill="1"/>
    <xf numFmtId="0" fontId="0" fillId="2" borderId="6" xfId="0" applyFill="1" applyBorder="1"/>
    <xf numFmtId="2" fontId="0" fillId="2" borderId="6" xfId="0" applyNumberFormat="1" applyFill="1" applyBorder="1"/>
    <xf numFmtId="164" fontId="0" fillId="2" borderId="6" xfId="0" applyNumberFormat="1" applyFill="1" applyBorder="1"/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A5050-5291-4B26-9FFA-18A15DF21D7F}">
  <dimension ref="A1:Q69"/>
  <sheetViews>
    <sheetView tabSelected="1" topLeftCell="F9" zoomScale="175" zoomScaleNormal="175" workbookViewId="0">
      <selection activeCell="Q24" sqref="Q24"/>
    </sheetView>
  </sheetViews>
  <sheetFormatPr defaultRowHeight="14.4" x14ac:dyDescent="0.3"/>
  <cols>
    <col min="1" max="1" width="16.109375" bestFit="1" customWidth="1"/>
    <col min="3" max="3" width="9.88671875" customWidth="1"/>
    <col min="5" max="5" width="11.6640625" customWidth="1"/>
    <col min="7" max="7" width="12" bestFit="1" customWidth="1"/>
    <col min="8" max="8" width="11.5546875" customWidth="1"/>
    <col min="14" max="14" width="10.109375" bestFit="1" customWidth="1"/>
  </cols>
  <sheetData>
    <row r="1" spans="1:11" x14ac:dyDescent="0.3">
      <c r="A1" s="22" t="s">
        <v>13</v>
      </c>
      <c r="B1" s="24" t="s">
        <v>12</v>
      </c>
      <c r="C1" s="24"/>
      <c r="D1" s="24"/>
      <c r="E1" s="24"/>
      <c r="F1" s="24"/>
      <c r="G1" s="24"/>
    </row>
    <row r="2" spans="1:11" x14ac:dyDescent="0.3">
      <c r="A2" s="23"/>
      <c r="B2" s="8" t="s">
        <v>8</v>
      </c>
      <c r="C2" s="8" t="s">
        <v>9</v>
      </c>
      <c r="D2" s="8" t="s">
        <v>10</v>
      </c>
      <c r="E2" s="8" t="s">
        <v>11</v>
      </c>
      <c r="F2" s="8" t="s">
        <v>11</v>
      </c>
      <c r="G2" s="8" t="s">
        <v>11</v>
      </c>
      <c r="H2" s="7" t="s">
        <v>15</v>
      </c>
    </row>
    <row r="3" spans="1:11" ht="15.6" x14ac:dyDescent="0.35">
      <c r="A3" t="s">
        <v>58</v>
      </c>
      <c r="B3">
        <v>131.1</v>
      </c>
      <c r="C3">
        <v>140.19999999999999</v>
      </c>
      <c r="D3">
        <v>141.9</v>
      </c>
      <c r="E3" s="9" t="s">
        <v>63</v>
      </c>
      <c r="F3">
        <v>143.69999999999999</v>
      </c>
      <c r="G3">
        <v>146.5</v>
      </c>
      <c r="H3" s="11">
        <f>SUM(B3:G3)</f>
        <v>703.39999999999986</v>
      </c>
    </row>
    <row r="4" spans="1:11" x14ac:dyDescent="0.3">
      <c r="A4" t="s">
        <v>59</v>
      </c>
      <c r="B4">
        <v>140.6</v>
      </c>
      <c r="C4">
        <v>150.80000000000001</v>
      </c>
      <c r="D4">
        <v>148.5</v>
      </c>
      <c r="E4">
        <v>141.30000000000001</v>
      </c>
      <c r="F4">
        <v>151.80000000000001</v>
      </c>
      <c r="G4">
        <v>156.19999999999999</v>
      </c>
      <c r="H4" s="11">
        <f>SUM(B4:G4)</f>
        <v>889.2</v>
      </c>
    </row>
    <row r="5" spans="1:11" x14ac:dyDescent="0.3">
      <c r="A5" t="s">
        <v>60</v>
      </c>
      <c r="B5">
        <v>131.69999999999999</v>
      </c>
      <c r="C5">
        <v>145</v>
      </c>
      <c r="D5">
        <v>137.6</v>
      </c>
      <c r="E5">
        <v>143.69999999999999</v>
      </c>
      <c r="F5">
        <v>152.19999999999999</v>
      </c>
      <c r="G5">
        <v>154.9</v>
      </c>
      <c r="H5" s="11">
        <f>SUM(B5:G5)</f>
        <v>865.1</v>
      </c>
    </row>
    <row r="6" spans="1:11" x14ac:dyDescent="0.3">
      <c r="A6" t="s">
        <v>61</v>
      </c>
      <c r="B6">
        <v>112.9</v>
      </c>
      <c r="C6">
        <v>122</v>
      </c>
      <c r="D6">
        <v>122.6</v>
      </c>
      <c r="E6">
        <v>107.5</v>
      </c>
      <c r="F6">
        <v>133.80000000000001</v>
      </c>
      <c r="G6">
        <v>141</v>
      </c>
      <c r="H6" s="11">
        <f>SUM(B6:G6)</f>
        <v>739.8</v>
      </c>
    </row>
    <row r="7" spans="1:11" x14ac:dyDescent="0.3">
      <c r="A7" t="s">
        <v>62</v>
      </c>
      <c r="B7">
        <v>117.9</v>
      </c>
      <c r="C7">
        <v>129.80000000000001</v>
      </c>
      <c r="D7">
        <v>132.80000000000001</v>
      </c>
      <c r="E7">
        <v>116</v>
      </c>
      <c r="F7">
        <v>148.4</v>
      </c>
      <c r="G7">
        <v>157.1</v>
      </c>
      <c r="H7" s="11">
        <f>SUM(B7:G7)</f>
        <v>802</v>
      </c>
    </row>
    <row r="8" spans="1:11" x14ac:dyDescent="0.3">
      <c r="A8" s="7" t="s">
        <v>14</v>
      </c>
      <c r="B8" s="10">
        <f t="shared" ref="B8:H8" si="0">SUM(B3:B7)</f>
        <v>634.19999999999993</v>
      </c>
      <c r="C8" s="10">
        <f t="shared" si="0"/>
        <v>687.8</v>
      </c>
      <c r="D8" s="10">
        <f t="shared" si="0"/>
        <v>683.40000000000009</v>
      </c>
      <c r="E8" s="10">
        <f t="shared" si="0"/>
        <v>508.5</v>
      </c>
      <c r="F8" s="10">
        <f t="shared" si="0"/>
        <v>729.9</v>
      </c>
      <c r="G8" s="10">
        <f t="shared" si="0"/>
        <v>755.7</v>
      </c>
      <c r="H8" s="10">
        <f t="shared" si="0"/>
        <v>3999.5</v>
      </c>
    </row>
    <row r="9" spans="1:11" x14ac:dyDescent="0.3">
      <c r="B9" s="2"/>
      <c r="C9" s="2"/>
      <c r="D9" s="2"/>
      <c r="E9" s="2"/>
      <c r="F9" s="2"/>
      <c r="G9" s="2"/>
      <c r="H9" s="2"/>
    </row>
    <row r="10" spans="1:11" x14ac:dyDescent="0.3">
      <c r="A10" t="s">
        <v>8</v>
      </c>
      <c r="B10" s="2">
        <v>5</v>
      </c>
      <c r="C10" s="2"/>
      <c r="D10" s="2"/>
      <c r="E10" s="2"/>
      <c r="F10" s="2"/>
      <c r="G10" s="2"/>
      <c r="H10" s="2"/>
    </row>
    <row r="11" spans="1:11" x14ac:dyDescent="0.3">
      <c r="A11" t="s">
        <v>64</v>
      </c>
      <c r="B11" s="2">
        <v>6</v>
      </c>
      <c r="C11" s="2"/>
      <c r="D11" s="2"/>
      <c r="E11" s="2"/>
      <c r="F11" s="2"/>
      <c r="G11" s="2"/>
      <c r="H11" s="2"/>
    </row>
    <row r="12" spans="1:11" x14ac:dyDescent="0.3">
      <c r="A12" t="s">
        <v>65</v>
      </c>
      <c r="B12">
        <f>H3</f>
        <v>703.39999999999986</v>
      </c>
      <c r="H12" s="2"/>
    </row>
    <row r="13" spans="1:11" x14ac:dyDescent="0.3">
      <c r="A13" t="s">
        <v>66</v>
      </c>
      <c r="B13" s="2">
        <f>E8</f>
        <v>508.5</v>
      </c>
    </row>
    <row r="14" spans="1:11" x14ac:dyDescent="0.3">
      <c r="A14" t="s">
        <v>67</v>
      </c>
      <c r="B14">
        <f>SUM(B3:D7,E4:E7,F3:G7)</f>
        <v>3999.4999999999995</v>
      </c>
    </row>
    <row r="15" spans="1:11" x14ac:dyDescent="0.3">
      <c r="A15" t="s">
        <v>68</v>
      </c>
      <c r="B15">
        <f>(B10*B12+B11*B13-B14)/((B10-1)*(B11-1))</f>
        <v>128.42499999999998</v>
      </c>
    </row>
    <row r="16" spans="1:11" x14ac:dyDescent="0.3">
      <c r="K16">
        <v>4.25</v>
      </c>
    </row>
    <row r="17" spans="1:17" x14ac:dyDescent="0.3">
      <c r="J17" t="s">
        <v>73</v>
      </c>
      <c r="K17">
        <v>5</v>
      </c>
    </row>
    <row r="18" spans="1:17" x14ac:dyDescent="0.3">
      <c r="A18" s="22" t="s">
        <v>13</v>
      </c>
      <c r="B18" s="25" t="s">
        <v>12</v>
      </c>
      <c r="C18" s="25"/>
      <c r="D18" s="25"/>
      <c r="E18" s="25"/>
      <c r="F18" s="25"/>
      <c r="G18" s="25"/>
      <c r="H18" s="7"/>
      <c r="J18" t="s">
        <v>74</v>
      </c>
      <c r="K18">
        <v>6</v>
      </c>
    </row>
    <row r="19" spans="1:17" x14ac:dyDescent="0.3">
      <c r="A19" s="23"/>
      <c r="B19" s="8" t="s">
        <v>8</v>
      </c>
      <c r="C19" s="8" t="s">
        <v>9</v>
      </c>
      <c r="D19" s="8" t="s">
        <v>10</v>
      </c>
      <c r="E19" s="8" t="s">
        <v>11</v>
      </c>
      <c r="F19" s="8" t="s">
        <v>11</v>
      </c>
      <c r="G19" s="8" t="s">
        <v>11</v>
      </c>
      <c r="H19" s="7" t="s">
        <v>15</v>
      </c>
      <c r="J19" t="s">
        <v>75</v>
      </c>
      <c r="K19">
        <v>30.709</v>
      </c>
      <c r="N19" t="s">
        <v>59</v>
      </c>
      <c r="O19">
        <v>148.20000000000002</v>
      </c>
      <c r="Q19">
        <f>O19/O20</f>
        <v>1.0278580510923594</v>
      </c>
    </row>
    <row r="20" spans="1:17" x14ac:dyDescent="0.3">
      <c r="A20" t="s">
        <v>58</v>
      </c>
      <c r="B20">
        <v>131.1</v>
      </c>
      <c r="C20">
        <v>140.19999999999999</v>
      </c>
      <c r="D20">
        <v>141.9</v>
      </c>
      <c r="E20" s="9">
        <f>B15</f>
        <v>128.42499999999998</v>
      </c>
      <c r="F20">
        <v>143.69999999999999</v>
      </c>
      <c r="G20">
        <v>146.5</v>
      </c>
      <c r="H20" s="11">
        <f>SUM(B20:G20)</f>
        <v>831.82499999999982</v>
      </c>
      <c r="I20">
        <f>H20/6</f>
        <v>138.63749999999996</v>
      </c>
      <c r="K20">
        <f>SQRT((1/K18+K17/(K18*(K18-1)*(K17-1)))*K19)</f>
        <v>2.5293691571878814</v>
      </c>
      <c r="N20" t="s">
        <v>60</v>
      </c>
      <c r="O20">
        <v>144.18333333333334</v>
      </c>
      <c r="Q20">
        <f>O19-O21</f>
        <v>9.5625000000000568</v>
      </c>
    </row>
    <row r="21" spans="1:17" x14ac:dyDescent="0.3">
      <c r="A21" t="s">
        <v>59</v>
      </c>
      <c r="B21">
        <v>140.6</v>
      </c>
      <c r="C21">
        <v>150.80000000000001</v>
      </c>
      <c r="D21">
        <v>148.5</v>
      </c>
      <c r="E21">
        <v>141.30000000000001</v>
      </c>
      <c r="F21">
        <v>151.80000000000001</v>
      </c>
      <c r="G21">
        <v>156.19999999999999</v>
      </c>
      <c r="H21" s="11">
        <f>SUM(B21:G21)</f>
        <v>889.2</v>
      </c>
      <c r="I21">
        <f t="shared" ref="I21:I25" si="1">H21/6</f>
        <v>148.20000000000002</v>
      </c>
      <c r="J21">
        <f>SQRT($D$34/6)</f>
        <v>2.2623635301807399</v>
      </c>
      <c r="K21">
        <f>K16*SQRT(K19/K18)</f>
        <v>9.6149303386278699</v>
      </c>
      <c r="L21">
        <f>K16*SQRT(1/2*(2/K18+K17/(K18*(K18-1)*(K17-1)))*K19)</f>
        <v>10.198173664620054</v>
      </c>
      <c r="N21" t="s">
        <v>58</v>
      </c>
      <c r="O21">
        <v>138.63749999999996</v>
      </c>
      <c r="Q21">
        <f>O19-O22</f>
        <v>14.53333333333336</v>
      </c>
    </row>
    <row r="22" spans="1:17" x14ac:dyDescent="0.3">
      <c r="A22" t="s">
        <v>60</v>
      </c>
      <c r="B22">
        <v>131.69999999999999</v>
      </c>
      <c r="C22">
        <v>145</v>
      </c>
      <c r="D22">
        <v>137.6</v>
      </c>
      <c r="E22">
        <v>143.69999999999999</v>
      </c>
      <c r="F22">
        <v>152.19999999999999</v>
      </c>
      <c r="G22">
        <v>154.9</v>
      </c>
      <c r="H22" s="11">
        <f>SUM(B22:G22)</f>
        <v>865.1</v>
      </c>
      <c r="I22">
        <f t="shared" si="1"/>
        <v>144.18333333333334</v>
      </c>
      <c r="J22">
        <f t="shared" ref="J22:J24" si="2">SQRT($D$34/6)</f>
        <v>2.2623635301807399</v>
      </c>
      <c r="N22" t="s">
        <v>62</v>
      </c>
      <c r="O22">
        <v>133.66666666666666</v>
      </c>
      <c r="Q22">
        <f>O21-O22</f>
        <v>4.970833333333303</v>
      </c>
    </row>
    <row r="23" spans="1:17" x14ac:dyDescent="0.3">
      <c r="A23" t="s">
        <v>61</v>
      </c>
      <c r="B23">
        <v>112.9</v>
      </c>
      <c r="C23">
        <v>122</v>
      </c>
      <c r="D23">
        <v>122.6</v>
      </c>
      <c r="E23">
        <v>107.5</v>
      </c>
      <c r="F23">
        <v>133.80000000000001</v>
      </c>
      <c r="G23">
        <v>141</v>
      </c>
      <c r="H23" s="11">
        <f>SUM(B23:G23)</f>
        <v>739.8</v>
      </c>
      <c r="I23">
        <f t="shared" si="1"/>
        <v>123.3</v>
      </c>
      <c r="J23">
        <f t="shared" si="2"/>
        <v>2.2623635301807399</v>
      </c>
      <c r="N23" t="s">
        <v>61</v>
      </c>
      <c r="O23">
        <v>123.3</v>
      </c>
      <c r="Q23">
        <f>O22-O23</f>
        <v>10.36666666666666</v>
      </c>
    </row>
    <row r="24" spans="1:17" x14ac:dyDescent="0.3">
      <c r="A24" t="s">
        <v>62</v>
      </c>
      <c r="B24">
        <v>117.9</v>
      </c>
      <c r="C24">
        <v>129.80000000000001</v>
      </c>
      <c r="D24">
        <v>132.80000000000001</v>
      </c>
      <c r="E24">
        <v>116</v>
      </c>
      <c r="F24">
        <v>148.4</v>
      </c>
      <c r="G24">
        <v>157.1</v>
      </c>
      <c r="H24" s="11">
        <f>SUM(B24:G24)</f>
        <v>802</v>
      </c>
      <c r="I24">
        <f t="shared" si="1"/>
        <v>133.66666666666666</v>
      </c>
      <c r="J24">
        <f t="shared" si="2"/>
        <v>2.2623635301807399</v>
      </c>
    </row>
    <row r="25" spans="1:17" x14ac:dyDescent="0.3">
      <c r="A25" s="7" t="s">
        <v>14</v>
      </c>
      <c r="B25" s="10">
        <f t="shared" ref="B25:H25" si="3">SUM(B20:B24)</f>
        <v>634.19999999999993</v>
      </c>
      <c r="C25" s="10">
        <f t="shared" si="3"/>
        <v>687.8</v>
      </c>
      <c r="D25" s="10">
        <f t="shared" si="3"/>
        <v>683.40000000000009</v>
      </c>
      <c r="E25" s="10">
        <f t="shared" si="3"/>
        <v>636.92499999999995</v>
      </c>
      <c r="F25" s="10">
        <f t="shared" si="3"/>
        <v>729.9</v>
      </c>
      <c r="G25" s="10">
        <f t="shared" si="3"/>
        <v>755.7</v>
      </c>
      <c r="H25" s="10">
        <f t="shared" si="3"/>
        <v>4127.9250000000002</v>
      </c>
      <c r="I25">
        <f>H25/6/5</f>
        <v>137.59750000000003</v>
      </c>
    </row>
    <row r="26" spans="1:17" x14ac:dyDescent="0.3">
      <c r="G26" t="s">
        <v>24</v>
      </c>
      <c r="H26" s="11">
        <f>H25</f>
        <v>4127.9250000000002</v>
      </c>
    </row>
    <row r="27" spans="1:17" ht="15.6" x14ac:dyDescent="0.35">
      <c r="B27" t="s">
        <v>70</v>
      </c>
      <c r="C27">
        <f>(B10-1)/B10*(E20-E8/(5-1))^2</f>
        <v>1.3519999999999648</v>
      </c>
      <c r="D27">
        <f>4/5*(128.425-508.5/4)^2</f>
        <v>1.3520000000000236</v>
      </c>
      <c r="G27" t="s">
        <v>25</v>
      </c>
      <c r="H27">
        <f>H26^2/6/5</f>
        <v>567992.16018750006</v>
      </c>
      <c r="J27">
        <f>2.89*4.57</f>
        <v>13.207300000000002</v>
      </c>
    </row>
    <row r="28" spans="1:17" ht="15.6" x14ac:dyDescent="0.35">
      <c r="B28" t="s">
        <v>69</v>
      </c>
      <c r="C28">
        <f>(B11-1)/B11*(E20-H3/(6-1))^2</f>
        <v>125.15418749999991</v>
      </c>
      <c r="D28">
        <f>5/6*(128.425-703.4/5)^2</f>
        <v>125.15418749999991</v>
      </c>
      <c r="G28" t="s">
        <v>26</v>
      </c>
      <c r="H28">
        <f>H26/6/5</f>
        <v>137.59750000000003</v>
      </c>
    </row>
    <row r="29" spans="1:17" x14ac:dyDescent="0.3">
      <c r="E29">
        <f>SUMSQ(B20:G24)</f>
        <v>573208.71062500018</v>
      </c>
    </row>
    <row r="30" spans="1:17" ht="15" thickBot="1" x14ac:dyDescent="0.35">
      <c r="E30">
        <f>E29-H27</f>
        <v>5216.5504375001183</v>
      </c>
      <c r="F30">
        <f>SUMSQ(H20:H24)</f>
        <v>3421515.5206249999</v>
      </c>
      <c r="G30">
        <f>F30/6-H27</f>
        <v>2260.4265833332902</v>
      </c>
      <c r="I30">
        <f>G31-D28</f>
        <v>2247.4847499999564</v>
      </c>
    </row>
    <row r="31" spans="1:17" ht="15" thickBot="1" x14ac:dyDescent="0.35">
      <c r="A31" s="3" t="s">
        <v>16</v>
      </c>
      <c r="B31" s="4" t="s">
        <v>17</v>
      </c>
      <c r="C31" s="4" t="s">
        <v>18</v>
      </c>
      <c r="D31" s="4" t="s">
        <v>19</v>
      </c>
      <c r="E31" s="5" t="s">
        <v>20</v>
      </c>
      <c r="F31">
        <f>SUMSQ(B25:G25)</f>
        <v>2851823.995625</v>
      </c>
      <c r="G31">
        <f>F31/5-H27</f>
        <v>2372.6389374999562</v>
      </c>
      <c r="I31">
        <f>G30-D27</f>
        <v>2259.0745833332903</v>
      </c>
    </row>
    <row r="32" spans="1:17" x14ac:dyDescent="0.3">
      <c r="A32" t="s">
        <v>72</v>
      </c>
      <c r="B32">
        <f>5-1</f>
        <v>4</v>
      </c>
      <c r="C32">
        <f>SUMSQ(H20:H24)/6-H27-C27</f>
        <v>2259.0745833332903</v>
      </c>
      <c r="D32">
        <f>C32/B32</f>
        <v>564.76864583332258</v>
      </c>
      <c r="E32">
        <f>D32/D34</f>
        <v>18.390542693256176</v>
      </c>
      <c r="F32" t="s">
        <v>29</v>
      </c>
      <c r="G32">
        <f>E30-G31-G30</f>
        <v>583.48491666687187</v>
      </c>
    </row>
    <row r="33" spans="1:11" x14ac:dyDescent="0.3">
      <c r="A33" t="s">
        <v>71</v>
      </c>
      <c r="B33">
        <f>6-1</f>
        <v>5</v>
      </c>
      <c r="C33">
        <f>SUMSQ(B25:G25)/5-H27-C28</f>
        <v>2247.4847499999564</v>
      </c>
      <c r="D33">
        <f>C33/B33</f>
        <v>449.49694999999127</v>
      </c>
      <c r="E33">
        <f>D33/D34</f>
        <v>14.636954282874488</v>
      </c>
      <c r="F33" t="s">
        <v>29</v>
      </c>
    </row>
    <row r="34" spans="1:11" ht="15" thickBot="1" x14ac:dyDescent="0.35">
      <c r="A34" t="s">
        <v>21</v>
      </c>
      <c r="B34">
        <f>B33*B32-1</f>
        <v>19</v>
      </c>
      <c r="C34">
        <f>C35-(C32+C27)-(C33+C28)</f>
        <v>583.48491666687187</v>
      </c>
      <c r="D34">
        <f>C34/B34</f>
        <v>30.709732456151151</v>
      </c>
    </row>
    <row r="35" spans="1:11" ht="15" thickBot="1" x14ac:dyDescent="0.35">
      <c r="A35" s="3" t="s">
        <v>22</v>
      </c>
      <c r="B35" s="4">
        <f>6*5-2</f>
        <v>28</v>
      </c>
      <c r="C35" s="4">
        <f>SUMSQ(B20:G24)-H27</f>
        <v>5216.5504375001183</v>
      </c>
      <c r="D35" s="4"/>
      <c r="E35" s="5"/>
    </row>
    <row r="36" spans="1:11" x14ac:dyDescent="0.3">
      <c r="A36" t="s">
        <v>23</v>
      </c>
      <c r="B36" s="1">
        <f>100*SQRT(D34)/137.5975</f>
        <v>4.0274251070146363</v>
      </c>
      <c r="G36" t="s">
        <v>0</v>
      </c>
      <c r="J36" t="s">
        <v>1</v>
      </c>
    </row>
    <row r="37" spans="1:11" x14ac:dyDescent="0.3">
      <c r="A37" t="s">
        <v>32</v>
      </c>
      <c r="B37" t="s">
        <v>31</v>
      </c>
      <c r="G37" t="s">
        <v>27</v>
      </c>
      <c r="J37" t="s">
        <v>28</v>
      </c>
    </row>
    <row r="38" spans="1:11" x14ac:dyDescent="0.3">
      <c r="A38" t="s">
        <v>33</v>
      </c>
      <c r="B38" t="s">
        <v>31</v>
      </c>
      <c r="G38" s="6">
        <v>0.05</v>
      </c>
      <c r="H38" s="1">
        <f>_xlfn.F.INV(0.95,B32,B34)</f>
        <v>2.8951073075078404</v>
      </c>
      <c r="J38" s="6">
        <v>0.05</v>
      </c>
      <c r="K38" s="1">
        <f>_xlfn.F.INV(0.95,B33,B34)</f>
        <v>2.7400575416853443</v>
      </c>
    </row>
    <row r="39" spans="1:11" x14ac:dyDescent="0.3">
      <c r="G39" s="6">
        <v>0.01</v>
      </c>
      <c r="H39" s="1">
        <f>_xlfn.F.INV(0.99,B32,B34)</f>
        <v>4.5002576989066974</v>
      </c>
      <c r="J39" s="6">
        <v>0.01</v>
      </c>
      <c r="K39" s="1">
        <f>_xlfn.F.INV(0.99,B33,B34)</f>
        <v>4.1707669806148067</v>
      </c>
    </row>
    <row r="40" spans="1:11" s="13" customFormat="1" x14ac:dyDescent="0.3">
      <c r="A40" s="12" t="s">
        <v>0</v>
      </c>
      <c r="B40" s="12" t="s">
        <v>34</v>
      </c>
      <c r="C40" s="12" t="s">
        <v>35</v>
      </c>
    </row>
    <row r="41" spans="1:11" s="13" customFormat="1" x14ac:dyDescent="0.3">
      <c r="A41" s="14" t="s">
        <v>2</v>
      </c>
      <c r="B41" s="15">
        <f>H3/4</f>
        <v>175.84999999999997</v>
      </c>
      <c r="C41" s="16">
        <f>SQRT($D$34/4)</f>
        <v>2.7708181308122315</v>
      </c>
    </row>
    <row r="42" spans="1:11" s="13" customFormat="1" x14ac:dyDescent="0.3">
      <c r="A42" s="13" t="s">
        <v>3</v>
      </c>
      <c r="B42" s="17">
        <f>H4/4</f>
        <v>222.3</v>
      </c>
      <c r="C42" s="18">
        <f t="shared" ref="C42:C46" si="4">SQRT($D$34/4)</f>
        <v>2.7708181308122315</v>
      </c>
    </row>
    <row r="43" spans="1:11" s="13" customFormat="1" x14ac:dyDescent="0.3">
      <c r="A43" s="13" t="s">
        <v>4</v>
      </c>
      <c r="B43" s="17">
        <f>H5/4</f>
        <v>216.27500000000001</v>
      </c>
      <c r="C43" s="18">
        <f t="shared" si="4"/>
        <v>2.7708181308122315</v>
      </c>
    </row>
    <row r="44" spans="1:11" s="13" customFormat="1" x14ac:dyDescent="0.3">
      <c r="A44" s="13" t="s">
        <v>5</v>
      </c>
      <c r="B44" s="17">
        <f>H6/4</f>
        <v>184.95</v>
      </c>
      <c r="C44" s="18">
        <f t="shared" si="4"/>
        <v>2.7708181308122315</v>
      </c>
    </row>
    <row r="45" spans="1:11" s="13" customFormat="1" x14ac:dyDescent="0.3">
      <c r="A45" s="13" t="s">
        <v>6</v>
      </c>
      <c r="B45" s="17">
        <f>H7/4</f>
        <v>200.5</v>
      </c>
      <c r="C45" s="18">
        <f t="shared" si="4"/>
        <v>2.7708181308122315</v>
      </c>
    </row>
    <row r="46" spans="1:11" s="13" customFormat="1" x14ac:dyDescent="0.3">
      <c r="A46" s="19" t="s">
        <v>7</v>
      </c>
      <c r="B46" s="20" t="e">
        <f>#REF!/4</f>
        <v>#REF!</v>
      </c>
      <c r="C46" s="21">
        <f t="shared" si="4"/>
        <v>2.7708181308122315</v>
      </c>
    </row>
    <row r="47" spans="1:11" s="13" customFormat="1" x14ac:dyDescent="0.3"/>
    <row r="48" spans="1:11" s="13" customFormat="1" x14ac:dyDescent="0.3">
      <c r="A48" s="13" t="s">
        <v>36</v>
      </c>
    </row>
    <row r="49" spans="1:3" s="13" customFormat="1" x14ac:dyDescent="0.3">
      <c r="A49" s="13" t="s">
        <v>37</v>
      </c>
      <c r="B49" s="13">
        <v>4.5999999999999996</v>
      </c>
    </row>
    <row r="50" spans="1:3" s="13" customFormat="1" x14ac:dyDescent="0.3">
      <c r="A50" s="13" t="s">
        <v>38</v>
      </c>
      <c r="B50" s="18">
        <f>C41</f>
        <v>2.7708181308122315</v>
      </c>
    </row>
    <row r="51" spans="1:3" s="13" customFormat="1" x14ac:dyDescent="0.3">
      <c r="A51" s="13" t="s">
        <v>39</v>
      </c>
      <c r="B51" s="18">
        <f>B50*B49</f>
        <v>12.745763401736264</v>
      </c>
    </row>
    <row r="52" spans="1:3" s="13" customFormat="1" x14ac:dyDescent="0.3"/>
    <row r="53" spans="1:3" s="13" customFormat="1" x14ac:dyDescent="0.3">
      <c r="A53" s="12" t="s">
        <v>0</v>
      </c>
      <c r="B53" s="12" t="s">
        <v>34</v>
      </c>
    </row>
    <row r="54" spans="1:3" s="13" customFormat="1" x14ac:dyDescent="0.3">
      <c r="A54" s="14" t="s">
        <v>46</v>
      </c>
      <c r="B54" s="15">
        <v>12.899999999999999</v>
      </c>
      <c r="C54" s="13" t="s">
        <v>40</v>
      </c>
    </row>
    <row r="55" spans="1:3" s="13" customFormat="1" x14ac:dyDescent="0.3">
      <c r="A55" s="13" t="s">
        <v>41</v>
      </c>
      <c r="B55" s="17">
        <v>7.9750000000000005</v>
      </c>
      <c r="C55" s="13" t="s">
        <v>49</v>
      </c>
    </row>
    <row r="56" spans="1:3" s="13" customFormat="1" x14ac:dyDescent="0.3">
      <c r="A56" s="13" t="s">
        <v>42</v>
      </c>
      <c r="B56" s="17">
        <v>6.8</v>
      </c>
      <c r="C56" s="13" t="s">
        <v>49</v>
      </c>
    </row>
    <row r="57" spans="1:3" s="13" customFormat="1" x14ac:dyDescent="0.3">
      <c r="A57" s="13" t="s">
        <v>44</v>
      </c>
      <c r="B57" s="17">
        <v>3.1</v>
      </c>
      <c r="C57" s="13" t="s">
        <v>53</v>
      </c>
    </row>
    <row r="58" spans="1:3" s="13" customFormat="1" x14ac:dyDescent="0.3">
      <c r="A58" s="13" t="s">
        <v>43</v>
      </c>
      <c r="B58" s="17">
        <v>2.7749999999999999</v>
      </c>
      <c r="C58" s="13" t="s">
        <v>53</v>
      </c>
    </row>
    <row r="59" spans="1:3" s="13" customFormat="1" x14ac:dyDescent="0.3">
      <c r="A59" s="19" t="s">
        <v>45</v>
      </c>
      <c r="B59" s="20">
        <v>1.9500000000000002</v>
      </c>
      <c r="C59" s="13" t="s">
        <v>53</v>
      </c>
    </row>
    <row r="60" spans="1:3" s="13" customFormat="1" x14ac:dyDescent="0.3"/>
    <row r="61" spans="1:3" s="13" customFormat="1" x14ac:dyDescent="0.3">
      <c r="A61" s="13" t="s">
        <v>47</v>
      </c>
    </row>
    <row r="62" spans="1:3" s="13" customFormat="1" x14ac:dyDescent="0.3">
      <c r="A62" s="13" t="s">
        <v>48</v>
      </c>
      <c r="B62" s="17">
        <f>B54-B55</f>
        <v>4.924999999999998</v>
      </c>
      <c r="C62" s="13" t="s">
        <v>30</v>
      </c>
    </row>
    <row r="63" spans="1:3" s="13" customFormat="1" x14ac:dyDescent="0.3">
      <c r="A63" s="13" t="s">
        <v>50</v>
      </c>
      <c r="B63" s="17">
        <f>B55-B56</f>
        <v>1.1750000000000007</v>
      </c>
      <c r="C63" s="13" t="s">
        <v>51</v>
      </c>
    </row>
    <row r="64" spans="1:3" s="13" customFormat="1" x14ac:dyDescent="0.3">
      <c r="A64" s="13" t="s">
        <v>52</v>
      </c>
      <c r="B64" s="17">
        <f>B55-B57</f>
        <v>4.875</v>
      </c>
      <c r="C64" s="13" t="s">
        <v>29</v>
      </c>
    </row>
    <row r="65" spans="1:3" s="13" customFormat="1" x14ac:dyDescent="0.3">
      <c r="A65" s="13" t="s">
        <v>54</v>
      </c>
      <c r="B65" s="17">
        <f>B56-B57</f>
        <v>3.6999999999999997</v>
      </c>
      <c r="C65" s="13" t="s">
        <v>29</v>
      </c>
    </row>
    <row r="66" spans="1:3" s="13" customFormat="1" x14ac:dyDescent="0.3">
      <c r="A66" s="13" t="s">
        <v>55</v>
      </c>
      <c r="B66" s="17">
        <f>B57-B58</f>
        <v>0.32500000000000018</v>
      </c>
      <c r="C66" s="13" t="s">
        <v>51</v>
      </c>
    </row>
    <row r="67" spans="1:3" s="13" customFormat="1" x14ac:dyDescent="0.3">
      <c r="A67" s="13" t="s">
        <v>56</v>
      </c>
      <c r="B67" s="17">
        <f>B57-B59</f>
        <v>1.1499999999999999</v>
      </c>
      <c r="C67" s="13" t="s">
        <v>51</v>
      </c>
    </row>
    <row r="68" spans="1:3" s="13" customFormat="1" x14ac:dyDescent="0.3"/>
    <row r="69" spans="1:3" s="13" customFormat="1" x14ac:dyDescent="0.3">
      <c r="A69" s="13" t="s">
        <v>57</v>
      </c>
    </row>
  </sheetData>
  <sortState xmlns:xlrd2="http://schemas.microsoft.com/office/spreadsheetml/2017/richdata2" ref="N19:O23">
    <sortCondition descending="1" ref="O19:O23"/>
  </sortState>
  <mergeCells count="4">
    <mergeCell ref="A1:A2"/>
    <mergeCell ref="B1:G1"/>
    <mergeCell ref="A18:A19"/>
    <mergeCell ref="B18:G1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Rodrigo Panosso</dc:creator>
  <cp:lastModifiedBy>Alan Rodrigo Panosso</cp:lastModifiedBy>
  <dcterms:created xsi:type="dcterms:W3CDTF">2023-10-06T19:16:33Z</dcterms:created>
  <dcterms:modified xsi:type="dcterms:W3CDTF">2023-10-15T21:09:35Z</dcterms:modified>
</cp:coreProperties>
</file>