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experimentacao-agricola-unesp-fcav\misc\"/>
    </mc:Choice>
  </mc:AlternateContent>
  <xr:revisionPtr revIDLastSave="0" documentId="13_ncr:1_{E62881B1-EABD-40CA-8C09-866B912A17C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Anova" sheetId="3" r:id="rId1"/>
    <sheet name="Teste t" sheetId="7" r:id="rId2"/>
    <sheet name="Tukey" sheetId="4" r:id="rId3"/>
    <sheet name="Duncan" sheetId="5" r:id="rId4"/>
    <sheet name="Lista-10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8" l="1"/>
  <c r="F8" i="8"/>
  <c r="D8" i="8"/>
  <c r="C8" i="8"/>
  <c r="B8" i="8"/>
  <c r="B10" i="8"/>
  <c r="H7" i="8"/>
  <c r="H6" i="8"/>
  <c r="H5" i="8"/>
  <c r="H4" i="8"/>
  <c r="H9" i="8"/>
  <c r="H8" i="8"/>
  <c r="E8" i="8"/>
  <c r="H3" i="8"/>
  <c r="I13" i="5"/>
  <c r="I14" i="5"/>
  <c r="I12" i="5"/>
  <c r="E16" i="5"/>
  <c r="E15" i="5"/>
  <c r="E12" i="5"/>
  <c r="K9" i="7" l="1"/>
  <c r="E14" i="4"/>
  <c r="E13" i="4"/>
  <c r="E12" i="4"/>
  <c r="E11" i="4"/>
  <c r="H9" i="7"/>
  <c r="F14" i="7"/>
  <c r="F13" i="7"/>
  <c r="F9" i="7"/>
  <c r="G12" i="3"/>
  <c r="F12" i="3"/>
  <c r="G11" i="3"/>
  <c r="F11" i="3"/>
  <c r="C7" i="3"/>
  <c r="G6" i="3"/>
  <c r="G8" i="3" s="1"/>
  <c r="F6" i="3"/>
  <c r="E6" i="3"/>
  <c r="D6" i="3"/>
  <c r="C6" i="3"/>
  <c r="B6" i="3"/>
  <c r="G5" i="3"/>
  <c r="G4" i="3"/>
  <c r="G3" i="3"/>
  <c r="G2" i="3"/>
  <c r="G7" i="3" l="1"/>
  <c r="C11" i="3" l="1"/>
  <c r="D11" i="3" s="1"/>
  <c r="C12" i="3"/>
  <c r="D12" i="3" s="1"/>
  <c r="C14" i="3"/>
  <c r="C13" i="3" l="1"/>
  <c r="D13" i="3" s="1"/>
  <c r="E11" i="3" s="1"/>
  <c r="K5" i="5" l="1"/>
  <c r="L5" i="5"/>
  <c r="J5" i="5"/>
  <c r="H10" i="7"/>
  <c r="H11" i="7" s="1"/>
  <c r="H12" i="7" s="1"/>
  <c r="B15" i="3"/>
  <c r="F10" i="7"/>
  <c r="F11" i="7" s="1"/>
  <c r="F12" i="7" s="1"/>
  <c r="K10" i="7"/>
  <c r="K11" i="7" s="1"/>
  <c r="K12" i="7" s="1"/>
  <c r="J4" i="4"/>
  <c r="J5" i="4" s="1"/>
  <c r="C2" i="5"/>
  <c r="C3" i="5" s="1"/>
  <c r="C4" i="5" s="1"/>
  <c r="C5" i="5" s="1"/>
  <c r="C2" i="4"/>
  <c r="C3" i="4" s="1"/>
  <c r="C4" i="4" s="1"/>
  <c r="C5" i="4" s="1"/>
  <c r="E12" i="3"/>
</calcChain>
</file>

<file path=xl/sharedStrings.xml><?xml version="1.0" encoding="utf-8"?>
<sst xmlns="http://schemas.openxmlformats.org/spreadsheetml/2006/main" count="165" uniqueCount="111">
  <si>
    <t>Total</t>
  </si>
  <si>
    <t>Quadro da análise de variância.</t>
  </si>
  <si>
    <t>FV</t>
  </si>
  <si>
    <t>GL</t>
  </si>
  <si>
    <t>SQ</t>
  </si>
  <si>
    <t>QM</t>
  </si>
  <si>
    <t>F</t>
  </si>
  <si>
    <t>Fc(5%)</t>
  </si>
  <si>
    <t>Fc(1%)</t>
  </si>
  <si>
    <t>Trat</t>
  </si>
  <si>
    <t>Res</t>
  </si>
  <si>
    <t>Coef_a</t>
  </si>
  <si>
    <t>Coef_b</t>
  </si>
  <si>
    <t>Coef_c</t>
  </si>
  <si>
    <t>Y</t>
  </si>
  <si>
    <t>Tratamentos</t>
  </si>
  <si>
    <t>Bloco1</t>
  </si>
  <si>
    <t>Bloco2</t>
  </si>
  <si>
    <t>Bloco3</t>
  </si>
  <si>
    <t>Bloco4</t>
  </si>
  <si>
    <t>Bloco5</t>
  </si>
  <si>
    <t>OPACO2</t>
  </si>
  <si>
    <t>PIRANAO</t>
  </si>
  <si>
    <t>COMP.FLINT</t>
  </si>
  <si>
    <t>AG152</t>
  </si>
  <si>
    <t>C</t>
  </si>
  <si>
    <t>m</t>
  </si>
  <si>
    <t>Bloco</t>
  </si>
  <si>
    <t>Coef. Var</t>
  </si>
  <si>
    <t>Média</t>
  </si>
  <si>
    <t>Erro padrão média</t>
  </si>
  <si>
    <t>VARIÂNCIA DE UM CONTRASTE</t>
  </si>
  <si>
    <t>ERRO PADRÃO DO CONTRASTE</t>
  </si>
  <si>
    <t>COVARIÂNCIA ENTRE DOIS CONTRASTES</t>
  </si>
  <si>
    <t>Estatística t</t>
  </si>
  <si>
    <t>Comparar grupo de médias</t>
  </si>
  <si>
    <t>Var(Y)</t>
  </si>
  <si>
    <t>s(Y)</t>
  </si>
  <si>
    <t>tobs</t>
  </si>
  <si>
    <t>tc5%</t>
  </si>
  <si>
    <t>tc1%</t>
  </si>
  <si>
    <t>Conclusão</t>
  </si>
  <si>
    <t>a) Opaco2 + Piranao + AG152 vs Comp.Flint</t>
  </si>
  <si>
    <t>1-OPACO2</t>
  </si>
  <si>
    <t>2-PIRANAO</t>
  </si>
  <si>
    <t>3-COMP.FLINT</t>
  </si>
  <si>
    <t>4-AG152</t>
  </si>
  <si>
    <t>b) Piranao + AG152 vs Opaco2</t>
  </si>
  <si>
    <t xml:space="preserve">c) Piranao vs AG152 </t>
  </si>
  <si>
    <t>Diferença mínima significativa</t>
  </si>
  <si>
    <t>a) Organizar as médias de maneira decrescente</t>
  </si>
  <si>
    <t>q (4 x 12)</t>
  </si>
  <si>
    <t>DMS</t>
  </si>
  <si>
    <t>contrastes testados</t>
  </si>
  <si>
    <t>m3 -m4</t>
  </si>
  <si>
    <t>*</t>
  </si>
  <si>
    <t>a</t>
  </si>
  <si>
    <t>b</t>
  </si>
  <si>
    <t>ns</t>
  </si>
  <si>
    <t>m2-m1</t>
  </si>
  <si>
    <t>m4-m1</t>
  </si>
  <si>
    <t>c</t>
  </si>
  <si>
    <t>Amplitude total mínima significativa</t>
  </si>
  <si>
    <t>Amplitude total estudentizada (D)</t>
  </si>
  <si>
    <t>depende de número de média</t>
  </si>
  <si>
    <t>abrangidas e GL dos resíduos</t>
  </si>
  <si>
    <t>s(m)</t>
  </si>
  <si>
    <t>z</t>
  </si>
  <si>
    <t>D</t>
  </si>
  <si>
    <r>
      <rPr>
        <b/>
        <sz val="11"/>
        <color rgb="FF000000"/>
        <rFont val="Symbol"/>
        <family val="1"/>
        <charset val="2"/>
      </rPr>
      <t>S</t>
    </r>
    <r>
      <rPr>
        <b/>
        <sz val="11"/>
        <color rgb="FF000000"/>
        <rFont val="Calibri"/>
        <family val="2"/>
        <scheme val="minor"/>
      </rPr>
      <t>y²</t>
    </r>
  </si>
  <si>
    <t>Conclusão para Bloco</t>
  </si>
  <si>
    <t>Rejeitamos H0 ao nível de 1% de significância, e concluímos</t>
  </si>
  <si>
    <t>que os blocos foram eficientes no controle local</t>
  </si>
  <si>
    <t>Conclusão para Tratamento</t>
  </si>
  <si>
    <t>rejeitamos H0 ao nível de 1% de significância, e consluímos que</t>
  </si>
  <si>
    <t>existe difenrença entre a priodução de milho para os diferentes cultivares.</t>
  </si>
  <si>
    <t>Rejeitamos H0</t>
  </si>
  <si>
    <t>que as médias dos</t>
  </si>
  <si>
    <t>grupos são Diferentes</t>
  </si>
  <si>
    <t>Comp Flint apresenta</t>
  </si>
  <si>
    <t>maior média</t>
  </si>
  <si>
    <t>que há diferença entre as</t>
  </si>
  <si>
    <t>médias dos grupos, Piranao</t>
  </si>
  <si>
    <t xml:space="preserve">+ AG152 tem media maior que </t>
  </si>
  <si>
    <t>Opaco2</t>
  </si>
  <si>
    <t>m4 -m2</t>
  </si>
  <si>
    <t xml:space="preserve">Rejeitamos H0 </t>
  </si>
  <si>
    <t>existe diferença entre as médias</t>
  </si>
  <si>
    <t>4 médias</t>
  </si>
  <si>
    <t>2 médias</t>
  </si>
  <si>
    <t>3 médias</t>
  </si>
  <si>
    <t>d</t>
  </si>
  <si>
    <t>m3-m4</t>
  </si>
  <si>
    <t>m3-m2</t>
  </si>
  <si>
    <t>m4-m2</t>
  </si>
  <si>
    <t xml:space="preserve">dos tratamentos Piranão e Ag152, </t>
  </si>
  <si>
    <t>com a média do Ag152 é maior.</t>
  </si>
  <si>
    <t>Blocos</t>
  </si>
  <si>
    <t>I</t>
  </si>
  <si>
    <t>II</t>
  </si>
  <si>
    <t>III</t>
  </si>
  <si>
    <t>IV</t>
  </si>
  <si>
    <t>Total (T)</t>
  </si>
  <si>
    <t>1-CB 41/70</t>
  </si>
  <si>
    <t>2-CB 41/76</t>
  </si>
  <si>
    <t>3-CB 40/19</t>
  </si>
  <si>
    <t>4-Co 419</t>
  </si>
  <si>
    <t>5-Co 421</t>
  </si>
  <si>
    <t>Total (B)</t>
  </si>
  <si>
    <t>V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</si>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</sst>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00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right" vertical="center" wrapText="1"/>
    </xf>
    <xf numFmtId="0" fontId="19" fillId="0" borderId="19" xfId="0" applyFont="1" applyBorder="1" applyAlignment="1">
      <alignment horizontal="right" vertical="center" wrapText="1"/>
    </xf>
    <xf numFmtId="0" fontId="19" fillId="0" borderId="20" xfId="0" applyFont="1" applyBorder="1" applyAlignment="1">
      <alignment horizontal="right" vertical="center" wrapText="1"/>
    </xf>
    <xf numFmtId="0" fontId="16" fillId="0" borderId="12" xfId="0" applyFont="1" applyBorder="1" applyAlignment="1">
      <alignment horizontal="right" vertical="center" wrapText="1"/>
    </xf>
    <xf numFmtId="0" fontId="16" fillId="0" borderId="22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right" vertical="center" wrapText="1"/>
    </xf>
    <xf numFmtId="0" fontId="16" fillId="0" borderId="22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18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2" fontId="0" fillId="0" borderId="0" xfId="0" applyNumberFormat="1"/>
    <xf numFmtId="164" fontId="0" fillId="0" borderId="0" xfId="0" applyNumberFormat="1"/>
    <xf numFmtId="164" fontId="0" fillId="0" borderId="14" xfId="0" applyNumberFormat="1" applyBorder="1"/>
    <xf numFmtId="164" fontId="0" fillId="0" borderId="21" xfId="0" applyNumberFormat="1" applyBorder="1"/>
    <xf numFmtId="164" fontId="0" fillId="0" borderId="16" xfId="0" applyNumberFormat="1" applyBorder="1"/>
    <xf numFmtId="0" fontId="0" fillId="0" borderId="22" xfId="0" applyBorder="1"/>
    <xf numFmtId="0" fontId="20" fillId="0" borderId="0" xfId="0" applyFont="1" applyAlignment="1">
      <alignment vertical="center"/>
    </xf>
    <xf numFmtId="0" fontId="21" fillId="0" borderId="0" xfId="0" applyFont="1"/>
    <xf numFmtId="0" fontId="16" fillId="0" borderId="11" xfId="0" applyFont="1" applyBorder="1"/>
    <xf numFmtId="0" fontId="16" fillId="0" borderId="13" xfId="0" applyFont="1" applyBorder="1"/>
    <xf numFmtId="0" fontId="16" fillId="0" borderId="22" xfId="0" applyFont="1" applyBorder="1"/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24" xfId="0" applyBorder="1"/>
    <xf numFmtId="0" fontId="0" fillId="0" borderId="25" xfId="0" applyBorder="1"/>
    <xf numFmtId="0" fontId="14" fillId="0" borderId="0" xfId="0" applyFont="1" applyAlignment="1">
      <alignment horizontal="center"/>
    </xf>
    <xf numFmtId="164" fontId="0" fillId="0" borderId="25" xfId="0" applyNumberFormat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164" fontId="16" fillId="0" borderId="25" xfId="0" applyNumberFormat="1" applyFont="1" applyBorder="1"/>
    <xf numFmtId="164" fontId="16" fillId="0" borderId="0" xfId="0" applyNumberFormat="1" applyFont="1"/>
    <xf numFmtId="165" fontId="16" fillId="0" borderId="25" xfId="0" applyNumberFormat="1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29767</xdr:rowOff>
    </xdr:from>
    <xdr:to>
      <xdr:col>3</xdr:col>
      <xdr:colOff>159203</xdr:colOff>
      <xdr:row>8</xdr:row>
      <xdr:rowOff>186673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367"/>
          <a:ext cx="2360839" cy="34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10</xdr:row>
      <xdr:rowOff>226219</xdr:rowOff>
    </xdr:from>
    <xdr:to>
      <xdr:col>1</xdr:col>
      <xdr:colOff>190500</xdr:colOff>
      <xdr:row>12</xdr:row>
      <xdr:rowOff>169365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550319"/>
          <a:ext cx="1068161" cy="3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34018</xdr:colOff>
      <xdr:row>15</xdr:row>
      <xdr:rowOff>20411</xdr:rowOff>
    </xdr:from>
    <xdr:to>
      <xdr:col>4</xdr:col>
      <xdr:colOff>82459</xdr:colOff>
      <xdr:row>16</xdr:row>
      <xdr:rowOff>182176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8" y="3373211"/>
          <a:ext cx="2660196" cy="352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40822</xdr:rowOff>
    </xdr:from>
    <xdr:to>
      <xdr:col>0</xdr:col>
      <xdr:colOff>701532</xdr:colOff>
      <xdr:row>21</xdr:row>
      <xdr:rowOff>129268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0397"/>
          <a:ext cx="701532" cy="469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27214</xdr:colOff>
      <xdr:row>1</xdr:row>
      <xdr:rowOff>47625</xdr:rowOff>
    </xdr:from>
    <xdr:to>
      <xdr:col>7</xdr:col>
      <xdr:colOff>100693</xdr:colOff>
      <xdr:row>3</xdr:row>
      <xdr:rowOff>68234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1762125"/>
          <a:ext cx="1292679" cy="401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88447</xdr:colOff>
      <xdr:row>3</xdr:row>
      <xdr:rowOff>115661</xdr:rowOff>
    </xdr:from>
    <xdr:to>
      <xdr:col>6</xdr:col>
      <xdr:colOff>574222</xdr:colOff>
      <xdr:row>5</xdr:row>
      <xdr:rowOff>121055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7" y="2211161"/>
          <a:ext cx="1095375" cy="395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65483</xdr:colOff>
      <xdr:row>1</xdr:row>
      <xdr:rowOff>29766</xdr:rowOff>
    </xdr:from>
    <xdr:to>
      <xdr:col>6</xdr:col>
      <xdr:colOff>459580</xdr:colOff>
      <xdr:row>3</xdr:row>
      <xdr:rowOff>41716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83" y="1744266"/>
          <a:ext cx="1613297" cy="39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160" zoomScaleNormal="160" workbookViewId="0">
      <selection activeCell="E15" sqref="E15"/>
    </sheetView>
  </sheetViews>
  <sheetFormatPr defaultRowHeight="15" x14ac:dyDescent="0.25"/>
  <cols>
    <col min="1" max="1" width="16.140625" customWidth="1"/>
    <col min="3" max="4" width="11.5703125" bestFit="1" customWidth="1"/>
    <col min="7" max="7" width="12.140625" bestFit="1" customWidth="1"/>
  </cols>
  <sheetData>
    <row r="1" spans="1:7" ht="15.75" thickBot="1" x14ac:dyDescent="0.3">
      <c r="A1" s="19" t="s">
        <v>15</v>
      </c>
      <c r="B1" s="15" t="s">
        <v>16</v>
      </c>
      <c r="C1" s="15" t="s">
        <v>17</v>
      </c>
      <c r="D1" s="15" t="s">
        <v>18</v>
      </c>
      <c r="E1" s="15" t="s">
        <v>19</v>
      </c>
      <c r="F1" s="15" t="s">
        <v>20</v>
      </c>
      <c r="G1" s="16" t="s">
        <v>0</v>
      </c>
    </row>
    <row r="2" spans="1:7" x14ac:dyDescent="0.25">
      <c r="A2" s="20" t="s">
        <v>21</v>
      </c>
      <c r="B2" s="12">
        <v>2812</v>
      </c>
      <c r="C2" s="12">
        <v>2296</v>
      </c>
      <c r="D2" s="12">
        <v>3501</v>
      </c>
      <c r="E2" s="12">
        <v>3301</v>
      </c>
      <c r="F2" s="12">
        <v>3691</v>
      </c>
      <c r="G2" s="13">
        <f>SUM(B2:F2)</f>
        <v>15601</v>
      </c>
    </row>
    <row r="3" spans="1:7" x14ac:dyDescent="0.25">
      <c r="A3" s="20" t="s">
        <v>22</v>
      </c>
      <c r="B3" s="12">
        <v>3728</v>
      </c>
      <c r="C3" s="12">
        <v>3588</v>
      </c>
      <c r="D3" s="12">
        <v>4418</v>
      </c>
      <c r="E3" s="12">
        <v>4544</v>
      </c>
      <c r="F3" s="12">
        <v>5084</v>
      </c>
      <c r="G3" s="13">
        <f>SUM(B3:F3)</f>
        <v>21362</v>
      </c>
    </row>
    <row r="4" spans="1:7" x14ac:dyDescent="0.25">
      <c r="A4" s="20" t="s">
        <v>23</v>
      </c>
      <c r="B4" s="12">
        <v>5359</v>
      </c>
      <c r="C4" s="12">
        <v>5106</v>
      </c>
      <c r="D4" s="12">
        <v>7477</v>
      </c>
      <c r="E4" s="12">
        <v>8007</v>
      </c>
      <c r="F4" s="12">
        <v>7956</v>
      </c>
      <c r="G4" s="13">
        <f>SUM(B4:F4)</f>
        <v>33905</v>
      </c>
    </row>
    <row r="5" spans="1:7" ht="15.75" thickBot="1" x14ac:dyDescent="0.3">
      <c r="A5" s="21" t="s">
        <v>24</v>
      </c>
      <c r="B5" s="12">
        <v>4482</v>
      </c>
      <c r="C5" s="12">
        <v>4510</v>
      </c>
      <c r="D5" s="12">
        <v>5236</v>
      </c>
      <c r="E5" s="12">
        <v>5930</v>
      </c>
      <c r="F5" s="12">
        <v>5025</v>
      </c>
      <c r="G5" s="13">
        <f>SUM(B5:F5)</f>
        <v>25183</v>
      </c>
    </row>
    <row r="6" spans="1:7" ht="15.75" thickBot="1" x14ac:dyDescent="0.3">
      <c r="A6" s="17"/>
      <c r="B6" s="25">
        <f t="shared" ref="B6:G6" si="0">SUM(B2:B5)</f>
        <v>16381</v>
      </c>
      <c r="C6" s="25">
        <f t="shared" si="0"/>
        <v>15500</v>
      </c>
      <c r="D6" s="25">
        <f t="shared" si="0"/>
        <v>20632</v>
      </c>
      <c r="E6" s="25">
        <f t="shared" si="0"/>
        <v>21782</v>
      </c>
      <c r="F6" s="25">
        <f t="shared" si="0"/>
        <v>21756</v>
      </c>
      <c r="G6" s="18">
        <f t="shared" si="0"/>
        <v>96051</v>
      </c>
    </row>
    <row r="7" spans="1:7" x14ac:dyDescent="0.25">
      <c r="A7" s="22"/>
      <c r="B7" s="23" t="s">
        <v>69</v>
      </c>
      <c r="C7" s="23">
        <f>SUMSQ(B2:F5)</f>
        <v>509106763</v>
      </c>
      <c r="D7" s="23"/>
      <c r="E7" s="23"/>
      <c r="F7" s="23" t="s">
        <v>25</v>
      </c>
      <c r="G7" s="24">
        <f>G6*G6/(20)</f>
        <v>461289730.05000001</v>
      </c>
    </row>
    <row r="8" spans="1:7" ht="15.75" thickBot="1" x14ac:dyDescent="0.3">
      <c r="A8" s="22"/>
      <c r="B8" s="23"/>
      <c r="C8" s="23"/>
      <c r="D8" s="23"/>
      <c r="E8" s="23"/>
      <c r="F8" s="23" t="s">
        <v>26</v>
      </c>
      <c r="G8" s="14">
        <f>G6/4/5</f>
        <v>4802.55</v>
      </c>
    </row>
    <row r="9" spans="1:7" ht="15.75" thickBot="1" x14ac:dyDescent="0.3">
      <c r="A9" s="10" t="s">
        <v>1</v>
      </c>
    </row>
    <row r="10" spans="1:7" ht="15.75" thickBot="1" x14ac:dyDescent="0.3">
      <c r="A10" s="1" t="s">
        <v>2</v>
      </c>
      <c r="B10" s="2" t="s">
        <v>3</v>
      </c>
      <c r="C10" s="2" t="s">
        <v>4</v>
      </c>
      <c r="D10" s="2" t="s">
        <v>5</v>
      </c>
      <c r="E10" s="2" t="s">
        <v>6</v>
      </c>
      <c r="F10" s="2" t="s">
        <v>7</v>
      </c>
      <c r="G10" s="3" t="s">
        <v>8</v>
      </c>
    </row>
    <row r="11" spans="1:7" x14ac:dyDescent="0.25">
      <c r="A11" s="22" t="s">
        <v>27</v>
      </c>
      <c r="B11">
        <v>4</v>
      </c>
      <c r="C11">
        <f>SUMSQ(B6:F6)/4-G7</f>
        <v>9221681.1999999881</v>
      </c>
      <c r="D11">
        <f>C11/B11</f>
        <v>2305420.299999997</v>
      </c>
      <c r="E11">
        <f>D11/D13</f>
        <v>8.6633838657451516</v>
      </c>
      <c r="F11" s="26">
        <f>_xlfn.F.INV.RT(5%,B11,B13)</f>
        <v>3.2591667269012499</v>
      </c>
      <c r="G11" s="26">
        <f>_xlfn.F.INV.RT(1%,B11,B13)</f>
        <v>5.4119514344731394</v>
      </c>
    </row>
    <row r="12" spans="1:7" x14ac:dyDescent="0.25">
      <c r="A12" s="22" t="s">
        <v>9</v>
      </c>
      <c r="B12">
        <v>3</v>
      </c>
      <c r="C12">
        <f>SUMSQ(G2:G5)/5-G7</f>
        <v>35402021.75</v>
      </c>
      <c r="D12">
        <f>C12/B12</f>
        <v>11800673.916666666</v>
      </c>
      <c r="E12">
        <f>D12/D13</f>
        <v>44.344958710812854</v>
      </c>
      <c r="F12" s="26">
        <f>_xlfn.F.INV.RT(5%,B12,B13)</f>
        <v>3.4902948194976045</v>
      </c>
      <c r="G12" s="26">
        <f>_xlfn.F.INV.RT(1%,B12,B13)</f>
        <v>5.9525446815458682</v>
      </c>
    </row>
    <row r="13" spans="1:7" ht="15.75" thickBot="1" x14ac:dyDescent="0.3">
      <c r="A13" s="22" t="s">
        <v>10</v>
      </c>
      <c r="B13">
        <v>12</v>
      </c>
      <c r="C13">
        <f>C14-C12-C11</f>
        <v>3193330</v>
      </c>
      <c r="D13">
        <f>C13/B13</f>
        <v>266110.83333333331</v>
      </c>
    </row>
    <row r="14" spans="1:7" ht="15.75" thickBot="1" x14ac:dyDescent="0.3">
      <c r="A14" s="1" t="s">
        <v>0</v>
      </c>
      <c r="B14" s="2">
        <v>19</v>
      </c>
      <c r="C14" s="2">
        <f>C7-G7</f>
        <v>47817032.949999988</v>
      </c>
      <c r="D14" s="2"/>
      <c r="E14" s="2"/>
      <c r="F14" s="2"/>
      <c r="G14" s="3"/>
    </row>
    <row r="15" spans="1:7" x14ac:dyDescent="0.25">
      <c r="A15" s="10" t="s">
        <v>28</v>
      </c>
      <c r="B15">
        <f>100*SQRT(D13)/G8</f>
        <v>10.741362722863673</v>
      </c>
    </row>
    <row r="17" spans="1:1" x14ac:dyDescent="0.25">
      <c r="A17" s="10" t="s">
        <v>70</v>
      </c>
    </row>
    <row r="18" spans="1:1" x14ac:dyDescent="0.25">
      <c r="A18" t="s">
        <v>71</v>
      </c>
    </row>
    <row r="19" spans="1:1" x14ac:dyDescent="0.25">
      <c r="A19" t="s">
        <v>72</v>
      </c>
    </row>
    <row r="21" spans="1:1" x14ac:dyDescent="0.25">
      <c r="A21" s="10" t="s">
        <v>73</v>
      </c>
    </row>
    <row r="22" spans="1:1" x14ac:dyDescent="0.25">
      <c r="A22" t="s">
        <v>74</v>
      </c>
    </row>
    <row r="23" spans="1:1" x14ac:dyDescent="0.25">
      <c r="A23" t="s"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zoomScale="175" zoomScaleNormal="175" workbookViewId="0">
      <selection activeCell="L18" sqref="L18"/>
    </sheetView>
  </sheetViews>
  <sheetFormatPr defaultRowHeight="15" x14ac:dyDescent="0.25"/>
  <cols>
    <col min="1" max="1" width="13.85546875" customWidth="1"/>
    <col min="3" max="3" width="10" customWidth="1"/>
    <col min="4" max="4" width="6.140625" customWidth="1"/>
    <col min="6" max="6" width="13.7109375" customWidth="1"/>
    <col min="7" max="7" width="9.7109375" customWidth="1"/>
  </cols>
  <sheetData>
    <row r="1" spans="1:13" ht="15.75" thickBot="1" x14ac:dyDescent="0.3">
      <c r="A1" s="1" t="s">
        <v>15</v>
      </c>
      <c r="B1" s="3" t="s">
        <v>29</v>
      </c>
      <c r="C1" s="31" t="s">
        <v>30</v>
      </c>
      <c r="E1" t="s">
        <v>11</v>
      </c>
      <c r="F1" t="s">
        <v>12</v>
      </c>
      <c r="G1" t="s">
        <v>13</v>
      </c>
    </row>
    <row r="2" spans="1:13" x14ac:dyDescent="0.25">
      <c r="A2" s="4" t="s">
        <v>43</v>
      </c>
      <c r="B2" s="28">
        <v>3120.2</v>
      </c>
      <c r="C2" s="7"/>
      <c r="E2">
        <v>1</v>
      </c>
      <c r="F2">
        <v>-2</v>
      </c>
      <c r="G2">
        <v>0</v>
      </c>
    </row>
    <row r="3" spans="1:13" x14ac:dyDescent="0.25">
      <c r="A3" s="5" t="s">
        <v>44</v>
      </c>
      <c r="B3" s="29">
        <v>4272.3999999999996</v>
      </c>
      <c r="C3" s="8"/>
      <c r="E3">
        <v>1</v>
      </c>
      <c r="F3">
        <v>1</v>
      </c>
      <c r="G3">
        <v>1</v>
      </c>
    </row>
    <row r="4" spans="1:13" x14ac:dyDescent="0.25">
      <c r="A4" s="5" t="s">
        <v>45</v>
      </c>
      <c r="B4" s="29">
        <v>6781</v>
      </c>
      <c r="C4" s="8"/>
      <c r="E4">
        <v>-3</v>
      </c>
      <c r="F4">
        <v>0</v>
      </c>
      <c r="G4">
        <v>0</v>
      </c>
    </row>
    <row r="5" spans="1:13" ht="15.75" thickBot="1" x14ac:dyDescent="0.3">
      <c r="A5" s="6" t="s">
        <v>46</v>
      </c>
      <c r="B5" s="30">
        <v>5036.6000000000004</v>
      </c>
      <c r="C5" s="9"/>
      <c r="E5">
        <v>1</v>
      </c>
      <c r="F5">
        <v>1</v>
      </c>
      <c r="G5">
        <v>-1</v>
      </c>
    </row>
    <row r="7" spans="1:13" ht="18" x14ac:dyDescent="0.25">
      <c r="A7" s="32" t="s">
        <v>31</v>
      </c>
      <c r="E7" s="10" t="s">
        <v>35</v>
      </c>
    </row>
    <row r="8" spans="1:13" x14ac:dyDescent="0.25">
      <c r="E8" s="33" t="s">
        <v>42</v>
      </c>
      <c r="F8" s="11"/>
      <c r="G8" s="11"/>
      <c r="H8" s="33" t="s">
        <v>47</v>
      </c>
      <c r="I8" s="11"/>
      <c r="J8" s="11"/>
      <c r="K8" s="33" t="s">
        <v>48</v>
      </c>
    </row>
    <row r="9" spans="1:13" x14ac:dyDescent="0.25">
      <c r="E9" t="s">
        <v>14</v>
      </c>
      <c r="F9">
        <f>SUMPRODUCT(E2:E5,B2:B5)</f>
        <v>-7913.8000000000011</v>
      </c>
      <c r="H9">
        <f>SUMPRODUCT(B2:B5,F2:F5)</f>
        <v>3068.6000000000004</v>
      </c>
      <c r="K9">
        <f>SUMPRODUCT(G2:G5,B2:B5)</f>
        <v>-764.20000000000073</v>
      </c>
    </row>
    <row r="10" spans="1:13" x14ac:dyDescent="0.25">
      <c r="E10" t="s">
        <v>36</v>
      </c>
      <c r="F10" s="37">
        <f>SUMSQ(E2:E5)/5*Anova!D13</f>
        <v>638665.99999999988</v>
      </c>
      <c r="H10">
        <f>SUMSQ(F2:F5)/5*Anova!D13</f>
        <v>319332.99999999994</v>
      </c>
      <c r="K10">
        <f>SUMSQ(G2:G5)/5*Anova!D13</f>
        <v>106444.33333333333</v>
      </c>
    </row>
    <row r="11" spans="1:13" ht="18" x14ac:dyDescent="0.25">
      <c r="A11" s="32" t="s">
        <v>32</v>
      </c>
      <c r="E11" t="s">
        <v>37</v>
      </c>
      <c r="F11">
        <f>SQRT(F10)</f>
        <v>799.16581508470438</v>
      </c>
      <c r="H11">
        <f>SQRT(H10)</f>
        <v>565.095567138869</v>
      </c>
      <c r="K11">
        <f>SQRT(K10)</f>
        <v>326.25807780549025</v>
      </c>
    </row>
    <row r="12" spans="1:13" x14ac:dyDescent="0.25">
      <c r="E12" t="s">
        <v>38</v>
      </c>
      <c r="F12">
        <f>F9/F11</f>
        <v>-9.9025757241145378</v>
      </c>
      <c r="H12">
        <f>H9/H11</f>
        <v>5.4302319438402344</v>
      </c>
      <c r="K12">
        <f>K9/K11</f>
        <v>-2.3423174841838073</v>
      </c>
    </row>
    <row r="13" spans="1:13" x14ac:dyDescent="0.25">
      <c r="E13" t="s">
        <v>39</v>
      </c>
      <c r="F13" s="38">
        <f>_xlfn.T.INV.2T(5%,12)</f>
        <v>2.1788128296672284</v>
      </c>
    </row>
    <row r="14" spans="1:13" x14ac:dyDescent="0.25">
      <c r="E14" t="s">
        <v>40</v>
      </c>
      <c r="F14" s="38">
        <f>_xlfn.T.INV.2T(1%,12)</f>
        <v>3.0545395893929017</v>
      </c>
    </row>
    <row r="15" spans="1:13" ht="18" x14ac:dyDescent="0.25">
      <c r="A15" s="32" t="s">
        <v>33</v>
      </c>
      <c r="E15" s="10" t="s">
        <v>41</v>
      </c>
      <c r="F15" t="s">
        <v>76</v>
      </c>
      <c r="I15" s="10" t="s">
        <v>41</v>
      </c>
      <c r="J15" t="s">
        <v>76</v>
      </c>
      <c r="L15" s="10" t="s">
        <v>41</v>
      </c>
      <c r="M15" t="s">
        <v>86</v>
      </c>
    </row>
    <row r="16" spans="1:13" x14ac:dyDescent="0.25">
      <c r="F16" t="s">
        <v>77</v>
      </c>
      <c r="I16" t="s">
        <v>81</v>
      </c>
      <c r="L16" t="s">
        <v>87</v>
      </c>
    </row>
    <row r="17" spans="1:12" x14ac:dyDescent="0.25">
      <c r="F17" t="s">
        <v>78</v>
      </c>
      <c r="I17" t="s">
        <v>82</v>
      </c>
      <c r="L17" t="s">
        <v>95</v>
      </c>
    </row>
    <row r="18" spans="1:12" x14ac:dyDescent="0.25">
      <c r="F18" t="s">
        <v>79</v>
      </c>
      <c r="I18" s="39" t="s">
        <v>83</v>
      </c>
      <c r="L18" t="s">
        <v>96</v>
      </c>
    </row>
    <row r="19" spans="1:12" ht="18" x14ac:dyDescent="0.25">
      <c r="A19" s="32" t="s">
        <v>34</v>
      </c>
      <c r="F19" t="s">
        <v>80</v>
      </c>
      <c r="I19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="205" zoomScaleNormal="205" workbookViewId="0"/>
  </sheetViews>
  <sheetFormatPr defaultRowHeight="15" x14ac:dyDescent="0.25"/>
  <cols>
    <col min="1" max="1" width="13.7109375" bestFit="1" customWidth="1"/>
    <col min="2" max="2" width="7" bestFit="1" customWidth="1"/>
    <col min="3" max="3" width="17.42578125" bestFit="1" customWidth="1"/>
  </cols>
  <sheetData>
    <row r="1" spans="1:10" ht="15.75" thickBot="1" x14ac:dyDescent="0.3">
      <c r="A1" s="34" t="s">
        <v>15</v>
      </c>
      <c r="B1" s="35" t="s">
        <v>29</v>
      </c>
      <c r="C1" s="36" t="s">
        <v>30</v>
      </c>
      <c r="F1" s="10" t="s">
        <v>49</v>
      </c>
    </row>
    <row r="2" spans="1:10" x14ac:dyDescent="0.25">
      <c r="A2" s="4" t="s">
        <v>43</v>
      </c>
      <c r="B2" s="28">
        <v>3120.2</v>
      </c>
      <c r="C2" s="7">
        <f>SQRT(Anova!D13/5)</f>
        <v>230.69929923315038</v>
      </c>
    </row>
    <row r="3" spans="1:10" x14ac:dyDescent="0.25">
      <c r="A3" s="5" t="s">
        <v>44</v>
      </c>
      <c r="B3" s="29">
        <v>4272.3999999999996</v>
      </c>
      <c r="C3" s="8">
        <f>C2</f>
        <v>230.69929923315038</v>
      </c>
      <c r="I3" t="s">
        <v>51</v>
      </c>
      <c r="J3">
        <v>4.2</v>
      </c>
    </row>
    <row r="4" spans="1:10" x14ac:dyDescent="0.25">
      <c r="A4" s="5" t="s">
        <v>45</v>
      </c>
      <c r="B4" s="29">
        <v>6781</v>
      </c>
      <c r="C4" s="8">
        <f>C3</f>
        <v>230.69929923315038</v>
      </c>
      <c r="I4" t="s">
        <v>66</v>
      </c>
      <c r="J4">
        <f>SQRT(Anova!D13/5)</f>
        <v>230.69929923315038</v>
      </c>
    </row>
    <row r="5" spans="1:10" ht="15.75" thickBot="1" x14ac:dyDescent="0.3">
      <c r="A5" s="6" t="s">
        <v>46</v>
      </c>
      <c r="B5" s="30">
        <v>5036.6000000000004</v>
      </c>
      <c r="C5" s="9">
        <f>C4</f>
        <v>230.69929923315038</v>
      </c>
      <c r="I5" t="s">
        <v>52</v>
      </c>
      <c r="J5">
        <f>J4*J3</f>
        <v>968.93705677923163</v>
      </c>
    </row>
    <row r="7" spans="1:10" x14ac:dyDescent="0.25">
      <c r="A7" s="10" t="s">
        <v>50</v>
      </c>
    </row>
    <row r="9" spans="1:10" ht="15.75" thickBot="1" x14ac:dyDescent="0.3"/>
    <row r="10" spans="1:10" ht="15.75" thickBot="1" x14ac:dyDescent="0.3">
      <c r="A10" s="1" t="s">
        <v>15</v>
      </c>
      <c r="B10" s="3" t="s">
        <v>29</v>
      </c>
      <c r="D10" s="10" t="s">
        <v>53</v>
      </c>
    </row>
    <row r="11" spans="1:10" x14ac:dyDescent="0.25">
      <c r="A11" s="4" t="s">
        <v>45</v>
      </c>
      <c r="B11" s="28">
        <v>6781</v>
      </c>
      <c r="C11" t="s">
        <v>56</v>
      </c>
      <c r="D11" t="s">
        <v>54</v>
      </c>
      <c r="E11" s="27">
        <f>B11-B12</f>
        <v>1744.3999999999996</v>
      </c>
      <c r="F11" t="s">
        <v>55</v>
      </c>
    </row>
    <row r="12" spans="1:10" x14ac:dyDescent="0.25">
      <c r="A12" s="5" t="s">
        <v>46</v>
      </c>
      <c r="B12" s="29">
        <v>5036.6000000000004</v>
      </c>
      <c r="C12" t="s">
        <v>57</v>
      </c>
      <c r="D12" t="s">
        <v>85</v>
      </c>
      <c r="E12" s="27">
        <f>B12-B13</f>
        <v>764.20000000000073</v>
      </c>
      <c r="F12" t="s">
        <v>58</v>
      </c>
    </row>
    <row r="13" spans="1:10" x14ac:dyDescent="0.25">
      <c r="A13" s="5" t="s">
        <v>44</v>
      </c>
      <c r="B13" s="29">
        <v>4272.3999999999996</v>
      </c>
      <c r="C13" t="s">
        <v>57</v>
      </c>
      <c r="D13" t="s">
        <v>60</v>
      </c>
      <c r="E13" s="27">
        <f>B12-B14</f>
        <v>1916.4000000000005</v>
      </c>
      <c r="F13" t="s">
        <v>55</v>
      </c>
    </row>
    <row r="14" spans="1:10" ht="15.75" thickBot="1" x14ac:dyDescent="0.3">
      <c r="A14" s="6" t="s">
        <v>43</v>
      </c>
      <c r="B14" s="30">
        <v>3120.2</v>
      </c>
      <c r="C14" t="s">
        <v>61</v>
      </c>
      <c r="D14" t="s">
        <v>59</v>
      </c>
      <c r="E14" s="27">
        <f>B13-B14</f>
        <v>1152.1999999999998</v>
      </c>
      <c r="F14" t="s">
        <v>55</v>
      </c>
    </row>
  </sheetData>
  <sortState xmlns:xlrd2="http://schemas.microsoft.com/office/spreadsheetml/2017/richdata2" ref="A11:B14">
    <sortCondition descending="1" ref="B11:B14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zoomScale="190" zoomScaleNormal="190" workbookViewId="0">
      <selection activeCell="A2" sqref="A2"/>
    </sheetView>
  </sheetViews>
  <sheetFormatPr defaultRowHeight="15" x14ac:dyDescent="0.25"/>
  <cols>
    <col min="1" max="3" width="14.28515625" customWidth="1"/>
  </cols>
  <sheetData>
    <row r="1" spans="1:12" ht="15.75" thickBot="1" x14ac:dyDescent="0.3">
      <c r="A1" s="34" t="s">
        <v>15</v>
      </c>
      <c r="B1" s="35" t="s">
        <v>29</v>
      </c>
      <c r="C1" s="36" t="s">
        <v>30</v>
      </c>
      <c r="E1" s="10" t="s">
        <v>62</v>
      </c>
    </row>
    <row r="2" spans="1:12" x14ac:dyDescent="0.25">
      <c r="A2" s="4" t="s">
        <v>43</v>
      </c>
      <c r="B2" s="28">
        <v>3120.2</v>
      </c>
      <c r="C2" s="7">
        <f>SQRT(Anova!D13/5)</f>
        <v>230.69929923315038</v>
      </c>
      <c r="I2" t="s">
        <v>66</v>
      </c>
    </row>
    <row r="3" spans="1:12" x14ac:dyDescent="0.25">
      <c r="A3" s="5" t="s">
        <v>44</v>
      </c>
      <c r="B3" s="29">
        <v>4272.3999999999996</v>
      </c>
      <c r="C3" s="8">
        <f>C2</f>
        <v>230.69929923315038</v>
      </c>
      <c r="J3" t="s">
        <v>88</v>
      </c>
      <c r="K3" t="s">
        <v>90</v>
      </c>
      <c r="L3" t="s">
        <v>89</v>
      </c>
    </row>
    <row r="4" spans="1:12" x14ac:dyDescent="0.25">
      <c r="A4" s="5" t="s">
        <v>45</v>
      </c>
      <c r="B4" s="29">
        <v>6781</v>
      </c>
      <c r="C4" s="8">
        <f>C3</f>
        <v>230.69929923315038</v>
      </c>
      <c r="I4" t="s">
        <v>67</v>
      </c>
      <c r="J4">
        <v>3.33</v>
      </c>
      <c r="K4">
        <v>3.23</v>
      </c>
      <c r="L4">
        <v>3.08</v>
      </c>
    </row>
    <row r="5" spans="1:12" ht="15.75" thickBot="1" x14ac:dyDescent="0.3">
      <c r="A5" s="6" t="s">
        <v>46</v>
      </c>
      <c r="B5" s="30">
        <v>5036.6000000000004</v>
      </c>
      <c r="C5" s="9">
        <f>C4</f>
        <v>230.69929923315038</v>
      </c>
      <c r="E5" s="10" t="s">
        <v>63</v>
      </c>
      <c r="I5" t="s">
        <v>68</v>
      </c>
      <c r="J5">
        <f>J4*SQRT(Anova!$D$13/5)</f>
        <v>768.22866644639078</v>
      </c>
      <c r="K5">
        <f>K4*SQRT(Anova!$D$13/5)</f>
        <v>745.15873652307573</v>
      </c>
      <c r="L5">
        <f>L4*SQRT(Anova!$D$13/5)</f>
        <v>710.55384163810322</v>
      </c>
    </row>
    <row r="6" spans="1:12" x14ac:dyDescent="0.25">
      <c r="E6" t="s">
        <v>64</v>
      </c>
    </row>
    <row r="7" spans="1:12" x14ac:dyDescent="0.25">
      <c r="A7" s="10" t="s">
        <v>50</v>
      </c>
      <c r="E7" t="s">
        <v>65</v>
      </c>
    </row>
    <row r="9" spans="1:12" ht="15.75" thickBot="1" x14ac:dyDescent="0.3"/>
    <row r="10" spans="1:12" ht="15.75" thickBot="1" x14ac:dyDescent="0.3">
      <c r="A10" s="1" t="s">
        <v>15</v>
      </c>
      <c r="B10" s="3" t="s">
        <v>29</v>
      </c>
    </row>
    <row r="11" spans="1:12" x14ac:dyDescent="0.25">
      <c r="A11" s="4" t="s">
        <v>45</v>
      </c>
      <c r="B11" s="28">
        <v>6781</v>
      </c>
      <c r="C11" t="s">
        <v>56</v>
      </c>
      <c r="E11" t="s">
        <v>88</v>
      </c>
      <c r="I11" t="s">
        <v>89</v>
      </c>
    </row>
    <row r="12" spans="1:12" x14ac:dyDescent="0.25">
      <c r="A12" s="5" t="s">
        <v>46</v>
      </c>
      <c r="B12" s="29">
        <v>5036.6000000000004</v>
      </c>
      <c r="C12" t="s">
        <v>57</v>
      </c>
      <c r="D12" t="s">
        <v>92</v>
      </c>
      <c r="E12" s="27">
        <f>B11-B14</f>
        <v>3660.8</v>
      </c>
      <c r="F12" t="s">
        <v>55</v>
      </c>
      <c r="H12" t="s">
        <v>92</v>
      </c>
      <c r="I12" s="27">
        <f>B11-B12</f>
        <v>1744.3999999999996</v>
      </c>
      <c r="J12" t="s">
        <v>55</v>
      </c>
    </row>
    <row r="13" spans="1:12" x14ac:dyDescent="0.25">
      <c r="A13" s="5" t="s">
        <v>44</v>
      </c>
      <c r="B13" s="29">
        <v>4272.3999999999996</v>
      </c>
      <c r="C13" t="s">
        <v>61</v>
      </c>
      <c r="H13" t="s">
        <v>94</v>
      </c>
      <c r="I13" s="27">
        <f t="shared" ref="I13:I14" si="0">B12-B13</f>
        <v>764.20000000000073</v>
      </c>
      <c r="J13" t="s">
        <v>55</v>
      </c>
    </row>
    <row r="14" spans="1:12" ht="15.75" thickBot="1" x14ac:dyDescent="0.3">
      <c r="A14" s="6" t="s">
        <v>43</v>
      </c>
      <c r="B14" s="30">
        <v>3120.2</v>
      </c>
      <c r="C14" t="s">
        <v>91</v>
      </c>
      <c r="E14" t="s">
        <v>90</v>
      </c>
      <c r="H14" t="s">
        <v>59</v>
      </c>
      <c r="I14" s="27">
        <f t="shared" si="0"/>
        <v>1152.1999999999998</v>
      </c>
      <c r="J14" t="s">
        <v>55</v>
      </c>
    </row>
    <row r="15" spans="1:12" x14ac:dyDescent="0.25">
      <c r="D15" t="s">
        <v>93</v>
      </c>
      <c r="E15" s="27">
        <f>B11-B13</f>
        <v>2508.6000000000004</v>
      </c>
      <c r="F15" t="s">
        <v>55</v>
      </c>
    </row>
    <row r="16" spans="1:12" x14ac:dyDescent="0.25">
      <c r="D16" t="s">
        <v>60</v>
      </c>
      <c r="E16" s="27">
        <f>B12-B14</f>
        <v>1916.4000000000005</v>
      </c>
      <c r="F16" t="s">
        <v>55</v>
      </c>
    </row>
    <row r="17" spans="5:6" x14ac:dyDescent="0.25">
      <c r="F17" t="s">
        <v>57</v>
      </c>
    </row>
    <row r="18" spans="5:6" x14ac:dyDescent="0.25">
      <c r="E18" s="27"/>
    </row>
    <row r="19" spans="5:6" x14ac:dyDescent="0.25">
      <c r="E19" s="27"/>
    </row>
    <row r="20" spans="5:6" x14ac:dyDescent="0.25">
      <c r="E20" s="27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53D0-2DEE-4BB8-97BD-99A7A53EA9A7}">
  <dimension ref="A1:H10"/>
  <sheetViews>
    <sheetView tabSelected="1" zoomScale="210" zoomScaleNormal="210" workbookViewId="0">
      <selection activeCell="G11" sqref="G11"/>
    </sheetView>
  </sheetViews>
  <sheetFormatPr defaultRowHeight="15" x14ac:dyDescent="0.25"/>
  <cols>
    <col min="1" max="1" width="11.5703125" bestFit="1" customWidth="1"/>
    <col min="2" max="2" width="12.28515625" bestFit="1" customWidth="1"/>
    <col min="8" max="8" width="12.28515625" bestFit="1" customWidth="1"/>
  </cols>
  <sheetData>
    <row r="1" spans="1:8" x14ac:dyDescent="0.25">
      <c r="A1" s="44" t="s">
        <v>15</v>
      </c>
      <c r="B1" s="46" t="s">
        <v>97</v>
      </c>
      <c r="C1" s="46"/>
      <c r="D1" s="46"/>
      <c r="E1" s="46"/>
      <c r="F1" s="46"/>
      <c r="G1" s="46"/>
    </row>
    <row r="2" spans="1:8" x14ac:dyDescent="0.25">
      <c r="A2" s="45"/>
      <c r="B2" s="40" t="s">
        <v>98</v>
      </c>
      <c r="C2" s="40" t="s">
        <v>99</v>
      </c>
      <c r="D2" s="40" t="s">
        <v>100</v>
      </c>
      <c r="E2" s="40" t="s">
        <v>101</v>
      </c>
      <c r="F2" s="40" t="s">
        <v>109</v>
      </c>
      <c r="G2" s="40" t="s">
        <v>110</v>
      </c>
      <c r="H2" s="41" t="s">
        <v>102</v>
      </c>
    </row>
    <row r="3" spans="1:8" x14ac:dyDescent="0.25">
      <c r="A3" t="s">
        <v>103</v>
      </c>
      <c r="B3">
        <v>131.1</v>
      </c>
      <c r="C3">
        <v>140.19999999999999</v>
      </c>
      <c r="D3">
        <v>141.9</v>
      </c>
      <c r="E3" s="42">
        <v>128.42500000000001</v>
      </c>
      <c r="F3">
        <v>143.69999999999999</v>
      </c>
      <c r="G3">
        <v>146.5</v>
      </c>
      <c r="H3" s="48">
        <f>SUM(B3:G3)</f>
        <v>831.82500000000005</v>
      </c>
    </row>
    <row r="4" spans="1:8" x14ac:dyDescent="0.25">
      <c r="A4" t="s">
        <v>104</v>
      </c>
      <c r="B4">
        <v>140.6</v>
      </c>
      <c r="C4">
        <v>150.80000000000001</v>
      </c>
      <c r="D4">
        <v>148.5</v>
      </c>
      <c r="E4">
        <v>141.30000000000001</v>
      </c>
      <c r="F4">
        <v>151.80000000000001</v>
      </c>
      <c r="G4">
        <v>156.19999999999999</v>
      </c>
      <c r="H4" s="27">
        <f>SUM(B4:G4)</f>
        <v>889.2</v>
      </c>
    </row>
    <row r="5" spans="1:8" x14ac:dyDescent="0.25">
      <c r="A5" t="s">
        <v>105</v>
      </c>
      <c r="B5">
        <v>131.69999999999999</v>
      </c>
      <c r="C5">
        <v>145</v>
      </c>
      <c r="D5">
        <v>137.6</v>
      </c>
      <c r="E5">
        <v>143.69999999999999</v>
      </c>
      <c r="F5">
        <v>152.19999999999999</v>
      </c>
      <c r="G5">
        <v>154.9</v>
      </c>
      <c r="H5" s="27">
        <f>SUM(B5:G5)</f>
        <v>865.1</v>
      </c>
    </row>
    <row r="6" spans="1:8" x14ac:dyDescent="0.25">
      <c r="A6" t="s">
        <v>106</v>
      </c>
      <c r="B6">
        <v>112.9</v>
      </c>
      <c r="C6">
        <v>122</v>
      </c>
      <c r="D6">
        <v>122.6</v>
      </c>
      <c r="E6">
        <v>107.5</v>
      </c>
      <c r="F6">
        <v>133.80000000000001</v>
      </c>
      <c r="G6">
        <v>141</v>
      </c>
      <c r="H6" s="27">
        <f>SUM(B6:G6)</f>
        <v>739.8</v>
      </c>
    </row>
    <row r="7" spans="1:8" x14ac:dyDescent="0.25">
      <c r="A7" t="s">
        <v>107</v>
      </c>
      <c r="B7">
        <v>117.9</v>
      </c>
      <c r="C7">
        <v>129.80000000000001</v>
      </c>
      <c r="D7">
        <v>132.80000000000001</v>
      </c>
      <c r="E7">
        <v>116</v>
      </c>
      <c r="F7">
        <v>148.4</v>
      </c>
      <c r="G7">
        <v>157.1</v>
      </c>
      <c r="H7" s="27">
        <f>SUM(B7:G7)</f>
        <v>802</v>
      </c>
    </row>
    <row r="8" spans="1:8" x14ac:dyDescent="0.25">
      <c r="A8" s="41" t="s">
        <v>108</v>
      </c>
      <c r="B8" s="43">
        <f>SUM(B3:B7)</f>
        <v>634.19999999999993</v>
      </c>
      <c r="C8" s="43">
        <f>SUM(C3:C7)</f>
        <v>687.8</v>
      </c>
      <c r="D8" s="43">
        <f>SUM(D3:D7)</f>
        <v>683.40000000000009</v>
      </c>
      <c r="E8" s="47">
        <f>SUM(E3:E7)</f>
        <v>636.92499999999995</v>
      </c>
      <c r="F8" s="43">
        <f>SUM(F3:F7)</f>
        <v>729.9</v>
      </c>
      <c r="G8" s="43">
        <f>SUM(G3:G7)</f>
        <v>755.7</v>
      </c>
      <c r="H8" s="49">
        <f>SUM(B3:G7)</f>
        <v>4127.9250000000011</v>
      </c>
    </row>
    <row r="9" spans="1:8" x14ac:dyDescent="0.25">
      <c r="G9" t="s">
        <v>25</v>
      </c>
      <c r="H9" s="26">
        <f>H8^2/30</f>
        <v>567992.1601875003</v>
      </c>
    </row>
    <row r="10" spans="1:8" x14ac:dyDescent="0.25">
      <c r="B10" s="38">
        <f>SUMSQ(H3:H7)</f>
        <v>3421515.5206249999</v>
      </c>
    </row>
  </sheetData>
  <mergeCells count="2">
    <mergeCell ref="A1:A2"/>
    <mergeCell ref="B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Anova</vt:lpstr>
      <vt:lpstr>Teste t</vt:lpstr>
      <vt:lpstr>Tukey</vt:lpstr>
      <vt:lpstr>Duncan</vt:lpstr>
      <vt:lpstr>Lista-10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Alan Rodrigo Panosso</cp:lastModifiedBy>
  <dcterms:created xsi:type="dcterms:W3CDTF">2022-01-15T14:10:00Z</dcterms:created>
  <dcterms:modified xsi:type="dcterms:W3CDTF">2023-10-16T11:05:09Z</dcterms:modified>
</cp:coreProperties>
</file>