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480" windowHeight="9120" activeTab="2"/>
  </bookViews>
  <sheets>
    <sheet name="imports" sheetId="1" r:id="rId1"/>
    <sheet name="exports" sheetId="2" r:id="rId2"/>
    <sheet name="domexp" sheetId="4" r:id="rId3"/>
    <sheet name="reexports" sheetId="3" r:id="rId4"/>
  </sheets>
  <calcPr calcId="125725"/>
</workbook>
</file>

<file path=xl/calcChain.xml><?xml version="1.0" encoding="utf-8"?>
<calcChain xmlns="http://schemas.openxmlformats.org/spreadsheetml/2006/main">
  <c r="O115" i="4"/>
  <c r="N115"/>
  <c r="O114"/>
  <c r="O112"/>
  <c r="N112"/>
  <c r="O111"/>
  <c r="N111"/>
  <c r="O110"/>
  <c r="N110"/>
  <c r="O107"/>
  <c r="N107"/>
  <c r="O103"/>
  <c r="N103"/>
  <c r="O93"/>
  <c r="N93"/>
  <c r="O90"/>
  <c r="N90"/>
  <c r="O82"/>
  <c r="N82"/>
  <c r="O75"/>
  <c r="N75"/>
  <c r="O65"/>
  <c r="N65"/>
  <c r="O62"/>
  <c r="N62"/>
  <c r="O61"/>
  <c r="N61"/>
  <c r="O51"/>
  <c r="N51"/>
  <c r="O42"/>
  <c r="N42"/>
  <c r="O34"/>
  <c r="N34"/>
  <c r="O33"/>
  <c r="O28"/>
  <c r="N28"/>
  <c r="O27"/>
  <c r="N27"/>
  <c r="O18"/>
  <c r="N18"/>
  <c r="O24"/>
  <c r="N24"/>
  <c r="O10"/>
  <c r="N10"/>
  <c r="O26"/>
  <c r="N26"/>
  <c r="O130" l="1"/>
  <c r="N130"/>
  <c r="O129"/>
  <c r="O135" s="1"/>
  <c r="O137" s="1"/>
  <c r="N129"/>
  <c r="O132"/>
  <c r="N132"/>
  <c r="N135"/>
  <c r="N137" s="1"/>
  <c r="O4"/>
  <c r="N4"/>
  <c r="N130" i="3"/>
  <c r="N132" s="1"/>
  <c r="O130"/>
  <c r="O132" s="1"/>
  <c r="X30" i="4"/>
  <c r="W30"/>
  <c r="X29"/>
  <c r="W29"/>
  <c r="X132"/>
  <c r="W132"/>
  <c r="W119"/>
  <c r="X115"/>
  <c r="W115"/>
  <c r="X114"/>
  <c r="W114"/>
  <c r="X112"/>
  <c r="W112"/>
  <c r="X111"/>
  <c r="W111"/>
  <c r="X110"/>
  <c r="W110"/>
  <c r="X107"/>
  <c r="W107"/>
  <c r="X106"/>
  <c r="W106"/>
  <c r="X103"/>
  <c r="X102"/>
  <c r="W102"/>
  <c r="X101"/>
  <c r="W101"/>
  <c r="X99"/>
  <c r="W100"/>
  <c r="X98"/>
  <c r="X96"/>
  <c r="W96"/>
  <c r="X93"/>
  <c r="W93"/>
  <c r="X90"/>
  <c r="W90"/>
  <c r="X88"/>
  <c r="W88"/>
  <c r="X86"/>
  <c r="W86"/>
  <c r="X82"/>
  <c r="W82"/>
  <c r="W80"/>
  <c r="X77"/>
  <c r="W77"/>
  <c r="X76"/>
  <c r="W76"/>
  <c r="X75"/>
  <c r="W75"/>
  <c r="X73"/>
  <c r="W73"/>
  <c r="X69"/>
  <c r="W67"/>
  <c r="X65"/>
  <c r="W65"/>
  <c r="X63"/>
  <c r="W63"/>
  <c r="X62"/>
  <c r="W62"/>
  <c r="X61"/>
  <c r="W61"/>
  <c r="X57"/>
  <c r="W57"/>
  <c r="X55"/>
  <c r="W56"/>
  <c r="X53"/>
  <c r="W53"/>
  <c r="X51"/>
  <c r="W51"/>
  <c r="X47"/>
  <c r="W47"/>
  <c r="X46"/>
  <c r="W46"/>
  <c r="X43"/>
  <c r="X42"/>
  <c r="W42"/>
  <c r="X36"/>
  <c r="W37"/>
  <c r="X34"/>
  <c r="W34"/>
  <c r="X33"/>
  <c r="W33"/>
  <c r="X32"/>
  <c r="W32"/>
  <c r="X31"/>
  <c r="W31"/>
  <c r="X25"/>
  <c r="W25"/>
  <c r="X23"/>
  <c r="X22"/>
  <c r="W24"/>
  <c r="X21"/>
  <c r="W21"/>
  <c r="X20"/>
  <c r="W20"/>
  <c r="X19"/>
  <c r="W19"/>
  <c r="X18"/>
  <c r="W18"/>
  <c r="X17"/>
  <c r="W17"/>
  <c r="X14"/>
  <c r="W14"/>
  <c r="X13"/>
  <c r="W13"/>
  <c r="X12"/>
  <c r="W12"/>
  <c r="X10"/>
  <c r="W10"/>
  <c r="X8"/>
  <c r="W8"/>
  <c r="X7"/>
  <c r="W7"/>
  <c r="X6"/>
  <c r="W6"/>
  <c r="X5"/>
  <c r="X4"/>
  <c r="W4"/>
  <c r="Z36"/>
  <c r="Z22"/>
  <c r="Y22"/>
  <c r="Z32"/>
  <c r="Y32"/>
  <c r="Z66"/>
  <c r="Z115"/>
  <c r="Y115"/>
  <c r="Z18"/>
  <c r="Y18"/>
  <c r="Z21"/>
  <c r="Y21"/>
  <c r="Z53"/>
  <c r="Z20"/>
  <c r="Y20"/>
  <c r="Z19"/>
  <c r="Y19"/>
  <c r="Z29"/>
  <c r="Y29"/>
  <c r="Z112"/>
  <c r="Y112"/>
  <c r="Z106"/>
  <c r="Y106"/>
  <c r="Z93"/>
  <c r="Y93"/>
  <c r="Z90"/>
  <c r="Y90"/>
  <c r="Z82"/>
  <c r="Y82"/>
  <c r="Z86"/>
  <c r="Y86"/>
  <c r="Z10"/>
  <c r="Y10"/>
  <c r="Z13"/>
  <c r="Y13"/>
  <c r="Z71"/>
  <c r="Y71"/>
  <c r="Z55"/>
  <c r="Y55"/>
  <c r="Z69"/>
  <c r="Y69"/>
  <c r="Z5"/>
  <c r="Y5"/>
  <c r="Z42"/>
  <c r="Y42"/>
  <c r="Z12"/>
  <c r="Y12"/>
  <c r="Z14"/>
  <c r="Y14"/>
  <c r="Z8"/>
  <c r="Y8"/>
  <c r="Z4"/>
  <c r="Y4"/>
  <c r="Z114"/>
  <c r="Y114"/>
  <c r="Z111"/>
  <c r="Y111"/>
  <c r="Z110"/>
  <c r="Y110"/>
  <c r="Z107"/>
  <c r="Y107"/>
  <c r="Z98"/>
  <c r="Y98"/>
  <c r="Z97"/>
  <c r="Y97"/>
  <c r="Z88"/>
  <c r="Y88"/>
  <c r="Z65"/>
  <c r="Y65"/>
  <c r="Z75"/>
  <c r="Y75"/>
  <c r="Y79"/>
  <c r="Z73"/>
  <c r="Y73"/>
  <c r="Z62"/>
  <c r="Y62"/>
  <c r="Z6"/>
  <c r="Y6"/>
  <c r="Z61"/>
  <c r="Y61"/>
  <c r="Z51"/>
  <c r="Y51"/>
  <c r="Z47"/>
  <c r="Y47"/>
  <c r="Z46"/>
  <c r="Y46"/>
  <c r="Z35"/>
  <c r="Y35"/>
  <c r="Z33"/>
  <c r="Y33"/>
  <c r="Z132" i="3"/>
  <c r="X113" i="1"/>
  <c r="X135" s="1"/>
  <c r="Y135"/>
  <c r="Y132"/>
  <c r="X132"/>
  <c r="Y125"/>
  <c r="Y122"/>
  <c r="X122"/>
  <c r="Y116"/>
  <c r="X116"/>
  <c r="Y115"/>
  <c r="X115"/>
  <c r="Y113"/>
  <c r="Y112"/>
  <c r="X112"/>
  <c r="Y108"/>
  <c r="Y104"/>
  <c r="X104"/>
  <c r="Y94"/>
  <c r="X94"/>
  <c r="Y91"/>
  <c r="X91"/>
  <c r="Y83"/>
  <c r="X83"/>
  <c r="Y76"/>
  <c r="X76"/>
  <c r="Y68"/>
  <c r="X68"/>
  <c r="Y64"/>
  <c r="X64"/>
  <c r="Y52"/>
  <c r="X52"/>
  <c r="Y43"/>
  <c r="X43"/>
  <c r="Y35"/>
  <c r="Y28"/>
  <c r="X28"/>
  <c r="Y11"/>
  <c r="X11"/>
  <c r="Y5"/>
  <c r="X5"/>
  <c r="X4"/>
  <c r="Y4"/>
  <c r="AH132" i="3"/>
  <c r="AA137" i="4"/>
  <c r="AD130" i="3" l="1"/>
  <c r="AE130"/>
  <c r="AF130"/>
  <c r="AG130"/>
  <c r="AH130"/>
  <c r="AI130"/>
  <c r="AI132" s="1"/>
  <c r="AJ130"/>
  <c r="AJ132" s="1"/>
  <c r="AL130"/>
  <c r="AL132" s="1"/>
  <c r="AM130"/>
  <c r="AM132" s="1"/>
  <c r="AN130"/>
  <c r="AN132" s="1"/>
  <c r="AO130"/>
  <c r="AP130"/>
  <c r="AK130"/>
  <c r="AK132" s="1"/>
  <c r="AH135" i="4"/>
  <c r="AH137" s="1"/>
  <c r="AI135"/>
  <c r="AI137" s="1"/>
  <c r="AJ135"/>
  <c r="AJ137" s="1"/>
  <c r="AK135"/>
  <c r="AK137" s="1"/>
  <c r="AL135"/>
  <c r="AL137" s="1"/>
  <c r="AM135"/>
  <c r="AM137" s="1"/>
  <c r="AN135"/>
  <c r="AN137" s="1"/>
  <c r="AO135"/>
  <c r="AP135"/>
  <c r="AQ135"/>
  <c r="AR135"/>
  <c r="AR137" s="1"/>
  <c r="AD135"/>
  <c r="AE135"/>
  <c r="AE137" s="1"/>
  <c r="AF135"/>
  <c r="AG135"/>
  <c r="AG137" s="1"/>
  <c r="AF137"/>
  <c r="AD137"/>
  <c r="AC135"/>
  <c r="AC137" s="1"/>
  <c r="AB135"/>
  <c r="AB137" s="1"/>
  <c r="AA135"/>
  <c r="Z135"/>
  <c r="Z137" s="1"/>
  <c r="Y135"/>
  <c r="Y137" s="1"/>
  <c r="X135"/>
  <c r="X137" s="1"/>
  <c r="W135"/>
  <c r="W137" s="1"/>
  <c r="V135"/>
  <c r="V137" s="1"/>
  <c r="U135"/>
  <c r="U137" s="1"/>
  <c r="T135"/>
  <c r="T137" s="1"/>
  <c r="S135"/>
  <c r="S137" s="1"/>
  <c r="R135"/>
  <c r="R137" s="1"/>
  <c r="Q135"/>
  <c r="Q137" s="1"/>
  <c r="P135"/>
  <c r="P137" s="1"/>
  <c r="AV135" i="1"/>
  <c r="AW135"/>
  <c r="AX135"/>
  <c r="AY135"/>
  <c r="AY137" s="1"/>
  <c r="AZ135"/>
  <c r="AZ137" s="1"/>
  <c r="BA135"/>
  <c r="BA137" s="1"/>
  <c r="BB135"/>
  <c r="BB137" s="1"/>
  <c r="AP137"/>
  <c r="AO137"/>
  <c r="AN137"/>
  <c r="AO135"/>
  <c r="AP135"/>
  <c r="AQ135"/>
  <c r="AR135"/>
  <c r="AR137" s="1"/>
  <c r="AS135"/>
  <c r="AT135"/>
  <c r="AU135"/>
  <c r="Z135"/>
  <c r="AA135"/>
  <c r="AB135"/>
  <c r="AC135"/>
  <c r="AD135"/>
  <c r="AE135"/>
  <c r="AF135"/>
  <c r="AG135"/>
  <c r="AH135"/>
  <c r="AI135"/>
  <c r="AJ135"/>
  <c r="AK135"/>
  <c r="AL135"/>
  <c r="AM135"/>
  <c r="AN135"/>
  <c r="AP94"/>
  <c r="W130" i="3"/>
  <c r="W132" s="1"/>
  <c r="X130"/>
  <c r="X132" s="1"/>
  <c r="Y130"/>
  <c r="Y132" s="1"/>
  <c r="Z130"/>
  <c r="AA130"/>
  <c r="AA132" s="1"/>
  <c r="AB130"/>
  <c r="AB132" s="1"/>
  <c r="AC130"/>
  <c r="AC132" s="1"/>
  <c r="AD132"/>
  <c r="AE132"/>
  <c r="AF132"/>
  <c r="AG132"/>
  <c r="AQ128" i="2"/>
  <c r="AQ130" s="1"/>
  <c r="AG128"/>
  <c r="AH128"/>
  <c r="AI128"/>
  <c r="AJ128"/>
  <c r="AK128"/>
  <c r="AK130" s="1"/>
  <c r="AL128"/>
  <c r="AL130" s="1"/>
  <c r="AM128"/>
  <c r="AM130" s="1"/>
  <c r="AN128"/>
  <c r="AO128"/>
  <c r="AP128"/>
  <c r="AR128"/>
  <c r="AS128"/>
  <c r="AT128"/>
  <c r="AU128"/>
  <c r="AV128"/>
  <c r="AQ137" i="1"/>
  <c r="AX137"/>
  <c r="AW137"/>
  <c r="AV137"/>
  <c r="AU137"/>
  <c r="AS137" l="1"/>
  <c r="AT137"/>
  <c r="AM137"/>
  <c r="AG74"/>
  <c r="AD132"/>
  <c r="AG132"/>
  <c r="AG116"/>
  <c r="AG115"/>
  <c r="AG113"/>
  <c r="AG112"/>
  <c r="AG104"/>
  <c r="AG94"/>
  <c r="AG83"/>
  <c r="AG78"/>
  <c r="AG76"/>
  <c r="AG69"/>
  <c r="AG68"/>
  <c r="AG64"/>
  <c r="AG63"/>
  <c r="AG53"/>
  <c r="AG51"/>
  <c r="AG43"/>
  <c r="AG41"/>
  <c r="AG40"/>
  <c r="AG36"/>
  <c r="AG31"/>
  <c r="AG28"/>
  <c r="AG11"/>
  <c r="AG9"/>
  <c r="AG8"/>
  <c r="AG4"/>
  <c r="AH40"/>
  <c r="AH116"/>
  <c r="AH78"/>
  <c r="AH53"/>
  <c r="AH113"/>
  <c r="AH94"/>
  <c r="AH91"/>
  <c r="AH83"/>
  <c r="AH11"/>
  <c r="AH70"/>
  <c r="AH43"/>
  <c r="AH9"/>
  <c r="AH4"/>
  <c r="AH104"/>
  <c r="AH115"/>
  <c r="AH112"/>
  <c r="AH68"/>
  <c r="AH8"/>
  <c r="AH76"/>
  <c r="AH64"/>
  <c r="AH63"/>
  <c r="AH51"/>
  <c r="AH46"/>
  <c r="AH41"/>
  <c r="AH36"/>
  <c r="AH34"/>
  <c r="AI33" l="1"/>
  <c r="AI40"/>
  <c r="AI26"/>
  <c r="AI116"/>
  <c r="AI24"/>
  <c r="AI78"/>
  <c r="AI53"/>
  <c r="AI113"/>
  <c r="AI94"/>
  <c r="AI91"/>
  <c r="AI83"/>
  <c r="AI43"/>
  <c r="AI112"/>
  <c r="AI115"/>
  <c r="AI104"/>
  <c r="AI4"/>
  <c r="AI68"/>
  <c r="AI9"/>
  <c r="AI8"/>
  <c r="AI76"/>
  <c r="AI64"/>
  <c r="AI63"/>
  <c r="AI51"/>
  <c r="AI41"/>
  <c r="AI36"/>
  <c r="AI34"/>
  <c r="AG137"/>
  <c r="AH137"/>
  <c r="AJ137"/>
  <c r="AK137"/>
  <c r="AL137"/>
  <c r="P130" i="3"/>
  <c r="P132" s="1"/>
  <c r="Q130"/>
  <c r="Q132"/>
  <c r="Z128" i="2"/>
  <c r="AA128"/>
  <c r="AA130" s="1"/>
  <c r="Z130"/>
  <c r="V130" i="3"/>
  <c r="V132" s="1"/>
  <c r="U130"/>
  <c r="U132" s="1"/>
  <c r="T130"/>
  <c r="T132" s="1"/>
  <c r="S130"/>
  <c r="S132" s="1"/>
  <c r="R130"/>
  <c r="R132" s="1"/>
  <c r="Z137" i="1"/>
  <c r="AA137"/>
  <c r="Y137"/>
  <c r="X137"/>
  <c r="W137"/>
  <c r="V137"/>
  <c r="U137"/>
  <c r="T137"/>
  <c r="S137"/>
  <c r="R137"/>
  <c r="Q137"/>
  <c r="P137"/>
  <c r="O137"/>
  <c r="AI137" l="1"/>
  <c r="AD128" i="2"/>
  <c r="AD130" s="1"/>
  <c r="AE128"/>
  <c r="AE130" s="1"/>
  <c r="AF128"/>
  <c r="AF130" s="1"/>
  <c r="AC128"/>
  <c r="AC130" s="1"/>
  <c r="AB128"/>
  <c r="AB130" s="1"/>
  <c r="AC137" i="1"/>
  <c r="AD137"/>
  <c r="AE137"/>
  <c r="AF137"/>
  <c r="AB137"/>
</calcChain>
</file>

<file path=xl/sharedStrings.xml><?xml version="1.0" encoding="utf-8"?>
<sst xmlns="http://schemas.openxmlformats.org/spreadsheetml/2006/main" count="659" uniqueCount="174">
  <si>
    <t>notes</t>
  </si>
  <si>
    <t>unit</t>
  </si>
  <si>
    <t>Egypt</t>
  </si>
  <si>
    <t>UK</t>
  </si>
  <si>
    <t>Cyprus</t>
  </si>
  <si>
    <t>Gibraltar</t>
  </si>
  <si>
    <t>Malta</t>
  </si>
  <si>
    <t>Aden</t>
  </si>
  <si>
    <t>British Borneo</t>
  </si>
  <si>
    <t>British India</t>
  </si>
  <si>
    <t>Ceylon</t>
  </si>
  <si>
    <t>Hong Kong</t>
  </si>
  <si>
    <t>Straits Settlements and Dependencies</t>
  </si>
  <si>
    <t>Trinidad</t>
  </si>
  <si>
    <t>British West Indies</t>
  </si>
  <si>
    <t>Canada</t>
  </si>
  <si>
    <t>British East Africa</t>
  </si>
  <si>
    <t>British West Africa</t>
  </si>
  <si>
    <t>Union of South Africa</t>
  </si>
  <si>
    <t>Australasia</t>
  </si>
  <si>
    <t>Bermudas</t>
  </si>
  <si>
    <t>Abyssinia</t>
  </si>
  <si>
    <t>Albania</t>
  </si>
  <si>
    <t>Arabia</t>
  </si>
  <si>
    <t>Argentina</t>
  </si>
  <si>
    <t>Austria</t>
  </si>
  <si>
    <t>Belgium</t>
  </si>
  <si>
    <t>Belgian Possessions in Africa</t>
  </si>
  <si>
    <t>Bolivia</t>
  </si>
  <si>
    <t>Brazil</t>
  </si>
  <si>
    <t>Bulgaria</t>
  </si>
  <si>
    <t>Chile</t>
  </si>
  <si>
    <t>China</t>
  </si>
  <si>
    <t>Columbia</t>
  </si>
  <si>
    <t>Cuba</t>
  </si>
  <si>
    <t>Czecho-Slovakia</t>
  </si>
  <si>
    <t>Denmark</t>
  </si>
  <si>
    <t>Ecuador</t>
  </si>
  <si>
    <t>Finland</t>
  </si>
  <si>
    <t>France</t>
  </si>
  <si>
    <t>Algeria</t>
  </si>
  <si>
    <t>Morocco</t>
  </si>
  <si>
    <t>Tunis</t>
  </si>
  <si>
    <t>French Possessions in the Far East</t>
  </si>
  <si>
    <t>French Possessions in Africa</t>
  </si>
  <si>
    <t>Germany</t>
  </si>
  <si>
    <t>Greece</t>
  </si>
  <si>
    <t>Crete</t>
  </si>
  <si>
    <t>Guatemala</t>
  </si>
  <si>
    <t>Holland</t>
  </si>
  <si>
    <t>Dutch Possessions in the Far East</t>
  </si>
  <si>
    <t>Dutch West Indies</t>
  </si>
  <si>
    <t>Hungary</t>
  </si>
  <si>
    <t>Italy</t>
  </si>
  <si>
    <t>Eritrea</t>
  </si>
  <si>
    <t>Tripoli</t>
  </si>
  <si>
    <t>Italian Possessions in Africa</t>
  </si>
  <si>
    <t>Japan</t>
  </si>
  <si>
    <t>Mesopotamia</t>
  </si>
  <si>
    <t>Mexico</t>
  </si>
  <si>
    <t>Norway</t>
  </si>
  <si>
    <t>Palestine</t>
  </si>
  <si>
    <t>Panama</t>
  </si>
  <si>
    <t>Persia</t>
  </si>
  <si>
    <t>Peru</t>
  </si>
  <si>
    <t>Poland</t>
  </si>
  <si>
    <t>Portugal</t>
  </si>
  <si>
    <t>Portuguese Possessions in Africa</t>
  </si>
  <si>
    <t>Rhodes</t>
  </si>
  <si>
    <t>Rumania</t>
  </si>
  <si>
    <t>Russia</t>
  </si>
  <si>
    <t>Salvador</t>
  </si>
  <si>
    <t>Siam</t>
  </si>
  <si>
    <t>Spain</t>
  </si>
  <si>
    <t>Sweden</t>
  </si>
  <si>
    <t>Switzerland</t>
  </si>
  <si>
    <t>Syria</t>
  </si>
  <si>
    <t>Turkey</t>
  </si>
  <si>
    <t>US</t>
  </si>
  <si>
    <t>Uruguay</t>
  </si>
  <si>
    <t>Venezuela</t>
  </si>
  <si>
    <t>Yugoslavia</t>
  </si>
  <si>
    <t>Other Countries</t>
  </si>
  <si>
    <t>Egyptian pounds</t>
  </si>
  <si>
    <t>Costa Rica</t>
  </si>
  <si>
    <t>Paraguay</t>
  </si>
  <si>
    <t>Country of origin, if known</t>
  </si>
  <si>
    <t>Country of final destination, if known</t>
  </si>
  <si>
    <t>Annual Statement of the Foreign Trade of Egypt</t>
  </si>
  <si>
    <t>Country of consignment</t>
  </si>
  <si>
    <t>British Guiana</t>
  </si>
  <si>
    <t>French Guiana</t>
  </si>
  <si>
    <t>Dutch Guiana</t>
  </si>
  <si>
    <t xml:space="preserve">Honduras </t>
  </si>
  <si>
    <t>Belgium and Luxemburg</t>
  </si>
  <si>
    <t>Estonia</t>
  </si>
  <si>
    <t>Ireland</t>
  </si>
  <si>
    <t>Italian Aegean Islands</t>
  </si>
  <si>
    <t>Latvia</t>
  </si>
  <si>
    <t>Lithuania</t>
  </si>
  <si>
    <t>Other countries in Europe</t>
  </si>
  <si>
    <t>Dutch East Indies</t>
  </si>
  <si>
    <t>French Indochina</t>
  </si>
  <si>
    <t>Hedjaz and Nejd</t>
  </si>
  <si>
    <t>Philippines</t>
  </si>
  <si>
    <t>Yemen</t>
  </si>
  <si>
    <t>Other countries in Asia</t>
  </si>
  <si>
    <t>Belgian Congo</t>
  </si>
  <si>
    <t>French Somali Coast</t>
  </si>
  <si>
    <t>Italian Somaliland</t>
  </si>
  <si>
    <t>Madagascar</t>
  </si>
  <si>
    <t>Spanish Morocco and Tangier</t>
  </si>
  <si>
    <t>Portuguese Southern Africa</t>
  </si>
  <si>
    <t>Spanish Western Eq. Africa</t>
  </si>
  <si>
    <t>Other West African Equatorial Countries</t>
  </si>
  <si>
    <t>Other South African Equatorial Countries</t>
  </si>
  <si>
    <t>Other North American countries</t>
  </si>
  <si>
    <t>Other Caribbean Insular countries</t>
  </si>
  <si>
    <t>Curacao</t>
  </si>
  <si>
    <t>Jamaica</t>
  </si>
  <si>
    <t>Other Caribbean Cont. Countries</t>
  </si>
  <si>
    <t>Other South American Countries</t>
  </si>
  <si>
    <t>Other Oceanic countries</t>
  </si>
  <si>
    <t>Countries not specified</t>
  </si>
  <si>
    <t>Australia</t>
  </si>
  <si>
    <t>New Zealand</t>
  </si>
  <si>
    <t>Arabia before 1930</t>
  </si>
  <si>
    <t>Honduras</t>
  </si>
  <si>
    <t>British Malaya after 1929</t>
  </si>
  <si>
    <t>French West Indies</t>
  </si>
  <si>
    <t>Includes Crete from 1929</t>
  </si>
  <si>
    <t>Libya from 1929</t>
  </si>
  <si>
    <t>Nicaragua</t>
  </si>
  <si>
    <t>Poland-Danzig</t>
  </si>
  <si>
    <t>Burma</t>
  </si>
  <si>
    <t>Saudi Arabia</t>
  </si>
  <si>
    <t>Ethiopia from 1943</t>
  </si>
  <si>
    <t>Pakistan</t>
  </si>
  <si>
    <t>Lebanon</t>
  </si>
  <si>
    <t>Transjordania</t>
  </si>
  <si>
    <t>Part of British India until Feb 1938</t>
  </si>
  <si>
    <t>Irish Free State</t>
  </si>
  <si>
    <t>French Indo-China</t>
  </si>
  <si>
    <t>Other West Equatorial African countries</t>
  </si>
  <si>
    <t>Other South African countries</t>
  </si>
  <si>
    <t>Spanish Morocco and Tanger</t>
  </si>
  <si>
    <t>Spanish West Equatorial Africa</t>
  </si>
  <si>
    <t>Other Carib Cont Countries</t>
  </si>
  <si>
    <t>Other Carib Insular Countries</t>
  </si>
  <si>
    <t>Other South American countries</t>
  </si>
  <si>
    <t>Other countries in Oceania</t>
  </si>
  <si>
    <t>Ships' stores and bunkers</t>
  </si>
  <si>
    <t>Other European countries</t>
  </si>
  <si>
    <t>Ships's Stores and Bunkers</t>
  </si>
  <si>
    <t>Other Carib Insular countries</t>
  </si>
  <si>
    <t>Other Carib Contin countries</t>
  </si>
  <si>
    <t>Too fragile to copy</t>
  </si>
  <si>
    <t>Morocco, French Protectorate</t>
  </si>
  <si>
    <t>From ships</t>
  </si>
  <si>
    <t>Other countries in South America</t>
  </si>
  <si>
    <t>Not Stated</t>
  </si>
  <si>
    <t>Not stated</t>
  </si>
  <si>
    <t>Other countries in North America</t>
  </si>
  <si>
    <t>British Medit. Possessions</t>
  </si>
  <si>
    <t>Other Brit poss in the Far East</t>
  </si>
  <si>
    <t>Brit. Possession in Africa</t>
  </si>
  <si>
    <t>France and French Medit Possessions</t>
  </si>
  <si>
    <t>Other countries in America</t>
  </si>
  <si>
    <t>Includes merchandise and cigarettes</t>
  </si>
  <si>
    <t>TOTAL</t>
  </si>
  <si>
    <t>Other countries in the Far East</t>
  </si>
  <si>
    <t>Brit. Medit. Possessions</t>
  </si>
  <si>
    <t>Other Brit. Poss in the Far East</t>
  </si>
  <si>
    <t>Brit. Possessions in Africa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</si>
</sst>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" fontId="0" fillId="0" borderId="0" xfId="0" applyNumberFormat="1"/>
    <xf numFmtId="3" fontId="0" fillId="0" borderId="0" xfId="0" applyNumberFormat="1" applyFont="1"/>
    <xf numFmtId="3" fontId="0" fillId="2" borderId="0" xfId="0" applyNumberFormat="1" applyFont="1" applyFill="1"/>
    <xf numFmtId="3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42"/>
  <sheetViews>
    <sheetView workbookViewId="0">
      <pane xSplit="3" ySplit="3" topLeftCell="R4" activePane="bottomRight" state="frozen"/>
      <selection pane="topRight" activeCell="D1" sqref="D1"/>
      <selection pane="bottomLeft" activeCell="A3" sqref="A3"/>
      <selection pane="bottomRight" activeCell="Y4" sqref="Y4"/>
    </sheetView>
  </sheetViews>
  <sheetFormatPr defaultRowHeight="15"/>
  <cols>
    <col min="25" max="25" width="10" bestFit="1" customWidth="1"/>
    <col min="45" max="45" width="9.140625" style="1"/>
    <col min="48" max="48" width="9.140625" style="1"/>
    <col min="51" max="53" width="10.140625" style="1" bestFit="1" customWidth="1"/>
    <col min="54" max="54" width="9.140625" style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 s="1">
        <v>1940</v>
      </c>
      <c r="AT1">
        <v>1941</v>
      </c>
      <c r="AU1">
        <v>1942</v>
      </c>
      <c r="AV1" s="1">
        <v>1943</v>
      </c>
      <c r="AW1">
        <v>1944</v>
      </c>
      <c r="AX1">
        <v>1945</v>
      </c>
      <c r="AY1" s="1">
        <v>1946</v>
      </c>
      <c r="AZ1" s="1">
        <v>1947</v>
      </c>
      <c r="BA1" s="1">
        <v>1948</v>
      </c>
      <c r="BB1" s="1">
        <v>1949</v>
      </c>
      <c r="BC1" s="1">
        <v>1950</v>
      </c>
    </row>
    <row r="2" spans="1:55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 s="1">
        <v>1</v>
      </c>
      <c r="AT2">
        <v>1</v>
      </c>
      <c r="AU2">
        <v>1</v>
      </c>
      <c r="AV2" s="1">
        <v>1</v>
      </c>
      <c r="AW2">
        <v>1</v>
      </c>
      <c r="AX2">
        <v>1</v>
      </c>
      <c r="AY2" s="1">
        <v>1</v>
      </c>
      <c r="AZ2" s="1">
        <v>1</v>
      </c>
      <c r="BA2" s="1">
        <v>1</v>
      </c>
      <c r="BB2" s="1">
        <v>1</v>
      </c>
    </row>
    <row r="3" spans="1:55">
      <c r="C3">
        <v>1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s="1" t="s">
        <v>83</v>
      </c>
      <c r="AT3" t="s">
        <v>83</v>
      </c>
      <c r="AU3" t="s">
        <v>83</v>
      </c>
      <c r="AV3" s="1" t="s">
        <v>83</v>
      </c>
      <c r="AW3" s="1" t="s">
        <v>83</v>
      </c>
      <c r="AX3" s="1" t="s">
        <v>83</v>
      </c>
      <c r="AY3" s="1" t="s">
        <v>83</v>
      </c>
      <c r="AZ3" s="1" t="s">
        <v>83</v>
      </c>
      <c r="BA3" s="1" t="s">
        <v>83</v>
      </c>
      <c r="BB3" s="1" t="s">
        <v>83</v>
      </c>
    </row>
    <row r="4" spans="1:55">
      <c r="A4" t="s">
        <v>2</v>
      </c>
      <c r="B4" t="s">
        <v>3</v>
      </c>
      <c r="X4">
        <f>21758165+82792</f>
        <v>21840957</v>
      </c>
      <c r="Y4">
        <f>37736789+157971</f>
        <v>37894760</v>
      </c>
      <c r="Z4">
        <v>16937815</v>
      </c>
      <c r="AA4">
        <v>14731622</v>
      </c>
      <c r="AB4">
        <v>14771677</v>
      </c>
      <c r="AC4">
        <v>13993584</v>
      </c>
      <c r="AD4">
        <v>14660664</v>
      </c>
      <c r="AE4">
        <v>11405307</v>
      </c>
      <c r="AF4">
        <v>12482606</v>
      </c>
      <c r="AG4">
        <f>11180733+145509</f>
        <v>11326242</v>
      </c>
      <c r="AH4">
        <f>11731625+181944</f>
        <v>11913569</v>
      </c>
      <c r="AI4">
        <f>9569580+107187</f>
        <v>9676767</v>
      </c>
      <c r="AJ4">
        <v>7134515</v>
      </c>
      <c r="AK4">
        <v>6582178</v>
      </c>
      <c r="AL4">
        <v>6187706</v>
      </c>
      <c r="AM4">
        <v>6485890</v>
      </c>
      <c r="AN4">
        <v>7360310</v>
      </c>
      <c r="AO4">
        <v>7526926</v>
      </c>
      <c r="AP4">
        <v>8288018</v>
      </c>
      <c r="AQ4">
        <v>8496512</v>
      </c>
      <c r="AR4">
        <v>9430275</v>
      </c>
      <c r="AS4" s="1">
        <v>8901050</v>
      </c>
      <c r="AT4">
        <v>9281966</v>
      </c>
      <c r="AU4">
        <v>12770463</v>
      </c>
      <c r="AV4" s="1">
        <v>7078812</v>
      </c>
      <c r="AW4" s="1">
        <v>6034381</v>
      </c>
      <c r="AX4" s="1">
        <v>11130321</v>
      </c>
      <c r="AY4" s="3">
        <v>24953355</v>
      </c>
      <c r="AZ4" s="3">
        <v>21601770</v>
      </c>
      <c r="BA4" s="3">
        <v>36288180</v>
      </c>
      <c r="BB4" s="1">
        <v>37984924</v>
      </c>
    </row>
    <row r="5" spans="1:55">
      <c r="B5" t="s">
        <v>163</v>
      </c>
      <c r="X5">
        <f>428319+7253</f>
        <v>435572</v>
      </c>
      <c r="Y5">
        <f>477482+6328</f>
        <v>483810</v>
      </c>
      <c r="AW5" s="1"/>
      <c r="AX5" s="1"/>
      <c r="AY5" s="3"/>
      <c r="AZ5" s="3"/>
      <c r="BA5" s="3"/>
    </row>
    <row r="6" spans="1:55">
      <c r="B6" t="s">
        <v>4</v>
      </c>
      <c r="Z6">
        <v>286552</v>
      </c>
      <c r="AA6">
        <v>279151</v>
      </c>
      <c r="AB6">
        <v>262744</v>
      </c>
      <c r="AC6">
        <v>267624</v>
      </c>
      <c r="AD6">
        <v>267679</v>
      </c>
      <c r="AE6">
        <v>286977</v>
      </c>
      <c r="AF6">
        <v>259019</v>
      </c>
      <c r="AG6">
        <v>217540</v>
      </c>
      <c r="AH6">
        <v>235759</v>
      </c>
      <c r="AI6">
        <v>271967</v>
      </c>
      <c r="AJ6">
        <v>231166</v>
      </c>
      <c r="AK6">
        <v>181875</v>
      </c>
      <c r="AL6">
        <v>125621</v>
      </c>
      <c r="AM6">
        <v>116069</v>
      </c>
      <c r="AN6">
        <v>150106</v>
      </c>
      <c r="AO6">
        <v>154083</v>
      </c>
      <c r="AP6">
        <v>163265</v>
      </c>
      <c r="AQ6">
        <v>162432</v>
      </c>
      <c r="AR6">
        <v>146900</v>
      </c>
      <c r="AS6" s="1">
        <v>216386</v>
      </c>
      <c r="AT6">
        <v>329094</v>
      </c>
      <c r="AU6">
        <v>284401</v>
      </c>
      <c r="AV6" s="1">
        <v>871379</v>
      </c>
      <c r="AW6" s="1">
        <v>1530429</v>
      </c>
      <c r="AX6" s="1">
        <v>1651430</v>
      </c>
      <c r="AY6" s="3">
        <v>726487</v>
      </c>
      <c r="AZ6" s="3">
        <v>394682</v>
      </c>
      <c r="BA6" s="3">
        <v>558716</v>
      </c>
      <c r="BB6" s="1">
        <v>564054</v>
      </c>
    </row>
    <row r="7" spans="1:55">
      <c r="B7" t="s">
        <v>5</v>
      </c>
      <c r="Z7">
        <v>254</v>
      </c>
      <c r="AA7">
        <v>113</v>
      </c>
      <c r="AB7">
        <v>60</v>
      </c>
      <c r="AC7">
        <v>212</v>
      </c>
      <c r="AD7">
        <v>7</v>
      </c>
      <c r="AE7">
        <v>5</v>
      </c>
      <c r="AF7">
        <v>145</v>
      </c>
      <c r="AH7">
        <v>1</v>
      </c>
      <c r="AI7">
        <v>42</v>
      </c>
      <c r="AJ7">
        <v>30</v>
      </c>
      <c r="AK7">
        <v>91</v>
      </c>
      <c r="AL7">
        <v>183</v>
      </c>
      <c r="AM7">
        <v>545</v>
      </c>
      <c r="AN7">
        <v>405</v>
      </c>
      <c r="AO7">
        <v>374</v>
      </c>
      <c r="AP7">
        <v>5140</v>
      </c>
      <c r="AQ7">
        <v>635</v>
      </c>
      <c r="AR7">
        <v>140</v>
      </c>
      <c r="AS7" s="1">
        <v>557</v>
      </c>
      <c r="AV7" s="1">
        <v>104</v>
      </c>
      <c r="AW7">
        <v>108</v>
      </c>
      <c r="AX7">
        <v>1442</v>
      </c>
      <c r="AY7" s="3">
        <v>4970</v>
      </c>
      <c r="AZ7" s="3">
        <v>4011</v>
      </c>
      <c r="BA7" s="3">
        <v>315</v>
      </c>
      <c r="BB7" s="1">
        <v>1283</v>
      </c>
    </row>
    <row r="8" spans="1:55">
      <c r="B8" t="s">
        <v>6</v>
      </c>
      <c r="Z8">
        <v>17333</v>
      </c>
      <c r="AA8">
        <v>11628</v>
      </c>
      <c r="AB8">
        <v>6910</v>
      </c>
      <c r="AC8">
        <v>11579</v>
      </c>
      <c r="AD8">
        <v>10490</v>
      </c>
      <c r="AE8">
        <v>6079</v>
      </c>
      <c r="AF8">
        <v>7430</v>
      </c>
      <c r="AG8">
        <f>3490+183</f>
        <v>3673</v>
      </c>
      <c r="AH8">
        <f>3704+106</f>
        <v>3810</v>
      </c>
      <c r="AI8">
        <f>1785+63</f>
        <v>1848</v>
      </c>
      <c r="AJ8">
        <v>2642</v>
      </c>
      <c r="AK8">
        <v>2078</v>
      </c>
      <c r="AL8">
        <v>2368</v>
      </c>
      <c r="AM8">
        <v>1659</v>
      </c>
      <c r="AN8">
        <v>1887</v>
      </c>
      <c r="AO8">
        <v>5735</v>
      </c>
      <c r="AP8">
        <v>2232</v>
      </c>
      <c r="AQ8">
        <v>2341</v>
      </c>
      <c r="AR8">
        <v>8599</v>
      </c>
      <c r="AS8" s="1">
        <v>6732</v>
      </c>
      <c r="AT8">
        <v>3009</v>
      </c>
      <c r="AU8">
        <v>1651</v>
      </c>
      <c r="AV8" s="1">
        <v>1445</v>
      </c>
      <c r="AW8" s="1">
        <v>36263</v>
      </c>
      <c r="AX8" s="1">
        <v>31566</v>
      </c>
      <c r="AY8" s="3">
        <v>3200</v>
      </c>
      <c r="AZ8" s="3">
        <v>13555</v>
      </c>
      <c r="BA8" s="3">
        <v>18516</v>
      </c>
      <c r="BB8" s="1">
        <v>9783</v>
      </c>
    </row>
    <row r="9" spans="1:55">
      <c r="B9" t="s">
        <v>7</v>
      </c>
      <c r="Z9">
        <v>233225</v>
      </c>
      <c r="AA9">
        <v>140128</v>
      </c>
      <c r="AB9">
        <v>107280</v>
      </c>
      <c r="AC9">
        <v>112356</v>
      </c>
      <c r="AD9">
        <v>139572</v>
      </c>
      <c r="AE9">
        <v>100134</v>
      </c>
      <c r="AF9">
        <v>79829</v>
      </c>
      <c r="AG9">
        <f>27547+44772</f>
        <v>72319</v>
      </c>
      <c r="AH9">
        <f>30264+41221</f>
        <v>71485</v>
      </c>
      <c r="AI9">
        <f>18745+36602</f>
        <v>55347</v>
      </c>
      <c r="AJ9">
        <v>45901</v>
      </c>
      <c r="AK9">
        <v>55921</v>
      </c>
      <c r="AL9">
        <v>44119</v>
      </c>
      <c r="AM9">
        <v>45732</v>
      </c>
      <c r="AN9">
        <v>47741</v>
      </c>
      <c r="AO9">
        <v>49331</v>
      </c>
      <c r="AP9">
        <v>66019</v>
      </c>
      <c r="AQ9">
        <v>53209</v>
      </c>
      <c r="AR9">
        <v>46143</v>
      </c>
      <c r="AS9" s="1">
        <v>46776</v>
      </c>
      <c r="AT9">
        <v>80629</v>
      </c>
      <c r="AU9">
        <v>369424</v>
      </c>
      <c r="AV9" s="1">
        <v>668799</v>
      </c>
      <c r="AW9" s="1">
        <v>1384721</v>
      </c>
      <c r="AX9" s="1">
        <v>1207880</v>
      </c>
      <c r="AY9" s="3">
        <v>797462</v>
      </c>
      <c r="AZ9" s="3">
        <v>400127</v>
      </c>
      <c r="BA9" s="3">
        <v>498024</v>
      </c>
      <c r="BB9" s="1">
        <v>508119</v>
      </c>
    </row>
    <row r="10" spans="1:55">
      <c r="B10" t="s">
        <v>8</v>
      </c>
      <c r="AA10">
        <v>80018</v>
      </c>
      <c r="AB10">
        <v>99589</v>
      </c>
      <c r="AC10">
        <v>156726</v>
      </c>
      <c r="AD10">
        <v>176161</v>
      </c>
      <c r="AE10">
        <v>154941</v>
      </c>
      <c r="AF10">
        <v>160047</v>
      </c>
      <c r="AG10">
        <v>142192</v>
      </c>
      <c r="AH10">
        <v>149591</v>
      </c>
      <c r="AI10">
        <v>128245</v>
      </c>
      <c r="AJ10">
        <v>8906</v>
      </c>
      <c r="AK10">
        <v>28994</v>
      </c>
      <c r="AL10">
        <v>4577</v>
      </c>
      <c r="AM10">
        <v>88</v>
      </c>
      <c r="AN10">
        <v>6634</v>
      </c>
      <c r="AO10">
        <v>116</v>
      </c>
      <c r="AP10">
        <v>1</v>
      </c>
      <c r="AQ10">
        <v>3399</v>
      </c>
      <c r="AR10">
        <v>4433</v>
      </c>
      <c r="AS10" s="1">
        <v>22012</v>
      </c>
      <c r="AT10">
        <v>38</v>
      </c>
      <c r="AU10">
        <v>544</v>
      </c>
      <c r="AY10" s="3">
        <v>254</v>
      </c>
      <c r="AZ10" s="3"/>
      <c r="BA10" s="3"/>
      <c r="BB10" s="1">
        <v>1</v>
      </c>
    </row>
    <row r="11" spans="1:55">
      <c r="B11" t="s">
        <v>9</v>
      </c>
      <c r="X11">
        <f>2231875+116090</f>
        <v>2347965</v>
      </c>
      <c r="Y11">
        <f>3245924+92785</f>
        <v>3338709</v>
      </c>
      <c r="Z11">
        <v>1303739</v>
      </c>
      <c r="AA11">
        <v>1251614</v>
      </c>
      <c r="AB11">
        <v>1683643</v>
      </c>
      <c r="AC11">
        <v>1669429</v>
      </c>
      <c r="AD11">
        <v>2840158</v>
      </c>
      <c r="AE11">
        <v>2069248</v>
      </c>
      <c r="AF11">
        <v>1594313</v>
      </c>
      <c r="AG11">
        <f>1624029+1128</f>
        <v>1625157</v>
      </c>
      <c r="AH11">
        <f>1613873+966</f>
        <v>1614839</v>
      </c>
      <c r="AI11">
        <v>1321708</v>
      </c>
      <c r="AJ11">
        <v>1057055</v>
      </c>
      <c r="AK11">
        <v>836899</v>
      </c>
      <c r="AL11">
        <v>716319</v>
      </c>
      <c r="AM11">
        <v>734629</v>
      </c>
      <c r="AN11">
        <v>712864</v>
      </c>
      <c r="AO11">
        <v>860852</v>
      </c>
      <c r="AP11">
        <v>1054906</v>
      </c>
      <c r="AQ11">
        <v>876107</v>
      </c>
      <c r="AR11">
        <v>791931</v>
      </c>
      <c r="AS11" s="1">
        <v>1646131</v>
      </c>
      <c r="AT11">
        <v>3182091</v>
      </c>
      <c r="AU11">
        <v>7724627</v>
      </c>
      <c r="AV11" s="1">
        <v>3596709</v>
      </c>
      <c r="AW11" s="1">
        <v>3495013</v>
      </c>
      <c r="AX11" s="1">
        <v>2930153</v>
      </c>
      <c r="AY11" s="3">
        <v>2290997</v>
      </c>
      <c r="AZ11" s="5">
        <v>3984435</v>
      </c>
      <c r="BA11" s="3">
        <v>6355593</v>
      </c>
      <c r="BB11" s="1">
        <v>5026861</v>
      </c>
    </row>
    <row r="12" spans="1:55">
      <c r="B12" t="s">
        <v>137</v>
      </c>
      <c r="AW12" s="1"/>
      <c r="AX12" s="1"/>
      <c r="AY12" s="3"/>
      <c r="AZ12" s="3"/>
      <c r="BA12" s="3">
        <v>42457</v>
      </c>
      <c r="BB12" s="1">
        <v>283323</v>
      </c>
    </row>
    <row r="13" spans="1:55">
      <c r="B13" t="s">
        <v>134</v>
      </c>
      <c r="C13" t="s">
        <v>140</v>
      </c>
      <c r="AQ13">
        <v>70283</v>
      </c>
      <c r="AR13">
        <v>11288</v>
      </c>
      <c r="AS13" s="1">
        <v>11752</v>
      </c>
      <c r="AT13">
        <v>26017</v>
      </c>
      <c r="AU13">
        <v>1829</v>
      </c>
      <c r="AV13" s="1">
        <v>212</v>
      </c>
      <c r="AW13" s="1">
        <v>20</v>
      </c>
      <c r="AY13" s="3">
        <v>18</v>
      </c>
      <c r="AZ13" s="3">
        <v>2759</v>
      </c>
      <c r="BA13" s="3">
        <v>47937</v>
      </c>
      <c r="BB13" s="1">
        <v>36099</v>
      </c>
    </row>
    <row r="14" spans="1:55">
      <c r="B14" t="s">
        <v>10</v>
      </c>
      <c r="Z14">
        <v>172354</v>
      </c>
      <c r="AA14">
        <v>233508</v>
      </c>
      <c r="AB14">
        <v>341085</v>
      </c>
      <c r="AC14">
        <v>397058</v>
      </c>
      <c r="AD14">
        <v>453364</v>
      </c>
      <c r="AE14">
        <v>424395</v>
      </c>
      <c r="AF14">
        <v>395980</v>
      </c>
      <c r="AG14">
        <v>577328</v>
      </c>
      <c r="AH14">
        <v>542761</v>
      </c>
      <c r="AI14">
        <v>450634</v>
      </c>
      <c r="AJ14">
        <v>377045</v>
      </c>
      <c r="AK14">
        <v>235040</v>
      </c>
      <c r="AL14">
        <v>192226</v>
      </c>
      <c r="AM14">
        <v>259106</v>
      </c>
      <c r="AN14">
        <v>190319</v>
      </c>
      <c r="AO14">
        <v>169554</v>
      </c>
      <c r="AP14">
        <v>225360</v>
      </c>
      <c r="AQ14">
        <v>291497</v>
      </c>
      <c r="AR14">
        <v>277260</v>
      </c>
      <c r="AS14" s="1">
        <v>404900</v>
      </c>
      <c r="AT14">
        <v>644027</v>
      </c>
      <c r="AU14">
        <v>1372553</v>
      </c>
      <c r="AV14" s="1">
        <v>593659</v>
      </c>
      <c r="AW14" s="1">
        <v>1617338</v>
      </c>
      <c r="AX14" s="1">
        <v>1056555</v>
      </c>
      <c r="AY14" s="3">
        <v>1053545</v>
      </c>
      <c r="AZ14" s="3">
        <v>3613463</v>
      </c>
      <c r="BA14" s="3">
        <v>4845189</v>
      </c>
      <c r="BB14" s="1">
        <v>5034714</v>
      </c>
    </row>
    <row r="15" spans="1:55">
      <c r="B15" t="s">
        <v>11</v>
      </c>
      <c r="Z15">
        <v>10469</v>
      </c>
      <c r="AA15">
        <v>9168</v>
      </c>
      <c r="AB15">
        <v>11215</v>
      </c>
      <c r="AC15">
        <v>9547</v>
      </c>
      <c r="AD15">
        <v>9819</v>
      </c>
      <c r="AE15">
        <v>13748</v>
      </c>
      <c r="AF15">
        <v>10666</v>
      </c>
      <c r="AG15">
        <v>18295</v>
      </c>
      <c r="AH15">
        <v>27372</v>
      </c>
      <c r="AI15">
        <v>27743</v>
      </c>
      <c r="AJ15">
        <v>23792</v>
      </c>
      <c r="AK15">
        <v>16938</v>
      </c>
      <c r="AL15">
        <v>9376</v>
      </c>
      <c r="AM15">
        <v>8433</v>
      </c>
      <c r="AN15">
        <v>6320</v>
      </c>
      <c r="AO15">
        <v>12854</v>
      </c>
      <c r="AP15">
        <v>19721</v>
      </c>
      <c r="AQ15">
        <v>9269</v>
      </c>
      <c r="AR15">
        <v>7728</v>
      </c>
      <c r="AS15" s="1">
        <v>6675</v>
      </c>
      <c r="AT15">
        <v>13369</v>
      </c>
      <c r="AU15">
        <v>9466</v>
      </c>
      <c r="AV15" s="1">
        <v>851</v>
      </c>
      <c r="AY15" s="3">
        <v>35310</v>
      </c>
      <c r="AZ15" s="3">
        <v>139730</v>
      </c>
      <c r="BA15" s="3">
        <v>242668</v>
      </c>
      <c r="BB15" s="1">
        <v>207230</v>
      </c>
    </row>
    <row r="16" spans="1:55">
      <c r="B16" t="s">
        <v>12</v>
      </c>
      <c r="C16" t="s">
        <v>128</v>
      </c>
      <c r="Z16">
        <v>110736</v>
      </c>
      <c r="AA16">
        <v>71706</v>
      </c>
      <c r="AB16">
        <v>74302</v>
      </c>
      <c r="AC16">
        <v>103108</v>
      </c>
      <c r="AD16">
        <v>94366</v>
      </c>
      <c r="AE16">
        <v>56986</v>
      </c>
      <c r="AF16">
        <v>37235</v>
      </c>
      <c r="AG16">
        <v>50397</v>
      </c>
      <c r="AH16">
        <v>44429</v>
      </c>
      <c r="AI16">
        <v>34817</v>
      </c>
      <c r="AJ16">
        <v>23474</v>
      </c>
      <c r="AK16">
        <v>40080</v>
      </c>
      <c r="AL16">
        <v>54424</v>
      </c>
      <c r="AM16">
        <v>44853</v>
      </c>
      <c r="AN16">
        <v>98749</v>
      </c>
      <c r="AO16">
        <v>146253</v>
      </c>
      <c r="AP16">
        <v>125935</v>
      </c>
      <c r="AQ16">
        <v>101217</v>
      </c>
      <c r="AR16">
        <v>252128</v>
      </c>
      <c r="AS16" s="1">
        <v>341062</v>
      </c>
      <c r="AT16">
        <v>241787</v>
      </c>
      <c r="AU16">
        <v>134321</v>
      </c>
      <c r="AV16" s="1">
        <v>26522</v>
      </c>
      <c r="AW16" s="1">
        <v>22645</v>
      </c>
      <c r="AX16" s="1">
        <v>2</v>
      </c>
      <c r="AY16" s="3">
        <v>39837</v>
      </c>
      <c r="AZ16" s="3">
        <v>296608</v>
      </c>
      <c r="BA16" s="3">
        <v>562977</v>
      </c>
      <c r="BB16" s="1">
        <v>617832</v>
      </c>
    </row>
    <row r="17" spans="2:54">
      <c r="B17" t="s">
        <v>164</v>
      </c>
      <c r="X17">
        <v>598510</v>
      </c>
      <c r="Y17">
        <v>582183</v>
      </c>
      <c r="AW17" s="1"/>
      <c r="AX17" s="1"/>
      <c r="AY17" s="3"/>
      <c r="AZ17" s="3"/>
      <c r="BA17" s="3"/>
    </row>
    <row r="18" spans="2:54">
      <c r="B18" t="s">
        <v>13</v>
      </c>
      <c r="Z18">
        <v>2104</v>
      </c>
      <c r="AA18">
        <v>2011</v>
      </c>
      <c r="AB18">
        <v>10035</v>
      </c>
      <c r="AC18">
        <v>37500</v>
      </c>
      <c r="AD18">
        <v>40017</v>
      </c>
      <c r="AE18">
        <v>38238</v>
      </c>
      <c r="AF18">
        <v>44170</v>
      </c>
      <c r="AG18">
        <v>44133</v>
      </c>
      <c r="AH18">
        <v>40630</v>
      </c>
      <c r="AI18">
        <v>21341</v>
      </c>
      <c r="AJ18">
        <v>23143</v>
      </c>
      <c r="AK18">
        <v>9186</v>
      </c>
      <c r="AL18">
        <v>12318</v>
      </c>
      <c r="AM18">
        <v>13650</v>
      </c>
      <c r="AN18">
        <v>16498</v>
      </c>
      <c r="AO18">
        <v>21500</v>
      </c>
      <c r="AP18">
        <v>21399</v>
      </c>
      <c r="AQ18">
        <v>5</v>
      </c>
      <c r="AR18">
        <v>12553</v>
      </c>
      <c r="AS18" s="1">
        <v>44</v>
      </c>
      <c r="AT18">
        <v>1712</v>
      </c>
      <c r="AX18" s="1">
        <v>1161</v>
      </c>
      <c r="AY18" s="3">
        <v>3150</v>
      </c>
      <c r="AZ18" s="3"/>
      <c r="BA18" s="3">
        <v>869</v>
      </c>
      <c r="BB18" s="1">
        <v>1488</v>
      </c>
    </row>
    <row r="19" spans="2:54">
      <c r="B19" t="s">
        <v>90</v>
      </c>
      <c r="AH19">
        <v>1</v>
      </c>
      <c r="AI19">
        <v>3616</v>
      </c>
      <c r="AJ19">
        <v>1612</v>
      </c>
      <c r="AY19" s="3"/>
      <c r="AZ19" s="3"/>
      <c r="BA19" s="3"/>
    </row>
    <row r="20" spans="2:54">
      <c r="B20" t="s">
        <v>14</v>
      </c>
      <c r="Z20">
        <v>254</v>
      </c>
      <c r="AA20">
        <v>213</v>
      </c>
      <c r="AB20">
        <v>606</v>
      </c>
      <c r="AC20">
        <v>973</v>
      </c>
      <c r="AD20">
        <v>1071</v>
      </c>
      <c r="AE20">
        <v>2021</v>
      </c>
      <c r="AF20">
        <v>2549</v>
      </c>
      <c r="AG20">
        <v>160</v>
      </c>
      <c r="AY20" s="3"/>
      <c r="AZ20" s="3"/>
      <c r="BA20" s="3"/>
    </row>
    <row r="21" spans="2:54">
      <c r="B21" t="s">
        <v>15</v>
      </c>
      <c r="X21">
        <v>33520</v>
      </c>
      <c r="Y21">
        <v>244952</v>
      </c>
      <c r="Z21">
        <v>108857</v>
      </c>
      <c r="AA21">
        <v>27631</v>
      </c>
      <c r="AB21">
        <v>28250</v>
      </c>
      <c r="AC21">
        <v>29070</v>
      </c>
      <c r="AD21">
        <v>48293</v>
      </c>
      <c r="AE21">
        <v>26508</v>
      </c>
      <c r="AF21">
        <v>27377</v>
      </c>
      <c r="AG21">
        <v>27692</v>
      </c>
      <c r="AH21">
        <v>158882</v>
      </c>
      <c r="AI21">
        <v>70804</v>
      </c>
      <c r="AJ21">
        <v>27104</v>
      </c>
      <c r="AK21">
        <v>49110</v>
      </c>
      <c r="AL21">
        <v>59275</v>
      </c>
      <c r="AM21">
        <v>49447</v>
      </c>
      <c r="AN21">
        <v>47315</v>
      </c>
      <c r="AO21">
        <v>37466</v>
      </c>
      <c r="AP21">
        <v>37675</v>
      </c>
      <c r="AQ21">
        <v>51182</v>
      </c>
      <c r="AR21">
        <v>46625</v>
      </c>
      <c r="AS21" s="1">
        <v>83469</v>
      </c>
      <c r="AT21">
        <v>311408</v>
      </c>
      <c r="AU21">
        <v>1312925</v>
      </c>
      <c r="AV21" s="1">
        <v>531066</v>
      </c>
      <c r="AW21" s="1">
        <v>2413001</v>
      </c>
      <c r="AX21" s="1">
        <v>4613471</v>
      </c>
      <c r="AY21" s="3">
        <v>2961072</v>
      </c>
      <c r="AZ21" s="3">
        <v>927976</v>
      </c>
      <c r="BA21" s="3">
        <v>5388895</v>
      </c>
      <c r="BB21" s="1">
        <v>5868461</v>
      </c>
    </row>
    <row r="22" spans="2:54">
      <c r="B22" t="s">
        <v>16</v>
      </c>
      <c r="Z22">
        <v>26285</v>
      </c>
      <c r="AA22">
        <v>77747</v>
      </c>
      <c r="AB22">
        <v>50125</v>
      </c>
      <c r="AC22">
        <v>102972</v>
      </c>
      <c r="AD22">
        <v>82330</v>
      </c>
      <c r="AE22">
        <v>166704</v>
      </c>
      <c r="AF22">
        <v>127298</v>
      </c>
      <c r="AG22">
        <v>114416</v>
      </c>
      <c r="AH22">
        <v>149541</v>
      </c>
      <c r="AI22">
        <v>80439</v>
      </c>
      <c r="AJ22">
        <v>60561</v>
      </c>
      <c r="AK22">
        <v>72295</v>
      </c>
      <c r="AL22">
        <v>91118</v>
      </c>
      <c r="AM22">
        <v>56337</v>
      </c>
      <c r="AN22">
        <v>62990</v>
      </c>
      <c r="AO22">
        <v>53887</v>
      </c>
      <c r="AP22">
        <v>73596</v>
      </c>
      <c r="AQ22">
        <v>65476</v>
      </c>
      <c r="AR22">
        <v>51906</v>
      </c>
      <c r="AS22" s="1">
        <v>112940</v>
      </c>
      <c r="AT22">
        <v>205426</v>
      </c>
      <c r="AU22">
        <v>353341</v>
      </c>
      <c r="AV22" s="1">
        <v>751979</v>
      </c>
      <c r="AW22" s="1">
        <v>574712</v>
      </c>
      <c r="AX22" s="1">
        <v>220330</v>
      </c>
      <c r="AY22" s="3">
        <v>124546</v>
      </c>
      <c r="AZ22" s="3">
        <v>95660</v>
      </c>
      <c r="BA22" s="3">
        <v>587456</v>
      </c>
      <c r="BB22" s="1">
        <v>231568</v>
      </c>
    </row>
    <row r="23" spans="2:54">
      <c r="B23" t="s">
        <v>17</v>
      </c>
      <c r="Z23">
        <v>1</v>
      </c>
      <c r="AB23">
        <v>1832</v>
      </c>
      <c r="AC23">
        <v>17</v>
      </c>
      <c r="AD23">
        <v>595</v>
      </c>
      <c r="AE23">
        <v>139</v>
      </c>
      <c r="AF23">
        <v>214</v>
      </c>
      <c r="AG23">
        <v>2299</v>
      </c>
      <c r="AH23">
        <v>853</v>
      </c>
      <c r="AI23">
        <v>521</v>
      </c>
      <c r="AJ23">
        <v>97</v>
      </c>
      <c r="AK23">
        <v>1011</v>
      </c>
      <c r="AL23">
        <v>3622</v>
      </c>
      <c r="AM23">
        <v>3499</v>
      </c>
      <c r="AN23">
        <v>1211</v>
      </c>
      <c r="AO23">
        <v>419</v>
      </c>
      <c r="AP23">
        <v>1555</v>
      </c>
      <c r="AQ23">
        <v>1084</v>
      </c>
      <c r="AR23">
        <v>452</v>
      </c>
      <c r="AS23" s="1">
        <v>5302</v>
      </c>
      <c r="AT23">
        <v>10920</v>
      </c>
      <c r="AU23">
        <v>25516</v>
      </c>
      <c r="AV23" s="1">
        <v>1073</v>
      </c>
      <c r="AW23" s="1">
        <v>4472</v>
      </c>
      <c r="AX23" s="1">
        <v>8907</v>
      </c>
      <c r="AY23" s="3">
        <v>16942</v>
      </c>
      <c r="AZ23" s="3">
        <v>58091</v>
      </c>
      <c r="BA23" s="3">
        <v>72293</v>
      </c>
      <c r="BB23" s="1">
        <v>60285</v>
      </c>
    </row>
    <row r="24" spans="2:54">
      <c r="B24" t="s">
        <v>18</v>
      </c>
      <c r="Z24">
        <v>340042</v>
      </c>
      <c r="AA24">
        <v>6850</v>
      </c>
      <c r="AB24">
        <v>7069</v>
      </c>
      <c r="AC24">
        <v>2577</v>
      </c>
      <c r="AD24">
        <v>17957</v>
      </c>
      <c r="AE24">
        <v>91696</v>
      </c>
      <c r="AF24">
        <v>16121</v>
      </c>
      <c r="AG24">
        <v>2034</v>
      </c>
      <c r="AH24">
        <v>2549</v>
      </c>
      <c r="AI24">
        <f>3269+9</f>
        <v>3278</v>
      </c>
      <c r="AJ24">
        <v>14420</v>
      </c>
      <c r="AK24">
        <v>3121</v>
      </c>
      <c r="AL24">
        <v>2855</v>
      </c>
      <c r="AM24">
        <v>2873</v>
      </c>
      <c r="AN24">
        <v>1664</v>
      </c>
      <c r="AO24">
        <v>3990</v>
      </c>
      <c r="AP24">
        <v>3387</v>
      </c>
      <c r="AQ24">
        <v>1611</v>
      </c>
      <c r="AR24">
        <v>2897</v>
      </c>
      <c r="AS24" s="1">
        <v>35296</v>
      </c>
      <c r="AT24">
        <v>424810</v>
      </c>
      <c r="AU24">
        <v>1842369</v>
      </c>
      <c r="AV24" s="1">
        <v>1265277</v>
      </c>
      <c r="AW24" s="1">
        <v>2088347</v>
      </c>
      <c r="AX24" s="1">
        <v>2501811</v>
      </c>
      <c r="AY24" s="3">
        <v>1666861</v>
      </c>
      <c r="AZ24" s="3">
        <v>1238626</v>
      </c>
      <c r="BA24" s="3">
        <v>3676031</v>
      </c>
      <c r="BB24" s="1">
        <v>6607322</v>
      </c>
    </row>
    <row r="25" spans="2:54">
      <c r="B25" t="s">
        <v>165</v>
      </c>
      <c r="X25">
        <v>502142</v>
      </c>
      <c r="Y25">
        <v>1322670</v>
      </c>
      <c r="AW25" s="1"/>
      <c r="AX25" s="1"/>
      <c r="AY25" s="3"/>
      <c r="AZ25" s="3"/>
      <c r="BA25" s="3"/>
    </row>
    <row r="26" spans="2:54">
      <c r="B26" t="s">
        <v>124</v>
      </c>
      <c r="AH26">
        <v>2189696</v>
      </c>
      <c r="AI26">
        <f>1246374+12</f>
        <v>1246386</v>
      </c>
      <c r="AJ26">
        <v>976656</v>
      </c>
      <c r="AK26">
        <v>607372</v>
      </c>
      <c r="AL26">
        <v>50398</v>
      </c>
      <c r="AM26">
        <v>160114</v>
      </c>
      <c r="AN26">
        <v>363179</v>
      </c>
      <c r="AO26">
        <v>185906</v>
      </c>
      <c r="AP26">
        <v>70325</v>
      </c>
      <c r="AQ26">
        <v>207746</v>
      </c>
      <c r="AR26">
        <v>193992</v>
      </c>
      <c r="AS26" s="1">
        <v>360639</v>
      </c>
      <c r="AT26">
        <v>538837</v>
      </c>
      <c r="AU26">
        <v>1783320</v>
      </c>
      <c r="AV26" s="1">
        <v>711098</v>
      </c>
      <c r="AW26" s="1">
        <v>767411</v>
      </c>
      <c r="AX26" s="1">
        <v>609923</v>
      </c>
      <c r="AY26" s="3">
        <v>1004977</v>
      </c>
      <c r="AZ26" s="3">
        <v>1724647</v>
      </c>
      <c r="BA26" s="3">
        <v>3848965</v>
      </c>
      <c r="BB26" s="1">
        <v>8903747</v>
      </c>
    </row>
    <row r="27" spans="2:54">
      <c r="B27" t="s">
        <v>125</v>
      </c>
      <c r="AH27">
        <v>6821</v>
      </c>
      <c r="AI27">
        <v>7477</v>
      </c>
      <c r="AJ27">
        <v>7057</v>
      </c>
      <c r="AK27">
        <v>6837</v>
      </c>
      <c r="AL27">
        <v>9583</v>
      </c>
      <c r="AM27">
        <v>852</v>
      </c>
      <c r="AN27">
        <v>1552</v>
      </c>
      <c r="AO27">
        <v>1219</v>
      </c>
      <c r="AP27">
        <v>2955</v>
      </c>
      <c r="AQ27">
        <v>989</v>
      </c>
      <c r="AR27">
        <v>1787</v>
      </c>
      <c r="AS27" s="1">
        <v>27948</v>
      </c>
      <c r="AT27">
        <v>30781</v>
      </c>
      <c r="AU27">
        <v>100771</v>
      </c>
      <c r="AV27" s="1">
        <v>43735</v>
      </c>
      <c r="AW27" s="1">
        <v>119581</v>
      </c>
      <c r="AX27" s="1">
        <v>11915</v>
      </c>
      <c r="AY27" s="3">
        <v>20045</v>
      </c>
      <c r="AZ27" s="3">
        <v>63826</v>
      </c>
      <c r="BA27" s="3">
        <v>91116</v>
      </c>
      <c r="BB27" s="1">
        <v>107851</v>
      </c>
    </row>
    <row r="28" spans="2:54">
      <c r="B28" t="s">
        <v>19</v>
      </c>
      <c r="X28">
        <f>1848141+482</f>
        <v>1848623</v>
      </c>
      <c r="Y28">
        <f>4900709+15</f>
        <v>4900724</v>
      </c>
      <c r="Z28">
        <v>3159417</v>
      </c>
      <c r="AA28">
        <v>872508</v>
      </c>
      <c r="AB28">
        <v>1361901</v>
      </c>
      <c r="AC28">
        <v>1642156</v>
      </c>
      <c r="AD28">
        <v>2440328</v>
      </c>
      <c r="AE28">
        <v>2046706</v>
      </c>
      <c r="AF28">
        <v>1720469</v>
      </c>
      <c r="AG28">
        <f>1564429+10</f>
        <v>1564439</v>
      </c>
      <c r="AY28" s="3"/>
      <c r="AZ28" s="3"/>
      <c r="BA28" s="3"/>
    </row>
    <row r="29" spans="2:54">
      <c r="B29" t="s">
        <v>20</v>
      </c>
      <c r="AE29">
        <v>1</v>
      </c>
      <c r="AF29">
        <v>6</v>
      </c>
      <c r="AG29">
        <v>3</v>
      </c>
      <c r="AH29">
        <v>1</v>
      </c>
      <c r="AY29" s="3"/>
      <c r="AZ29" s="3"/>
      <c r="BA29" s="3"/>
    </row>
    <row r="30" spans="2:54">
      <c r="B30" t="s">
        <v>21</v>
      </c>
      <c r="C30" t="s">
        <v>136</v>
      </c>
      <c r="Z30">
        <v>50921</v>
      </c>
      <c r="AA30">
        <v>79818</v>
      </c>
      <c r="AB30">
        <v>99835</v>
      </c>
      <c r="AC30">
        <v>123231</v>
      </c>
      <c r="AD30">
        <v>193586</v>
      </c>
      <c r="AE30">
        <v>208928</v>
      </c>
      <c r="AF30">
        <v>161838</v>
      </c>
      <c r="AG30">
        <v>134354</v>
      </c>
      <c r="AH30">
        <v>160253</v>
      </c>
      <c r="AI30">
        <v>146431</v>
      </c>
      <c r="AJ30">
        <v>114155</v>
      </c>
      <c r="AK30">
        <v>84825</v>
      </c>
      <c r="AL30">
        <v>94747</v>
      </c>
      <c r="AM30">
        <v>68200</v>
      </c>
      <c r="AN30">
        <v>67043</v>
      </c>
      <c r="AO30">
        <v>48094</v>
      </c>
      <c r="AP30">
        <v>44501</v>
      </c>
      <c r="AQ30">
        <v>22176</v>
      </c>
      <c r="AR30">
        <v>7222</v>
      </c>
      <c r="AS30" s="1">
        <v>2519</v>
      </c>
      <c r="AT30">
        <v>106</v>
      </c>
      <c r="AU30">
        <v>13734</v>
      </c>
      <c r="AV30" s="1">
        <v>61738</v>
      </c>
      <c r="AW30" s="1">
        <v>94572</v>
      </c>
      <c r="AX30" s="1">
        <v>1443611</v>
      </c>
      <c r="AY30" s="3">
        <v>983017</v>
      </c>
      <c r="AZ30" s="3">
        <v>416691</v>
      </c>
      <c r="BA30" s="3">
        <v>239944</v>
      </c>
      <c r="BB30" s="1">
        <v>198827</v>
      </c>
    </row>
    <row r="31" spans="2:54">
      <c r="B31" t="s">
        <v>22</v>
      </c>
      <c r="Z31">
        <v>17183</v>
      </c>
      <c r="AA31">
        <v>13726</v>
      </c>
      <c r="AB31">
        <v>5277</v>
      </c>
      <c r="AC31">
        <v>5188</v>
      </c>
      <c r="AD31">
        <v>4789</v>
      </c>
      <c r="AE31">
        <v>7559</v>
      </c>
      <c r="AF31">
        <v>3435</v>
      </c>
      <c r="AG31">
        <f>1994+15</f>
        <v>2009</v>
      </c>
      <c r="AH31">
        <v>3683</v>
      </c>
      <c r="AI31">
        <v>6773</v>
      </c>
      <c r="AJ31">
        <v>5052</v>
      </c>
      <c r="AK31">
        <v>1162</v>
      </c>
      <c r="AL31">
        <v>384</v>
      </c>
      <c r="AM31">
        <v>1075</v>
      </c>
      <c r="AN31">
        <v>1689</v>
      </c>
      <c r="AO31">
        <v>459</v>
      </c>
      <c r="AP31">
        <v>1007</v>
      </c>
      <c r="AQ31">
        <v>572</v>
      </c>
      <c r="AR31">
        <v>1069</v>
      </c>
      <c r="AS31" s="1">
        <v>191</v>
      </c>
      <c r="AT31">
        <v>4</v>
      </c>
      <c r="AU31">
        <v>22</v>
      </c>
      <c r="AV31" s="1">
        <v>7</v>
      </c>
      <c r="AY31" s="3">
        <v>1</v>
      </c>
      <c r="AZ31" s="3">
        <v>66</v>
      </c>
      <c r="BA31" s="3">
        <v>4</v>
      </c>
    </row>
    <row r="32" spans="2:54">
      <c r="B32" t="s">
        <v>23</v>
      </c>
      <c r="Z32">
        <v>97077</v>
      </c>
      <c r="AA32">
        <v>144157</v>
      </c>
      <c r="AB32">
        <v>133313</v>
      </c>
      <c r="AC32">
        <v>153222</v>
      </c>
      <c r="AD32">
        <v>202320</v>
      </c>
      <c r="AE32">
        <v>375774</v>
      </c>
      <c r="AF32">
        <v>256056</v>
      </c>
      <c r="AG32">
        <v>268329</v>
      </c>
      <c r="AY32" s="3"/>
      <c r="AZ32" s="3"/>
      <c r="BA32" s="3"/>
    </row>
    <row r="33" spans="2:54">
      <c r="B33" t="s">
        <v>24</v>
      </c>
      <c r="Z33">
        <v>1540489</v>
      </c>
      <c r="AA33">
        <v>96569</v>
      </c>
      <c r="AB33">
        <v>2898</v>
      </c>
      <c r="AC33">
        <v>17020</v>
      </c>
      <c r="AD33">
        <v>26256</v>
      </c>
      <c r="AE33">
        <v>20253</v>
      </c>
      <c r="AF33">
        <v>23305</v>
      </c>
      <c r="AG33">
        <v>28342</v>
      </c>
      <c r="AH33">
        <v>32342</v>
      </c>
      <c r="AI33">
        <f>13573+1</f>
        <v>13574</v>
      </c>
      <c r="AJ33">
        <v>18564</v>
      </c>
      <c r="AK33">
        <v>11547</v>
      </c>
      <c r="AL33">
        <v>11440</v>
      </c>
      <c r="AM33">
        <v>16209</v>
      </c>
      <c r="AN33">
        <v>21858</v>
      </c>
      <c r="AO33">
        <v>33610</v>
      </c>
      <c r="AP33">
        <v>48101</v>
      </c>
      <c r="AQ33">
        <v>52348</v>
      </c>
      <c r="AR33">
        <v>38213</v>
      </c>
      <c r="AS33" s="1">
        <v>41326</v>
      </c>
      <c r="AT33">
        <v>83353</v>
      </c>
      <c r="AU33">
        <v>58571</v>
      </c>
      <c r="AV33" s="1">
        <v>6038</v>
      </c>
      <c r="AW33" s="1">
        <v>27507</v>
      </c>
      <c r="AX33" s="1">
        <v>2524</v>
      </c>
      <c r="AY33" s="3">
        <v>261649</v>
      </c>
      <c r="AZ33" s="3">
        <v>322876</v>
      </c>
      <c r="BA33" s="3">
        <v>1680018</v>
      </c>
      <c r="BB33" s="1">
        <v>1287085</v>
      </c>
    </row>
    <row r="34" spans="2:54">
      <c r="B34" t="s">
        <v>25</v>
      </c>
      <c r="X34">
        <v>4840</v>
      </c>
      <c r="Y34">
        <v>310090</v>
      </c>
      <c r="Z34">
        <v>234397</v>
      </c>
      <c r="AA34">
        <v>509063</v>
      </c>
      <c r="AB34">
        <v>439170</v>
      </c>
      <c r="AC34">
        <v>503309</v>
      </c>
      <c r="AD34">
        <v>675009</v>
      </c>
      <c r="AE34">
        <v>658389</v>
      </c>
      <c r="AF34">
        <v>571466</v>
      </c>
      <c r="AG34">
        <v>632239</v>
      </c>
      <c r="AH34">
        <f>671821+45</f>
        <v>671866</v>
      </c>
      <c r="AI34">
        <f>599403+36</f>
        <v>599439</v>
      </c>
      <c r="AJ34">
        <v>376527</v>
      </c>
      <c r="AK34">
        <v>257105</v>
      </c>
      <c r="AL34">
        <v>238601</v>
      </c>
      <c r="AM34">
        <v>286634</v>
      </c>
      <c r="AN34">
        <v>270239</v>
      </c>
      <c r="AO34">
        <v>293072</v>
      </c>
      <c r="AP34">
        <v>371145</v>
      </c>
      <c r="AQ34">
        <v>232028</v>
      </c>
      <c r="AY34" s="3"/>
      <c r="AZ34" s="3"/>
      <c r="BA34" s="3">
        <v>274700</v>
      </c>
      <c r="BB34" s="1">
        <v>2003934</v>
      </c>
    </row>
    <row r="35" spans="2:54">
      <c r="B35" t="s">
        <v>26</v>
      </c>
      <c r="X35">
        <v>202710</v>
      </c>
      <c r="Y35">
        <f>1925809+1354</f>
        <v>1927163</v>
      </c>
      <c r="Z35">
        <v>1210124</v>
      </c>
      <c r="AA35">
        <v>1408822</v>
      </c>
      <c r="AB35">
        <v>1544457</v>
      </c>
      <c r="AC35">
        <v>1898354</v>
      </c>
      <c r="AD35">
        <v>2124393</v>
      </c>
      <c r="AE35">
        <v>2216889</v>
      </c>
      <c r="AF35">
        <v>2058188</v>
      </c>
      <c r="AY35" s="3"/>
      <c r="AZ35" s="3"/>
      <c r="BA35" s="3"/>
    </row>
    <row r="36" spans="2:54">
      <c r="B36" t="s">
        <v>94</v>
      </c>
      <c r="AG36">
        <f>1996416+1595</f>
        <v>1998011</v>
      </c>
      <c r="AH36">
        <f>2357092+1507</f>
        <v>2358599</v>
      </c>
      <c r="AI36">
        <f>1849396+1148</f>
        <v>1850544</v>
      </c>
      <c r="AJ36">
        <v>1219450</v>
      </c>
      <c r="AK36">
        <v>1268618</v>
      </c>
      <c r="AL36">
        <v>1306075</v>
      </c>
      <c r="AM36">
        <v>1671666</v>
      </c>
      <c r="AN36">
        <v>1579359</v>
      </c>
      <c r="AO36">
        <v>1733413</v>
      </c>
      <c r="AP36">
        <v>2288689</v>
      </c>
      <c r="AQ36">
        <v>2069051</v>
      </c>
      <c r="AR36">
        <v>1693160</v>
      </c>
      <c r="AS36" s="1">
        <v>1308277</v>
      </c>
      <c r="AT36">
        <v>30129</v>
      </c>
      <c r="AU36">
        <v>9097</v>
      </c>
      <c r="AV36" s="1">
        <v>80</v>
      </c>
      <c r="AX36">
        <v>8314</v>
      </c>
      <c r="AY36" s="3">
        <v>2235584</v>
      </c>
      <c r="AZ36" s="3">
        <v>5726975</v>
      </c>
      <c r="BA36" s="3">
        <v>7637837</v>
      </c>
      <c r="BB36" s="1">
        <v>5525420</v>
      </c>
    </row>
    <row r="37" spans="2:54">
      <c r="B37" t="s">
        <v>107</v>
      </c>
      <c r="AH37">
        <v>1099</v>
      </c>
      <c r="AI37">
        <v>175</v>
      </c>
      <c r="AJ37">
        <v>57</v>
      </c>
      <c r="AK37">
        <v>324</v>
      </c>
      <c r="AL37">
        <v>136</v>
      </c>
      <c r="AM37">
        <v>36</v>
      </c>
      <c r="AN37">
        <v>15</v>
      </c>
      <c r="AO37">
        <v>29</v>
      </c>
      <c r="AP37">
        <v>25</v>
      </c>
      <c r="AQ37">
        <v>32</v>
      </c>
      <c r="AR37">
        <v>16</v>
      </c>
      <c r="AS37" s="1">
        <v>24</v>
      </c>
      <c r="AT37">
        <v>1447</v>
      </c>
      <c r="AU37">
        <v>8938</v>
      </c>
      <c r="AV37" s="1">
        <v>6703</v>
      </c>
      <c r="AW37" s="1">
        <v>1268</v>
      </c>
      <c r="AX37" s="1">
        <v>11208</v>
      </c>
      <c r="AY37" s="3">
        <v>193</v>
      </c>
      <c r="AZ37" s="3">
        <v>13740</v>
      </c>
      <c r="BA37" s="3">
        <v>30</v>
      </c>
      <c r="BB37" s="1">
        <v>59</v>
      </c>
    </row>
    <row r="38" spans="2:54">
      <c r="B38" t="s">
        <v>27</v>
      </c>
      <c r="Z38">
        <v>3</v>
      </c>
      <c r="AA38">
        <v>9</v>
      </c>
      <c r="AB38">
        <v>21</v>
      </c>
      <c r="AC38">
        <v>20</v>
      </c>
      <c r="AD38">
        <v>10</v>
      </c>
      <c r="AE38">
        <v>57</v>
      </c>
      <c r="AF38">
        <v>42</v>
      </c>
      <c r="AG38">
        <v>430</v>
      </c>
      <c r="AY38" s="3"/>
      <c r="AZ38" s="3"/>
      <c r="BA38" s="3"/>
    </row>
    <row r="39" spans="2:54">
      <c r="B39" t="s">
        <v>28</v>
      </c>
      <c r="AF39">
        <v>1</v>
      </c>
      <c r="AY39" s="3"/>
      <c r="AZ39" s="3"/>
      <c r="BA39" s="3"/>
    </row>
    <row r="40" spans="2:54">
      <c r="B40" t="s">
        <v>29</v>
      </c>
      <c r="Z40">
        <v>324900</v>
      </c>
      <c r="AA40">
        <v>393011</v>
      </c>
      <c r="AB40">
        <v>398535</v>
      </c>
      <c r="AC40">
        <v>569994</v>
      </c>
      <c r="AD40">
        <v>336089</v>
      </c>
      <c r="AE40">
        <v>479153</v>
      </c>
      <c r="AF40">
        <v>426223</v>
      </c>
      <c r="AG40">
        <f>362319+6</f>
        <v>362325</v>
      </c>
      <c r="AH40">
        <f>368397+144</f>
        <v>368541</v>
      </c>
      <c r="AI40">
        <f>338644+61</f>
        <v>338705</v>
      </c>
      <c r="AJ40">
        <v>202119</v>
      </c>
      <c r="AK40">
        <v>193672</v>
      </c>
      <c r="AL40">
        <v>200046</v>
      </c>
      <c r="AM40">
        <v>155272</v>
      </c>
      <c r="AN40">
        <v>163530</v>
      </c>
      <c r="AO40">
        <v>141913</v>
      </c>
      <c r="AP40">
        <v>170624</v>
      </c>
      <c r="AQ40">
        <v>181843</v>
      </c>
      <c r="AR40">
        <v>175518</v>
      </c>
      <c r="AS40" s="1">
        <v>205947</v>
      </c>
      <c r="AT40">
        <v>222210</v>
      </c>
      <c r="AU40">
        <v>47677</v>
      </c>
      <c r="AV40" s="1">
        <v>58413</v>
      </c>
      <c r="AW40" s="1">
        <v>16394</v>
      </c>
      <c r="AX40" s="1">
        <v>373369</v>
      </c>
      <c r="AY40" s="3">
        <v>1041638</v>
      </c>
      <c r="AZ40" s="3">
        <v>1115622</v>
      </c>
      <c r="BA40" s="3">
        <v>1065721</v>
      </c>
      <c r="BB40" s="1">
        <v>935780</v>
      </c>
    </row>
    <row r="41" spans="2:54">
      <c r="B41" t="s">
        <v>30</v>
      </c>
      <c r="Z41">
        <v>72288</v>
      </c>
      <c r="AA41">
        <v>93845</v>
      </c>
      <c r="AB41">
        <v>42678</v>
      </c>
      <c r="AC41">
        <v>75061</v>
      </c>
      <c r="AD41">
        <v>117049</v>
      </c>
      <c r="AE41">
        <v>107804</v>
      </c>
      <c r="AF41">
        <v>175858</v>
      </c>
      <c r="AG41">
        <f>27500+140152</f>
        <v>167652</v>
      </c>
      <c r="AH41">
        <f>45306+117423</f>
        <v>162729</v>
      </c>
      <c r="AI41">
        <f>77637+84831</f>
        <v>162468</v>
      </c>
      <c r="AJ41">
        <v>246104</v>
      </c>
      <c r="AK41">
        <v>226234</v>
      </c>
      <c r="AL41">
        <v>113689</v>
      </c>
      <c r="AM41">
        <v>144177</v>
      </c>
      <c r="AN41">
        <v>173305</v>
      </c>
      <c r="AO41">
        <v>190835</v>
      </c>
      <c r="AP41">
        <v>202011</v>
      </c>
      <c r="AQ41">
        <v>190796</v>
      </c>
      <c r="AR41">
        <v>118013</v>
      </c>
      <c r="AS41" s="1">
        <v>118450</v>
      </c>
      <c r="AT41">
        <v>64930</v>
      </c>
      <c r="AU41">
        <v>31821</v>
      </c>
      <c r="AV41" s="1">
        <v>29943</v>
      </c>
      <c r="AW41" s="1">
        <v>16900</v>
      </c>
      <c r="AX41" s="1">
        <v>12730</v>
      </c>
      <c r="AY41" s="3">
        <v>18114</v>
      </c>
      <c r="AZ41" s="3">
        <v>102745</v>
      </c>
      <c r="BA41" s="3">
        <v>472044</v>
      </c>
      <c r="BB41" s="1">
        <v>287566</v>
      </c>
    </row>
    <row r="42" spans="2:54">
      <c r="B42" t="s">
        <v>31</v>
      </c>
      <c r="Z42">
        <v>267472</v>
      </c>
      <c r="AA42">
        <v>983070</v>
      </c>
      <c r="AB42">
        <v>782986</v>
      </c>
      <c r="AC42">
        <v>1389609</v>
      </c>
      <c r="AD42">
        <v>1850889</v>
      </c>
      <c r="AE42">
        <v>1782643</v>
      </c>
      <c r="AF42">
        <v>1428932</v>
      </c>
      <c r="AG42">
        <v>1800940</v>
      </c>
      <c r="AH42">
        <v>1748476</v>
      </c>
      <c r="AI42">
        <v>1517044</v>
      </c>
      <c r="AJ42">
        <v>993000</v>
      </c>
      <c r="AK42">
        <v>568867</v>
      </c>
      <c r="AL42">
        <v>608623</v>
      </c>
      <c r="AM42">
        <v>821498</v>
      </c>
      <c r="AN42">
        <v>789623</v>
      </c>
      <c r="AO42">
        <v>931053</v>
      </c>
      <c r="AP42">
        <v>1356336</v>
      </c>
      <c r="AQ42">
        <v>976741</v>
      </c>
      <c r="AR42">
        <v>1327591</v>
      </c>
      <c r="AS42" s="1">
        <v>2350088</v>
      </c>
      <c r="AU42">
        <v>2736572</v>
      </c>
      <c r="AV42" s="1">
        <v>3165055</v>
      </c>
      <c r="AW42" s="1">
        <v>4480517</v>
      </c>
      <c r="AX42" s="1">
        <v>3024239</v>
      </c>
      <c r="AY42" s="5">
        <v>2149242</v>
      </c>
      <c r="AZ42" s="3">
        <v>4531040</v>
      </c>
      <c r="BA42" s="3">
        <v>4998287</v>
      </c>
      <c r="BB42" s="1">
        <v>5849722</v>
      </c>
    </row>
    <row r="43" spans="2:54">
      <c r="B43" t="s">
        <v>32</v>
      </c>
      <c r="X43">
        <f>474438+842832</f>
        <v>1317270</v>
      </c>
      <c r="Y43">
        <f>1517851+807856</f>
        <v>2325707</v>
      </c>
      <c r="Z43">
        <v>1082203</v>
      </c>
      <c r="AA43">
        <v>577375</v>
      </c>
      <c r="AB43">
        <v>699024</v>
      </c>
      <c r="AC43">
        <v>892252</v>
      </c>
      <c r="AD43">
        <v>764654</v>
      </c>
      <c r="AE43">
        <v>450073</v>
      </c>
      <c r="AF43">
        <v>312980</v>
      </c>
      <c r="AG43">
        <f>250203+32975</f>
        <v>283178</v>
      </c>
      <c r="AH43">
        <f>242662+109379</f>
        <v>352041</v>
      </c>
      <c r="AI43">
        <f>203092+103863</f>
        <v>306955</v>
      </c>
      <c r="AJ43">
        <v>232274</v>
      </c>
      <c r="AK43">
        <v>172157</v>
      </c>
      <c r="AL43">
        <v>158293</v>
      </c>
      <c r="AM43">
        <v>142530</v>
      </c>
      <c r="AN43">
        <v>153073</v>
      </c>
      <c r="AO43">
        <v>182757</v>
      </c>
      <c r="AP43">
        <v>141547</v>
      </c>
      <c r="AQ43">
        <v>155747</v>
      </c>
      <c r="AR43">
        <v>161858</v>
      </c>
      <c r="AS43" s="1">
        <v>136325</v>
      </c>
      <c r="AT43">
        <v>167016</v>
      </c>
      <c r="AU43">
        <v>307655</v>
      </c>
      <c r="AV43" s="1">
        <v>102143</v>
      </c>
      <c r="AW43" s="1">
        <v>93385</v>
      </c>
      <c r="AX43" s="1">
        <v>55791</v>
      </c>
      <c r="AY43" s="3">
        <v>172489</v>
      </c>
      <c r="AZ43" s="5">
        <v>427246</v>
      </c>
      <c r="BA43" s="3">
        <v>185572</v>
      </c>
      <c r="BB43" s="1">
        <v>186085</v>
      </c>
    </row>
    <row r="44" spans="2:54">
      <c r="B44" t="s">
        <v>33</v>
      </c>
      <c r="AB44">
        <v>56</v>
      </c>
      <c r="AC44">
        <v>11</v>
      </c>
      <c r="AE44">
        <v>3</v>
      </c>
      <c r="AF44">
        <v>12</v>
      </c>
      <c r="AG44">
        <v>31</v>
      </c>
      <c r="AH44">
        <v>34</v>
      </c>
      <c r="AI44">
        <v>5</v>
      </c>
      <c r="AJ44">
        <v>24</v>
      </c>
      <c r="AK44">
        <v>6</v>
      </c>
      <c r="AL44">
        <v>37</v>
      </c>
      <c r="AM44">
        <v>265</v>
      </c>
      <c r="AN44">
        <v>32</v>
      </c>
      <c r="AO44">
        <v>219</v>
      </c>
      <c r="AP44">
        <v>214</v>
      </c>
      <c r="AQ44">
        <v>51</v>
      </c>
      <c r="AR44">
        <v>2</v>
      </c>
      <c r="AS44" s="1">
        <v>2</v>
      </c>
      <c r="AX44" s="1">
        <v>4</v>
      </c>
      <c r="AY44" s="3">
        <v>1</v>
      </c>
      <c r="AZ44" s="3">
        <v>1</v>
      </c>
      <c r="BA44" s="3">
        <v>2</v>
      </c>
      <c r="BB44" s="1">
        <v>628</v>
      </c>
    </row>
    <row r="45" spans="2:54">
      <c r="B45" t="s">
        <v>34</v>
      </c>
      <c r="Z45">
        <v>2196</v>
      </c>
      <c r="AA45">
        <v>3008</v>
      </c>
      <c r="AB45">
        <v>1942</v>
      </c>
      <c r="AC45">
        <v>1638</v>
      </c>
      <c r="AD45">
        <v>4537</v>
      </c>
      <c r="AE45">
        <v>2445</v>
      </c>
      <c r="AF45">
        <v>5045</v>
      </c>
      <c r="AG45">
        <v>3794</v>
      </c>
      <c r="AH45">
        <v>5822</v>
      </c>
      <c r="AI45">
        <v>4407</v>
      </c>
      <c r="AJ45">
        <v>3567</v>
      </c>
      <c r="AK45">
        <v>2844</v>
      </c>
      <c r="AL45">
        <v>2421</v>
      </c>
      <c r="AM45">
        <v>672</v>
      </c>
      <c r="AN45">
        <v>19462</v>
      </c>
      <c r="AO45">
        <v>28223</v>
      </c>
      <c r="AP45">
        <v>1456</v>
      </c>
      <c r="AQ45">
        <v>1423</v>
      </c>
      <c r="AR45">
        <v>1161</v>
      </c>
      <c r="AS45" s="1">
        <v>55015</v>
      </c>
      <c r="AT45">
        <v>6282</v>
      </c>
      <c r="AU45">
        <v>7697</v>
      </c>
      <c r="AV45" s="1">
        <v>6484</v>
      </c>
      <c r="AW45" s="1">
        <v>15554</v>
      </c>
      <c r="AX45" s="1">
        <v>31217</v>
      </c>
      <c r="AY45" s="3">
        <v>20432</v>
      </c>
      <c r="AZ45" s="3">
        <v>13478</v>
      </c>
      <c r="BA45" s="3">
        <v>5136</v>
      </c>
      <c r="BB45" s="1">
        <v>35442</v>
      </c>
    </row>
    <row r="46" spans="2:54">
      <c r="B46" t="s">
        <v>35</v>
      </c>
      <c r="Z46">
        <v>272561</v>
      </c>
      <c r="AA46">
        <v>421033</v>
      </c>
      <c r="AB46">
        <v>488630</v>
      </c>
      <c r="AC46">
        <v>900678</v>
      </c>
      <c r="AD46">
        <v>1224117</v>
      </c>
      <c r="AE46">
        <v>1280608</v>
      </c>
      <c r="AF46">
        <v>970452</v>
      </c>
      <c r="AG46">
        <v>1307998</v>
      </c>
      <c r="AH46">
        <f>1382861+4</f>
        <v>1382865</v>
      </c>
      <c r="AI46">
        <v>1582279</v>
      </c>
      <c r="AJ46">
        <v>469926</v>
      </c>
      <c r="AK46">
        <v>360018</v>
      </c>
      <c r="AL46">
        <v>408161</v>
      </c>
      <c r="AM46">
        <v>391655</v>
      </c>
      <c r="AN46">
        <v>411088</v>
      </c>
      <c r="AO46">
        <v>520667</v>
      </c>
      <c r="AP46">
        <v>738092</v>
      </c>
      <c r="AQ46">
        <v>577191</v>
      </c>
      <c r="AR46">
        <v>313401</v>
      </c>
      <c r="AS46" s="1">
        <v>5224</v>
      </c>
      <c r="AT46">
        <v>1403</v>
      </c>
      <c r="AU46">
        <v>474</v>
      </c>
      <c r="AY46" s="5">
        <v>176836</v>
      </c>
      <c r="AZ46" s="3">
        <v>1962529</v>
      </c>
      <c r="BA46" s="3">
        <v>2276647</v>
      </c>
      <c r="BB46" s="1">
        <v>1627426</v>
      </c>
    </row>
    <row r="47" spans="2:54">
      <c r="B47" t="s">
        <v>36</v>
      </c>
      <c r="Z47">
        <v>9301</v>
      </c>
      <c r="AA47">
        <v>13343</v>
      </c>
      <c r="AB47">
        <v>7672</v>
      </c>
      <c r="AC47">
        <v>16451</v>
      </c>
      <c r="AD47">
        <v>17823</v>
      </c>
      <c r="AE47">
        <v>20318</v>
      </c>
      <c r="AF47">
        <v>11304</v>
      </c>
      <c r="AG47">
        <v>13900</v>
      </c>
      <c r="AH47">
        <v>63075</v>
      </c>
      <c r="AI47">
        <v>75870</v>
      </c>
      <c r="AJ47">
        <v>21690</v>
      </c>
      <c r="AK47">
        <v>27820</v>
      </c>
      <c r="AL47">
        <v>65817</v>
      </c>
      <c r="AM47">
        <v>75430</v>
      </c>
      <c r="AN47">
        <v>66325</v>
      </c>
      <c r="AO47">
        <v>75154</v>
      </c>
      <c r="AP47">
        <v>114351</v>
      </c>
      <c r="AQ47">
        <v>93364</v>
      </c>
      <c r="AR47">
        <v>80201</v>
      </c>
      <c r="AS47" s="1">
        <v>36009</v>
      </c>
      <c r="AT47">
        <v>426</v>
      </c>
      <c r="AU47">
        <v>120</v>
      </c>
      <c r="AY47" s="3">
        <v>77652</v>
      </c>
      <c r="AZ47" s="3">
        <v>253660</v>
      </c>
      <c r="BA47" s="3">
        <v>530738</v>
      </c>
      <c r="BB47" s="1">
        <v>879401</v>
      </c>
    </row>
    <row r="48" spans="2:54">
      <c r="B48" t="s">
        <v>37</v>
      </c>
      <c r="Z48">
        <v>4</v>
      </c>
      <c r="AA48">
        <v>5</v>
      </c>
      <c r="AF48">
        <v>28</v>
      </c>
      <c r="AG48">
        <v>78</v>
      </c>
      <c r="AH48">
        <v>23</v>
      </c>
      <c r="AI48">
        <v>45</v>
      </c>
      <c r="AY48" s="3"/>
      <c r="AZ48" s="3"/>
      <c r="BA48" s="3"/>
    </row>
    <row r="49" spans="2:54">
      <c r="B49" t="s">
        <v>95</v>
      </c>
      <c r="AI49">
        <v>2</v>
      </c>
      <c r="AJ49">
        <v>91</v>
      </c>
      <c r="AK49">
        <v>7</v>
      </c>
      <c r="AL49">
        <v>224</v>
      </c>
      <c r="AM49">
        <v>2426</v>
      </c>
      <c r="AN49">
        <v>1973</v>
      </c>
      <c r="AO49">
        <v>511</v>
      </c>
      <c r="AP49">
        <v>2695</v>
      </c>
      <c r="AQ49">
        <v>6263</v>
      </c>
      <c r="AR49">
        <v>1800</v>
      </c>
      <c r="AS49" s="1">
        <v>3366</v>
      </c>
      <c r="AY49" s="3">
        <v>816</v>
      </c>
      <c r="AZ49" s="3"/>
      <c r="BA49" s="3">
        <v>669</v>
      </c>
      <c r="BB49" s="1">
        <v>2</v>
      </c>
    </row>
    <row r="50" spans="2:54">
      <c r="B50" t="s">
        <v>38</v>
      </c>
      <c r="Z50">
        <v>134178</v>
      </c>
      <c r="AA50">
        <v>380508</v>
      </c>
      <c r="AB50">
        <v>356078</v>
      </c>
      <c r="AC50">
        <v>472480</v>
      </c>
      <c r="AD50">
        <v>542935</v>
      </c>
      <c r="AE50">
        <v>432969</v>
      </c>
      <c r="AF50">
        <v>407329</v>
      </c>
      <c r="AG50">
        <v>266309</v>
      </c>
      <c r="AH50">
        <v>463877</v>
      </c>
      <c r="AI50">
        <v>561588</v>
      </c>
      <c r="AJ50">
        <v>89374</v>
      </c>
      <c r="AK50">
        <v>146158</v>
      </c>
      <c r="AL50">
        <v>203082</v>
      </c>
      <c r="AM50">
        <v>302259</v>
      </c>
      <c r="AN50">
        <v>275302</v>
      </c>
      <c r="AO50">
        <v>250216</v>
      </c>
      <c r="AP50">
        <v>511214</v>
      </c>
      <c r="AQ50">
        <v>404285</v>
      </c>
      <c r="AR50">
        <v>296569</v>
      </c>
      <c r="AS50" s="1">
        <v>86224</v>
      </c>
      <c r="AT50">
        <v>39</v>
      </c>
      <c r="AY50" s="3">
        <v>409721</v>
      </c>
      <c r="AZ50" s="3">
        <v>1333881</v>
      </c>
      <c r="BA50" s="3">
        <v>1963400</v>
      </c>
      <c r="BB50" s="1">
        <v>2992993</v>
      </c>
    </row>
    <row r="51" spans="2:54">
      <c r="B51" t="s">
        <v>39</v>
      </c>
      <c r="Z51">
        <v>4167311</v>
      </c>
      <c r="AA51">
        <v>4020633</v>
      </c>
      <c r="AB51">
        <v>3825716</v>
      </c>
      <c r="AC51">
        <v>4688718</v>
      </c>
      <c r="AD51">
        <v>5399682</v>
      </c>
      <c r="AE51">
        <v>5676480</v>
      </c>
      <c r="AF51">
        <v>5337640</v>
      </c>
      <c r="AG51">
        <f>5294583+1323</f>
        <v>5295906</v>
      </c>
      <c r="AH51">
        <f>5539595+852</f>
        <v>5540447</v>
      </c>
      <c r="AI51">
        <f>4477660+452</f>
        <v>4478112</v>
      </c>
      <c r="AJ51">
        <v>3097814</v>
      </c>
      <c r="AK51">
        <v>1971464</v>
      </c>
      <c r="AL51">
        <v>1897338</v>
      </c>
      <c r="AM51">
        <v>1625985</v>
      </c>
      <c r="AN51">
        <v>1693937</v>
      </c>
      <c r="AO51">
        <v>1649720</v>
      </c>
      <c r="AP51">
        <v>1701043</v>
      </c>
      <c r="AQ51">
        <v>1956474</v>
      </c>
      <c r="AR51">
        <v>1989887</v>
      </c>
      <c r="AS51" s="1">
        <v>1266062</v>
      </c>
      <c r="AT51">
        <v>59972</v>
      </c>
      <c r="AU51">
        <v>45342</v>
      </c>
      <c r="AV51" s="1">
        <v>537</v>
      </c>
      <c r="AW51" s="1">
        <v>3602</v>
      </c>
      <c r="AX51" s="1">
        <v>19942</v>
      </c>
      <c r="AY51" s="3">
        <v>3179089</v>
      </c>
      <c r="AZ51" s="3">
        <v>6626159</v>
      </c>
      <c r="BA51" s="3">
        <v>8374294</v>
      </c>
      <c r="BB51" s="1">
        <v>10488004</v>
      </c>
    </row>
    <row r="52" spans="2:54">
      <c r="B52" t="s">
        <v>166</v>
      </c>
      <c r="X52">
        <f>2447287+578</f>
        <v>2447865</v>
      </c>
      <c r="Y52">
        <f>6293198+1387</f>
        <v>6294585</v>
      </c>
      <c r="AW52" s="1"/>
      <c r="AX52" s="1"/>
      <c r="AY52" s="3"/>
      <c r="AZ52" s="3"/>
      <c r="BA52" s="3"/>
    </row>
    <row r="53" spans="2:54">
      <c r="B53" t="s">
        <v>40</v>
      </c>
      <c r="Z53">
        <v>7439</v>
      </c>
      <c r="AA53">
        <v>4629</v>
      </c>
      <c r="AB53">
        <v>10391</v>
      </c>
      <c r="AC53">
        <v>3632</v>
      </c>
      <c r="AD53">
        <v>22650</v>
      </c>
      <c r="AE53">
        <v>21176</v>
      </c>
      <c r="AF53">
        <v>26111</v>
      </c>
      <c r="AG53">
        <f>32506+303</f>
        <v>32809</v>
      </c>
      <c r="AH53">
        <f>51284+137</f>
        <v>51421</v>
      </c>
      <c r="AI53">
        <f>38738+134</f>
        <v>38872</v>
      </c>
      <c r="AJ53">
        <v>21435</v>
      </c>
      <c r="AK53">
        <v>18670</v>
      </c>
      <c r="AL53">
        <v>32396</v>
      </c>
      <c r="AM53">
        <v>50466</v>
      </c>
      <c r="AN53">
        <v>53759</v>
      </c>
      <c r="AO53">
        <v>48799</v>
      </c>
      <c r="AP53">
        <v>46249</v>
      </c>
      <c r="AQ53">
        <v>31236</v>
      </c>
      <c r="AR53">
        <v>43600</v>
      </c>
      <c r="AS53" s="1">
        <v>6167</v>
      </c>
      <c r="AU53">
        <v>121</v>
      </c>
      <c r="AV53" s="1">
        <v>3</v>
      </c>
      <c r="AW53" s="1">
        <v>7991</v>
      </c>
      <c r="AX53" s="1">
        <v>53031</v>
      </c>
      <c r="AY53" s="3">
        <v>7438</v>
      </c>
      <c r="AZ53" s="3">
        <v>497</v>
      </c>
      <c r="BA53" s="3">
        <v>10207</v>
      </c>
      <c r="BB53" s="1">
        <v>98084</v>
      </c>
    </row>
    <row r="54" spans="2:54">
      <c r="B54" t="s">
        <v>157</v>
      </c>
      <c r="Z54">
        <v>24344</v>
      </c>
      <c r="AA54">
        <v>12834</v>
      </c>
      <c r="AB54">
        <v>11201</v>
      </c>
      <c r="AC54">
        <v>29819</v>
      </c>
      <c r="AD54">
        <v>43906</v>
      </c>
      <c r="AE54">
        <v>25407</v>
      </c>
      <c r="AF54">
        <v>10327</v>
      </c>
      <c r="AG54">
        <v>28510</v>
      </c>
      <c r="AH54">
        <v>17949</v>
      </c>
      <c r="AI54">
        <v>14306</v>
      </c>
      <c r="AJ54">
        <v>6795</v>
      </c>
      <c r="AK54">
        <v>1816</v>
      </c>
      <c r="AL54">
        <v>522</v>
      </c>
      <c r="AM54">
        <v>807</v>
      </c>
      <c r="AN54">
        <v>2994</v>
      </c>
      <c r="AO54">
        <v>3369</v>
      </c>
      <c r="AP54">
        <v>7032</v>
      </c>
      <c r="AQ54">
        <v>8333</v>
      </c>
      <c r="AR54">
        <v>9715</v>
      </c>
      <c r="AS54" s="1">
        <v>3628</v>
      </c>
      <c r="AW54">
        <v>17</v>
      </c>
      <c r="AX54">
        <v>16</v>
      </c>
      <c r="AY54" s="3">
        <v>5864</v>
      </c>
      <c r="AZ54" s="3">
        <v>55838</v>
      </c>
      <c r="BA54" s="3">
        <v>39302</v>
      </c>
      <c r="BB54" s="1">
        <v>88918</v>
      </c>
    </row>
    <row r="55" spans="2:54">
      <c r="B55" t="s">
        <v>42</v>
      </c>
      <c r="Z55">
        <v>80590</v>
      </c>
      <c r="AA55">
        <v>79006</v>
      </c>
      <c r="AB55">
        <v>82629</v>
      </c>
      <c r="AC55">
        <v>92069</v>
      </c>
      <c r="AD55">
        <v>133946</v>
      </c>
      <c r="AE55">
        <v>170832</v>
      </c>
      <c r="AF55">
        <v>75055</v>
      </c>
      <c r="AG55">
        <v>87341</v>
      </c>
      <c r="AH55">
        <v>68012</v>
      </c>
      <c r="AI55">
        <v>53673</v>
      </c>
      <c r="AJ55">
        <v>21080</v>
      </c>
      <c r="AK55">
        <v>14834</v>
      </c>
      <c r="AL55">
        <v>19498</v>
      </c>
      <c r="AM55">
        <v>27649</v>
      </c>
      <c r="AN55">
        <v>22543</v>
      </c>
      <c r="AO55">
        <v>23801</v>
      </c>
      <c r="AP55">
        <v>36905</v>
      </c>
      <c r="AQ55">
        <v>35433</v>
      </c>
      <c r="AR55">
        <v>11187</v>
      </c>
      <c r="AS55" s="1">
        <v>1801</v>
      </c>
      <c r="AT55">
        <v>4</v>
      </c>
      <c r="AU55">
        <v>1818</v>
      </c>
      <c r="AV55" s="1">
        <v>28</v>
      </c>
      <c r="AW55" s="1">
        <v>177</v>
      </c>
      <c r="AX55" s="1">
        <v>58</v>
      </c>
      <c r="AY55" s="3">
        <v>767</v>
      </c>
      <c r="AZ55" s="3">
        <v>552</v>
      </c>
      <c r="BA55" s="3">
        <v>2817</v>
      </c>
      <c r="BB55" s="1">
        <v>56060</v>
      </c>
    </row>
    <row r="56" spans="2:54">
      <c r="B56" t="s">
        <v>43</v>
      </c>
      <c r="Z56">
        <v>139693</v>
      </c>
      <c r="AA56">
        <v>14416</v>
      </c>
      <c r="AB56">
        <v>9835</v>
      </c>
      <c r="AC56">
        <v>2114</v>
      </c>
      <c r="AD56">
        <v>1884</v>
      </c>
      <c r="AE56">
        <v>1089</v>
      </c>
      <c r="AF56">
        <v>644</v>
      </c>
      <c r="AG56">
        <v>22956</v>
      </c>
      <c r="AY56" s="3"/>
      <c r="AZ56" s="3"/>
      <c r="BA56" s="3"/>
    </row>
    <row r="57" spans="2:54">
      <c r="B57" t="s">
        <v>91</v>
      </c>
      <c r="AD57">
        <v>110</v>
      </c>
      <c r="AG57">
        <v>416</v>
      </c>
      <c r="AI57">
        <v>76</v>
      </c>
      <c r="AJ57">
        <v>2</v>
      </c>
      <c r="AY57" s="3"/>
      <c r="AZ57" s="3"/>
      <c r="BA57" s="3"/>
    </row>
    <row r="58" spans="2:54">
      <c r="B58" t="s">
        <v>102</v>
      </c>
      <c r="AH58">
        <v>15117</v>
      </c>
      <c r="AI58">
        <v>1129</v>
      </c>
      <c r="AJ58">
        <v>3148</v>
      </c>
      <c r="AK58">
        <v>778</v>
      </c>
      <c r="AL58">
        <v>494</v>
      </c>
      <c r="AM58">
        <v>2487</v>
      </c>
      <c r="AN58">
        <v>1145</v>
      </c>
      <c r="AO58">
        <v>2643</v>
      </c>
      <c r="AP58">
        <v>17203</v>
      </c>
      <c r="AQ58">
        <v>28415</v>
      </c>
      <c r="AR58">
        <v>38338</v>
      </c>
      <c r="AS58" s="1">
        <v>25134</v>
      </c>
      <c r="AT58">
        <v>60098</v>
      </c>
      <c r="AU58">
        <v>4483</v>
      </c>
      <c r="AV58" s="1">
        <v>975</v>
      </c>
      <c r="AX58">
        <v>500</v>
      </c>
      <c r="AY58" s="3">
        <v>742</v>
      </c>
      <c r="AZ58" s="3">
        <v>1988</v>
      </c>
      <c r="BA58" s="3">
        <v>59</v>
      </c>
      <c r="BB58" s="1">
        <v>23</v>
      </c>
    </row>
    <row r="59" spans="2:54">
      <c r="B59" t="s">
        <v>108</v>
      </c>
      <c r="AI59">
        <v>11979</v>
      </c>
      <c r="AJ59">
        <v>10643</v>
      </c>
      <c r="AK59">
        <v>5530</v>
      </c>
      <c r="AL59">
        <v>112</v>
      </c>
      <c r="AM59">
        <v>2278</v>
      </c>
      <c r="AN59">
        <v>1328</v>
      </c>
      <c r="AO59">
        <v>4247</v>
      </c>
      <c r="AP59">
        <v>766</v>
      </c>
      <c r="AQ59">
        <v>1244</v>
      </c>
      <c r="AR59">
        <v>192</v>
      </c>
      <c r="AS59" s="1">
        <v>157</v>
      </c>
      <c r="AV59" s="1">
        <v>2514</v>
      </c>
      <c r="AW59">
        <v>905</v>
      </c>
      <c r="AX59">
        <v>8234</v>
      </c>
      <c r="AY59" s="3">
        <v>100488</v>
      </c>
      <c r="AZ59" s="3">
        <v>2693</v>
      </c>
      <c r="BA59" s="3">
        <v>14515</v>
      </c>
      <c r="BB59" s="1">
        <v>10220</v>
      </c>
    </row>
    <row r="60" spans="2:54">
      <c r="B60" t="s">
        <v>129</v>
      </c>
      <c r="AE60">
        <v>1</v>
      </c>
      <c r="AF60">
        <v>3</v>
      </c>
      <c r="AG60">
        <v>77</v>
      </c>
      <c r="AY60" s="3"/>
      <c r="AZ60" s="3"/>
      <c r="BA60" s="3"/>
    </row>
    <row r="61" spans="2:54">
      <c r="B61" t="s">
        <v>110</v>
      </c>
      <c r="AK61">
        <v>5051</v>
      </c>
      <c r="AL61">
        <v>3377</v>
      </c>
      <c r="AM61">
        <v>2802</v>
      </c>
      <c r="AN61">
        <v>2347</v>
      </c>
      <c r="AO61">
        <v>2454</v>
      </c>
      <c r="AP61">
        <v>1480</v>
      </c>
      <c r="AQ61">
        <v>2569</v>
      </c>
      <c r="AR61">
        <v>1070</v>
      </c>
      <c r="AS61" s="1">
        <v>723</v>
      </c>
      <c r="AT61">
        <v>1018</v>
      </c>
      <c r="AU61">
        <v>1482</v>
      </c>
      <c r="AV61" s="1">
        <v>1</v>
      </c>
      <c r="AW61" s="1">
        <v>7</v>
      </c>
      <c r="AX61" s="1">
        <v>30</v>
      </c>
      <c r="AY61" s="3">
        <v>11</v>
      </c>
      <c r="AZ61" s="3">
        <v>43</v>
      </c>
      <c r="BA61" s="3">
        <v>1394</v>
      </c>
    </row>
    <row r="62" spans="2:54">
      <c r="B62" t="s">
        <v>44</v>
      </c>
      <c r="Z62">
        <v>2146</v>
      </c>
      <c r="AA62">
        <v>1778</v>
      </c>
      <c r="AB62">
        <v>6503</v>
      </c>
      <c r="AC62">
        <v>3844</v>
      </c>
      <c r="AD62">
        <v>5172</v>
      </c>
      <c r="AE62">
        <v>9766</v>
      </c>
      <c r="AF62">
        <v>4046</v>
      </c>
      <c r="AG62">
        <v>10083</v>
      </c>
      <c r="AH62">
        <v>27938</v>
      </c>
      <c r="AY62" s="3"/>
      <c r="AZ62" s="3"/>
      <c r="BA62" s="3"/>
    </row>
    <row r="63" spans="2:54">
      <c r="B63" t="s">
        <v>45</v>
      </c>
      <c r="X63">
        <v>6527</v>
      </c>
      <c r="Y63">
        <v>1186121</v>
      </c>
      <c r="Z63">
        <v>1649549</v>
      </c>
      <c r="AA63">
        <v>2815786</v>
      </c>
      <c r="AB63">
        <v>2652720</v>
      </c>
      <c r="AC63">
        <v>2946739</v>
      </c>
      <c r="AD63">
        <v>3348143</v>
      </c>
      <c r="AE63">
        <v>3793428</v>
      </c>
      <c r="AF63">
        <v>3060483</v>
      </c>
      <c r="AG63">
        <f>3549213+620</f>
        <v>3549833</v>
      </c>
      <c r="AH63">
        <f>4097418+682</f>
        <v>4098100</v>
      </c>
      <c r="AI63">
        <f>3742738+479</f>
        <v>3743217</v>
      </c>
      <c r="AJ63">
        <v>2536803</v>
      </c>
      <c r="AK63">
        <v>1913723</v>
      </c>
      <c r="AL63">
        <v>2031779</v>
      </c>
      <c r="AM63">
        <v>2146653</v>
      </c>
      <c r="AN63">
        <v>2873045</v>
      </c>
      <c r="AO63">
        <v>3510412</v>
      </c>
      <c r="AP63">
        <v>4194618</v>
      </c>
      <c r="AQ63">
        <v>3753300</v>
      </c>
      <c r="AR63">
        <v>2680827</v>
      </c>
      <c r="AS63" s="1">
        <v>78915</v>
      </c>
      <c r="AT63">
        <v>183876</v>
      </c>
      <c r="AU63">
        <v>4462</v>
      </c>
      <c r="AV63" s="1">
        <v>983</v>
      </c>
      <c r="AW63" s="1">
        <v>385</v>
      </c>
      <c r="AX63" s="1">
        <v>28</v>
      </c>
      <c r="AY63" s="3">
        <v>12750</v>
      </c>
      <c r="AZ63" s="3">
        <v>128859</v>
      </c>
      <c r="BA63" s="3">
        <v>335815</v>
      </c>
      <c r="BB63" s="1">
        <v>601242</v>
      </c>
    </row>
    <row r="64" spans="2:54">
      <c r="B64" t="s">
        <v>46</v>
      </c>
      <c r="C64" t="s">
        <v>130</v>
      </c>
      <c r="X64">
        <f>325059+1568046</f>
        <v>1893105</v>
      </c>
      <c r="Y64">
        <f>588778+1496753</f>
        <v>2085531</v>
      </c>
      <c r="Z64">
        <v>1049237</v>
      </c>
      <c r="AA64">
        <v>998372</v>
      </c>
      <c r="AB64">
        <v>831378</v>
      </c>
      <c r="AC64">
        <v>792488</v>
      </c>
      <c r="AD64">
        <v>739231</v>
      </c>
      <c r="AE64">
        <v>877753</v>
      </c>
      <c r="AF64">
        <v>880400</v>
      </c>
      <c r="AG64">
        <f>574388+343595</f>
        <v>917983</v>
      </c>
      <c r="AH64">
        <f>805579+226765</f>
        <v>1032344</v>
      </c>
      <c r="AI64">
        <f>719571+206973</f>
        <v>926544</v>
      </c>
      <c r="AJ64">
        <v>668580</v>
      </c>
      <c r="AK64">
        <v>622709</v>
      </c>
      <c r="AL64">
        <v>670658</v>
      </c>
      <c r="AM64">
        <v>639848</v>
      </c>
      <c r="AN64">
        <v>527801</v>
      </c>
      <c r="AO64">
        <v>456477</v>
      </c>
      <c r="AP64">
        <v>493137</v>
      </c>
      <c r="AQ64">
        <v>407803</v>
      </c>
      <c r="AR64">
        <v>399503</v>
      </c>
      <c r="AS64" s="1">
        <v>345991</v>
      </c>
      <c r="AT64">
        <v>222557</v>
      </c>
      <c r="AU64">
        <v>80310</v>
      </c>
      <c r="AV64" s="1">
        <v>71480</v>
      </c>
      <c r="AW64" s="1">
        <v>55255</v>
      </c>
      <c r="AX64" s="1">
        <v>89025</v>
      </c>
      <c r="AY64" s="3">
        <v>311703</v>
      </c>
      <c r="AZ64" s="3">
        <v>405990</v>
      </c>
      <c r="BA64" s="3">
        <v>1011074</v>
      </c>
      <c r="BB64" s="1">
        <v>658672</v>
      </c>
    </row>
    <row r="65" spans="2:54">
      <c r="B65" t="s">
        <v>47</v>
      </c>
      <c r="Z65">
        <v>233505</v>
      </c>
      <c r="AA65">
        <v>204584</v>
      </c>
      <c r="AB65">
        <v>167777</v>
      </c>
      <c r="AC65">
        <v>129337</v>
      </c>
      <c r="AD65">
        <v>183766</v>
      </c>
      <c r="AE65">
        <v>154687</v>
      </c>
      <c r="AF65">
        <v>94023</v>
      </c>
      <c r="AG65">
        <v>122545</v>
      </c>
      <c r="AY65" s="3"/>
      <c r="AZ65" s="3"/>
      <c r="BA65" s="3"/>
    </row>
    <row r="66" spans="2:54">
      <c r="B66" t="s">
        <v>48</v>
      </c>
      <c r="Z66">
        <v>10</v>
      </c>
      <c r="AB66">
        <v>13</v>
      </c>
      <c r="AC66">
        <v>5</v>
      </c>
      <c r="AD66">
        <v>6</v>
      </c>
      <c r="AE66">
        <v>2</v>
      </c>
      <c r="AG66">
        <v>94</v>
      </c>
      <c r="AI66">
        <v>34</v>
      </c>
      <c r="AJ66">
        <v>2</v>
      </c>
      <c r="AK66">
        <v>40</v>
      </c>
      <c r="AL66">
        <v>454</v>
      </c>
      <c r="AM66">
        <v>50</v>
      </c>
      <c r="AN66">
        <v>2</v>
      </c>
      <c r="AY66" s="3">
        <v>7</v>
      </c>
      <c r="AZ66" s="3">
        <v>21</v>
      </c>
      <c r="BA66" s="3"/>
      <c r="BB66" s="1">
        <v>317</v>
      </c>
    </row>
    <row r="67" spans="2:54">
      <c r="B67" t="s">
        <v>103</v>
      </c>
      <c r="C67" t="s">
        <v>126</v>
      </c>
      <c r="AH67">
        <v>257548</v>
      </c>
      <c r="AI67">
        <v>282508</v>
      </c>
      <c r="AJ67">
        <v>164161</v>
      </c>
      <c r="AK67">
        <v>55152</v>
      </c>
      <c r="AL67">
        <v>80731</v>
      </c>
      <c r="AM67">
        <v>124161</v>
      </c>
      <c r="AN67">
        <v>79024</v>
      </c>
      <c r="AO67">
        <v>135816</v>
      </c>
      <c r="AP67">
        <v>114093</v>
      </c>
      <c r="AQ67">
        <v>142099</v>
      </c>
      <c r="AR67">
        <v>23873</v>
      </c>
      <c r="AS67" s="1">
        <v>38931</v>
      </c>
      <c r="AY67" s="3"/>
      <c r="AZ67" s="3"/>
      <c r="BA67" s="3"/>
    </row>
    <row r="68" spans="2:54">
      <c r="B68" t="s">
        <v>49</v>
      </c>
      <c r="X68">
        <f>184624+1561</f>
        <v>186185</v>
      </c>
      <c r="Y68">
        <f>647962+1961</f>
        <v>649923</v>
      </c>
      <c r="Z68">
        <v>423385</v>
      </c>
      <c r="AA68">
        <v>415321</v>
      </c>
      <c r="AB68">
        <v>434793</v>
      </c>
      <c r="AC68">
        <v>620602</v>
      </c>
      <c r="AD68">
        <v>752173</v>
      </c>
      <c r="AE68">
        <v>539341</v>
      </c>
      <c r="AF68">
        <v>529581</v>
      </c>
      <c r="AG68">
        <f>609104+1421</f>
        <v>610525</v>
      </c>
      <c r="AH68">
        <f>623463+3236</f>
        <v>626699</v>
      </c>
      <c r="AI68">
        <f>553437+1327</f>
        <v>554764</v>
      </c>
      <c r="AJ68">
        <v>392027</v>
      </c>
      <c r="AK68">
        <v>286259</v>
      </c>
      <c r="AL68">
        <v>376266</v>
      </c>
      <c r="AM68">
        <v>450173</v>
      </c>
      <c r="AN68">
        <v>580156</v>
      </c>
      <c r="AO68">
        <v>621687</v>
      </c>
      <c r="AP68">
        <v>753072</v>
      </c>
      <c r="AQ68">
        <v>806126</v>
      </c>
      <c r="AR68">
        <v>729739</v>
      </c>
      <c r="AS68" s="1">
        <v>400443</v>
      </c>
      <c r="AT68">
        <v>7000</v>
      </c>
      <c r="AU68">
        <v>4782</v>
      </c>
      <c r="AV68" s="1">
        <v>417</v>
      </c>
      <c r="AW68" s="1">
        <v>21</v>
      </c>
      <c r="AX68" s="1">
        <v>4692</v>
      </c>
      <c r="AY68" s="3">
        <v>617719</v>
      </c>
      <c r="AZ68" s="3">
        <v>1597162</v>
      </c>
      <c r="BA68" s="3">
        <v>7706462</v>
      </c>
      <c r="BB68" s="1">
        <v>7233525</v>
      </c>
    </row>
    <row r="69" spans="2:54">
      <c r="B69" t="s">
        <v>50</v>
      </c>
      <c r="Z69">
        <v>361665</v>
      </c>
      <c r="AA69">
        <v>79903</v>
      </c>
      <c r="AB69">
        <v>300470</v>
      </c>
      <c r="AC69">
        <v>734282</v>
      </c>
      <c r="AD69">
        <v>665941</v>
      </c>
      <c r="AE69">
        <v>134334</v>
      </c>
      <c r="AF69">
        <v>479164</v>
      </c>
      <c r="AG69">
        <f>619595+8</f>
        <v>619603</v>
      </c>
      <c r="AY69" s="3"/>
      <c r="AZ69" s="3"/>
      <c r="BA69" s="3"/>
    </row>
    <row r="70" spans="2:54">
      <c r="B70" t="s">
        <v>101</v>
      </c>
      <c r="AH70">
        <f>872296+41</f>
        <v>872337</v>
      </c>
      <c r="AI70">
        <v>586255</v>
      </c>
      <c r="AJ70">
        <v>237305</v>
      </c>
      <c r="AK70">
        <v>240482</v>
      </c>
      <c r="AL70">
        <v>275867</v>
      </c>
      <c r="AM70">
        <v>411613</v>
      </c>
      <c r="AN70">
        <v>447884</v>
      </c>
      <c r="AO70">
        <v>603126</v>
      </c>
      <c r="AP70">
        <v>955496</v>
      </c>
      <c r="AQ70">
        <v>1724956</v>
      </c>
      <c r="AR70">
        <v>1517725</v>
      </c>
      <c r="AS70" s="1">
        <v>1911528</v>
      </c>
      <c r="AT70">
        <v>1888132</v>
      </c>
      <c r="AU70">
        <v>474328</v>
      </c>
      <c r="AV70" s="1">
        <v>38909</v>
      </c>
      <c r="AW70" s="1">
        <v>41078</v>
      </c>
      <c r="AX70" s="1">
        <v>770</v>
      </c>
      <c r="AY70" s="3">
        <v>1649</v>
      </c>
      <c r="AZ70" s="3">
        <v>122232</v>
      </c>
      <c r="BA70" s="3">
        <v>83054</v>
      </c>
      <c r="BB70" s="1">
        <v>800225</v>
      </c>
    </row>
    <row r="71" spans="2:54">
      <c r="B71" t="s">
        <v>51</v>
      </c>
      <c r="Z71">
        <v>48</v>
      </c>
      <c r="AA71">
        <v>850</v>
      </c>
      <c r="AB71">
        <v>65852</v>
      </c>
      <c r="AC71">
        <v>1366</v>
      </c>
      <c r="AD71">
        <v>32594</v>
      </c>
      <c r="AE71">
        <v>23136</v>
      </c>
      <c r="AG71">
        <v>21781</v>
      </c>
      <c r="AY71" s="3"/>
      <c r="AZ71" s="3"/>
      <c r="BA71" s="3"/>
    </row>
    <row r="72" spans="2:54">
      <c r="B72" t="s">
        <v>118</v>
      </c>
      <c r="AH72">
        <v>1140</v>
      </c>
      <c r="AI72">
        <v>1</v>
      </c>
      <c r="AJ72">
        <v>2</v>
      </c>
      <c r="AK72">
        <v>61438</v>
      </c>
      <c r="AL72">
        <v>100748</v>
      </c>
      <c r="AM72">
        <v>96969</v>
      </c>
      <c r="AN72">
        <v>155582</v>
      </c>
      <c r="AO72">
        <v>95481</v>
      </c>
      <c r="AP72">
        <v>96055</v>
      </c>
      <c r="AQ72">
        <v>52116</v>
      </c>
      <c r="AR72">
        <v>121150</v>
      </c>
      <c r="AS72" s="1">
        <v>82411</v>
      </c>
      <c r="AX72">
        <v>779</v>
      </c>
      <c r="AY72" s="3">
        <v>1950</v>
      </c>
      <c r="AZ72" s="3">
        <v>32900</v>
      </c>
      <c r="BA72" s="3">
        <v>56993</v>
      </c>
      <c r="BB72" s="1">
        <v>83413</v>
      </c>
    </row>
    <row r="73" spans="2:54">
      <c r="B73" t="s">
        <v>127</v>
      </c>
      <c r="AG73">
        <v>460</v>
      </c>
      <c r="AH73">
        <v>338</v>
      </c>
      <c r="AI73">
        <v>342</v>
      </c>
      <c r="AJ73">
        <v>2</v>
      </c>
      <c r="AY73" s="3"/>
      <c r="AZ73" s="3"/>
      <c r="BA73" s="3"/>
    </row>
    <row r="74" spans="2:54">
      <c r="B74" t="s">
        <v>52</v>
      </c>
      <c r="Z74">
        <v>13123</v>
      </c>
      <c r="AA74">
        <v>9727</v>
      </c>
      <c r="AB74">
        <v>3349</v>
      </c>
      <c r="AC74">
        <v>13427</v>
      </c>
      <c r="AD74">
        <v>27559</v>
      </c>
      <c r="AE74">
        <v>63342</v>
      </c>
      <c r="AF74">
        <v>45172</v>
      </c>
      <c r="AG74">
        <f>72531+6</f>
        <v>72537</v>
      </c>
      <c r="AH74">
        <v>144836</v>
      </c>
      <c r="AI74">
        <v>390306</v>
      </c>
      <c r="AJ74">
        <v>59271</v>
      </c>
      <c r="AK74">
        <v>86877</v>
      </c>
      <c r="AL74">
        <v>82195</v>
      </c>
      <c r="AM74">
        <v>129094</v>
      </c>
      <c r="AN74">
        <v>325830</v>
      </c>
      <c r="AO74">
        <v>513643</v>
      </c>
      <c r="AP74">
        <v>655099</v>
      </c>
      <c r="AQ74">
        <v>467539</v>
      </c>
      <c r="AR74">
        <v>413992</v>
      </c>
      <c r="AS74" s="1">
        <v>399059</v>
      </c>
      <c r="AT74">
        <v>25368</v>
      </c>
      <c r="AU74">
        <v>1176</v>
      </c>
      <c r="AV74" s="1">
        <v>246</v>
      </c>
      <c r="AW74" s="1">
        <v>55</v>
      </c>
      <c r="AY74" s="3">
        <v>171</v>
      </c>
      <c r="AZ74" s="3">
        <v>52309</v>
      </c>
      <c r="BA74" s="3">
        <v>587713</v>
      </c>
      <c r="BB74" s="1">
        <v>670264</v>
      </c>
    </row>
    <row r="75" spans="2:54">
      <c r="B75" t="s">
        <v>96</v>
      </c>
      <c r="AK75">
        <v>5660</v>
      </c>
      <c r="AL75">
        <v>1830</v>
      </c>
      <c r="AM75">
        <v>757</v>
      </c>
      <c r="AN75">
        <v>1420</v>
      </c>
      <c r="AO75">
        <v>1582</v>
      </c>
      <c r="AP75">
        <v>3987</v>
      </c>
      <c r="AQ75">
        <v>4171</v>
      </c>
      <c r="AR75">
        <v>4952</v>
      </c>
      <c r="AS75" s="1">
        <v>2718</v>
      </c>
      <c r="AT75">
        <v>1010</v>
      </c>
      <c r="AU75">
        <v>342</v>
      </c>
      <c r="AV75" s="1">
        <v>768</v>
      </c>
      <c r="AW75" s="1">
        <v>575</v>
      </c>
      <c r="AX75" s="1">
        <v>449</v>
      </c>
      <c r="AY75" s="3">
        <v>574</v>
      </c>
      <c r="AZ75" s="3">
        <v>6026</v>
      </c>
      <c r="BA75" s="3">
        <v>28623</v>
      </c>
      <c r="BB75" s="1">
        <v>90017</v>
      </c>
    </row>
    <row r="76" spans="2:54">
      <c r="B76" t="s">
        <v>53</v>
      </c>
      <c r="X76">
        <f>2498314+13714</f>
        <v>2512028</v>
      </c>
      <c r="Y76">
        <f>5701424+3596</f>
        <v>5705020</v>
      </c>
      <c r="Z76">
        <v>3092253</v>
      </c>
      <c r="AA76">
        <v>3149907</v>
      </c>
      <c r="AB76">
        <v>4267657</v>
      </c>
      <c r="AC76">
        <v>5230772</v>
      </c>
      <c r="AD76">
        <v>6129939</v>
      </c>
      <c r="AE76">
        <v>4547642</v>
      </c>
      <c r="AF76">
        <v>4238249</v>
      </c>
      <c r="AG76">
        <f>4916510+17238</f>
        <v>4933748</v>
      </c>
      <c r="AH76">
        <f>5481879+16606</f>
        <v>5498485</v>
      </c>
      <c r="AI76">
        <f>4304702+14253</f>
        <v>4318955</v>
      </c>
      <c r="AJ76">
        <v>2890331</v>
      </c>
      <c r="AK76">
        <v>2438649</v>
      </c>
      <c r="AL76">
        <v>2091838</v>
      </c>
      <c r="AM76">
        <v>2039365</v>
      </c>
      <c r="AN76">
        <v>1801064</v>
      </c>
      <c r="AO76">
        <v>1093034</v>
      </c>
      <c r="AP76">
        <v>3282832</v>
      </c>
      <c r="AQ76">
        <v>3003528</v>
      </c>
      <c r="AR76">
        <v>2060030</v>
      </c>
      <c r="AS76" s="1">
        <v>1538430</v>
      </c>
      <c r="AT76">
        <v>96943</v>
      </c>
      <c r="AU76">
        <v>36396</v>
      </c>
      <c r="AV76" s="1">
        <v>7990</v>
      </c>
      <c r="AW76" s="1">
        <v>3555</v>
      </c>
      <c r="AX76" s="1">
        <v>25031</v>
      </c>
      <c r="AY76" s="3">
        <v>6010360</v>
      </c>
      <c r="AZ76" s="3">
        <v>9189002</v>
      </c>
      <c r="BA76" s="3">
        <v>15009837</v>
      </c>
      <c r="BB76" s="1">
        <v>14929500</v>
      </c>
    </row>
    <row r="77" spans="2:54">
      <c r="B77" t="s">
        <v>54</v>
      </c>
      <c r="Z77">
        <v>21797</v>
      </c>
      <c r="AA77">
        <v>17069</v>
      </c>
      <c r="AB77">
        <v>15784</v>
      </c>
      <c r="AC77">
        <v>23043</v>
      </c>
      <c r="AD77">
        <v>31646</v>
      </c>
      <c r="AE77">
        <v>19895</v>
      </c>
      <c r="AF77">
        <v>12985</v>
      </c>
      <c r="AG77">
        <v>10539</v>
      </c>
      <c r="AH77">
        <v>11522</v>
      </c>
      <c r="AI77">
        <v>23538</v>
      </c>
      <c r="AJ77">
        <v>12715</v>
      </c>
      <c r="AK77">
        <v>3375</v>
      </c>
      <c r="AL77">
        <v>2121</v>
      </c>
      <c r="AM77">
        <v>835</v>
      </c>
      <c r="AN77">
        <v>1374</v>
      </c>
      <c r="AO77">
        <v>1564</v>
      </c>
      <c r="AP77">
        <v>365</v>
      </c>
      <c r="AQ77">
        <v>6635</v>
      </c>
      <c r="AR77">
        <v>2301</v>
      </c>
      <c r="AS77" s="1">
        <v>904</v>
      </c>
      <c r="AT77">
        <v>193</v>
      </c>
      <c r="AU77">
        <v>3570</v>
      </c>
      <c r="AV77" s="1">
        <v>46801</v>
      </c>
      <c r="AW77" s="1">
        <v>232504</v>
      </c>
      <c r="AX77" s="1">
        <v>315706</v>
      </c>
      <c r="AY77" s="3">
        <v>118349</v>
      </c>
      <c r="AZ77" s="3">
        <v>51753</v>
      </c>
      <c r="BA77" s="3">
        <v>45269</v>
      </c>
      <c r="BB77" s="1">
        <v>60613</v>
      </c>
    </row>
    <row r="78" spans="2:54">
      <c r="B78" t="s">
        <v>55</v>
      </c>
      <c r="C78" t="s">
        <v>131</v>
      </c>
      <c r="Z78">
        <v>117922</v>
      </c>
      <c r="AA78">
        <v>101123</v>
      </c>
      <c r="AB78">
        <v>151796</v>
      </c>
      <c r="AC78">
        <v>207774</v>
      </c>
      <c r="AD78">
        <v>194537</v>
      </c>
      <c r="AE78">
        <v>90657</v>
      </c>
      <c r="AF78">
        <v>63564</v>
      </c>
      <c r="AG78">
        <f>165151+29</f>
        <v>165180</v>
      </c>
      <c r="AH78">
        <f>122637+22</f>
        <v>122659</v>
      </c>
      <c r="AI78">
        <f>92605+35</f>
        <v>92640</v>
      </c>
      <c r="AJ78">
        <v>22868</v>
      </c>
      <c r="AK78">
        <v>3593</v>
      </c>
      <c r="AL78">
        <v>2151</v>
      </c>
      <c r="AM78">
        <v>1719</v>
      </c>
      <c r="AN78">
        <v>2859</v>
      </c>
      <c r="AO78">
        <v>973</v>
      </c>
      <c r="AP78">
        <v>1470</v>
      </c>
      <c r="AQ78">
        <v>6980</v>
      </c>
      <c r="AR78">
        <v>1031</v>
      </c>
      <c r="AS78" s="1">
        <v>1031</v>
      </c>
      <c r="AT78">
        <v>848</v>
      </c>
      <c r="AU78">
        <v>1188</v>
      </c>
      <c r="AV78" s="1">
        <v>4170</v>
      </c>
      <c r="AW78" s="1">
        <v>164275</v>
      </c>
      <c r="AX78" s="1">
        <v>279309</v>
      </c>
      <c r="AY78" s="3">
        <v>461755</v>
      </c>
      <c r="AZ78" s="3">
        <v>500522</v>
      </c>
      <c r="BA78" s="3">
        <v>513799</v>
      </c>
      <c r="BB78" s="1">
        <v>640763</v>
      </c>
    </row>
    <row r="79" spans="2:54">
      <c r="B79" t="s">
        <v>56</v>
      </c>
      <c r="Z79">
        <v>252</v>
      </c>
      <c r="AA79">
        <v>406</v>
      </c>
      <c r="AC79">
        <v>14</v>
      </c>
      <c r="AD79">
        <v>4</v>
      </c>
      <c r="AF79">
        <v>34</v>
      </c>
      <c r="AG79">
        <v>84</v>
      </c>
      <c r="AY79" s="3"/>
      <c r="AZ79" s="3"/>
      <c r="BA79" s="3"/>
    </row>
    <row r="80" spans="2:54">
      <c r="B80" t="s">
        <v>97</v>
      </c>
      <c r="AH80">
        <v>41665</v>
      </c>
      <c r="AI80">
        <v>22884</v>
      </c>
      <c r="AJ80">
        <v>8006</v>
      </c>
      <c r="AK80">
        <v>8584</v>
      </c>
      <c r="AL80">
        <v>8261</v>
      </c>
      <c r="AM80">
        <v>8019</v>
      </c>
      <c r="AN80">
        <v>4130</v>
      </c>
      <c r="AO80">
        <v>4665</v>
      </c>
      <c r="AP80">
        <v>4740</v>
      </c>
      <c r="AQ80">
        <v>5446</v>
      </c>
      <c r="AR80">
        <v>1683</v>
      </c>
      <c r="AS80" s="1">
        <v>274</v>
      </c>
      <c r="AY80" s="3">
        <v>2737</v>
      </c>
      <c r="AZ80" s="3">
        <v>1705</v>
      </c>
      <c r="BA80" s="3">
        <v>2539</v>
      </c>
      <c r="BB80" s="1">
        <v>2</v>
      </c>
    </row>
    <row r="81" spans="2:54">
      <c r="B81" t="s">
        <v>109</v>
      </c>
      <c r="AH81">
        <v>8</v>
      </c>
      <c r="AI81">
        <v>72</v>
      </c>
      <c r="AJ81">
        <v>872</v>
      </c>
      <c r="AK81">
        <v>266</v>
      </c>
      <c r="AL81">
        <v>162</v>
      </c>
      <c r="AM81">
        <v>220</v>
      </c>
      <c r="AN81">
        <v>6</v>
      </c>
      <c r="AO81">
        <v>1313</v>
      </c>
      <c r="AP81">
        <v>22</v>
      </c>
      <c r="AQ81">
        <v>82</v>
      </c>
      <c r="AR81">
        <v>12</v>
      </c>
      <c r="AS81" s="1">
        <v>24</v>
      </c>
      <c r="AT81">
        <v>10</v>
      </c>
      <c r="AW81">
        <v>330</v>
      </c>
      <c r="AX81">
        <v>202</v>
      </c>
      <c r="AY81" s="3">
        <v>6</v>
      </c>
      <c r="AZ81" s="3"/>
      <c r="BA81" s="3">
        <v>5</v>
      </c>
      <c r="BB81" s="1">
        <v>497</v>
      </c>
    </row>
    <row r="82" spans="2:54">
      <c r="B82" t="s">
        <v>119</v>
      </c>
      <c r="AH82">
        <v>455</v>
      </c>
      <c r="AI82">
        <v>1321</v>
      </c>
      <c r="AJ82">
        <v>2640</v>
      </c>
      <c r="AK82">
        <v>496</v>
      </c>
      <c r="AL82">
        <v>574</v>
      </c>
      <c r="AM82">
        <v>470</v>
      </c>
      <c r="AN82">
        <v>153</v>
      </c>
      <c r="AO82">
        <v>220</v>
      </c>
      <c r="AP82">
        <v>645</v>
      </c>
      <c r="AQ82">
        <v>291</v>
      </c>
      <c r="AR82">
        <v>306</v>
      </c>
      <c r="AS82" s="1">
        <v>321</v>
      </c>
      <c r="AT82">
        <v>1243</v>
      </c>
      <c r="AU82">
        <v>2238</v>
      </c>
      <c r="AV82" s="1">
        <v>67</v>
      </c>
      <c r="AW82" s="1">
        <v>55</v>
      </c>
      <c r="AX82" s="1">
        <v>5069</v>
      </c>
      <c r="AY82" s="3">
        <v>873</v>
      </c>
      <c r="AZ82" s="3">
        <v>1609</v>
      </c>
      <c r="BA82" s="3">
        <v>1560</v>
      </c>
      <c r="BB82" s="1">
        <v>6148</v>
      </c>
    </row>
    <row r="83" spans="2:54">
      <c r="B83" t="s">
        <v>57</v>
      </c>
      <c r="X83">
        <f>1580941+148223</f>
        <v>1729164</v>
      </c>
      <c r="Y83">
        <f>2211863+52188</f>
        <v>2264051</v>
      </c>
      <c r="Z83">
        <v>746856</v>
      </c>
      <c r="AA83">
        <v>558857</v>
      </c>
      <c r="AB83">
        <v>668568</v>
      </c>
      <c r="AC83">
        <v>973325</v>
      </c>
      <c r="AD83">
        <v>1105108</v>
      </c>
      <c r="AE83">
        <v>832545</v>
      </c>
      <c r="AF83">
        <v>1185372</v>
      </c>
      <c r="AG83">
        <f>1593420+1960</f>
        <v>1595380</v>
      </c>
      <c r="AH83">
        <f>1743818+75853</f>
        <v>1819671</v>
      </c>
      <c r="AI83">
        <f>1613167+118910</f>
        <v>1732077</v>
      </c>
      <c r="AJ83">
        <v>1535282</v>
      </c>
      <c r="AK83">
        <v>2152140</v>
      </c>
      <c r="AL83">
        <v>2873131</v>
      </c>
      <c r="AM83">
        <v>3444030</v>
      </c>
      <c r="AN83">
        <v>3868841</v>
      </c>
      <c r="AO83">
        <v>2178338</v>
      </c>
      <c r="AP83">
        <v>1539125</v>
      </c>
      <c r="AQ83">
        <v>955136</v>
      </c>
      <c r="AR83">
        <v>782742</v>
      </c>
      <c r="AS83" s="1">
        <v>1191142</v>
      </c>
      <c r="AT83">
        <v>1931597</v>
      </c>
      <c r="AU83">
        <v>262058</v>
      </c>
      <c r="AV83" s="1">
        <v>142217</v>
      </c>
      <c r="AW83" s="1">
        <v>72057</v>
      </c>
      <c r="AX83" s="1">
        <v>67341</v>
      </c>
      <c r="AY83" s="3">
        <v>26694</v>
      </c>
      <c r="AZ83" s="3">
        <v>6454</v>
      </c>
      <c r="BA83" s="3">
        <v>536911</v>
      </c>
      <c r="BB83" s="1">
        <v>2310839</v>
      </c>
    </row>
    <row r="84" spans="2:54">
      <c r="B84" t="s">
        <v>98</v>
      </c>
      <c r="AI84">
        <v>414</v>
      </c>
      <c r="AJ84">
        <v>13</v>
      </c>
      <c r="AK84">
        <v>8</v>
      </c>
      <c r="AL84">
        <v>1081</v>
      </c>
      <c r="AM84">
        <v>10759</v>
      </c>
      <c r="AN84">
        <v>8411</v>
      </c>
      <c r="AO84">
        <v>6991</v>
      </c>
      <c r="AP84">
        <v>8904</v>
      </c>
      <c r="AQ84">
        <v>7544</v>
      </c>
      <c r="AR84">
        <v>8552</v>
      </c>
      <c r="AY84" s="3">
        <v>14</v>
      </c>
      <c r="AZ84" s="3"/>
      <c r="BA84" s="3"/>
    </row>
    <row r="85" spans="2:54">
      <c r="B85" t="s">
        <v>138</v>
      </c>
      <c r="AY85" s="3"/>
      <c r="AZ85" s="3">
        <v>1690990</v>
      </c>
      <c r="BA85" s="3">
        <v>847597</v>
      </c>
      <c r="BB85" s="1">
        <v>602146</v>
      </c>
    </row>
    <row r="86" spans="2:54">
      <c r="B86" t="s">
        <v>99</v>
      </c>
      <c r="AI86">
        <v>291</v>
      </c>
      <c r="AJ86">
        <v>318</v>
      </c>
      <c r="AK86">
        <v>258</v>
      </c>
      <c r="AL86">
        <v>537</v>
      </c>
      <c r="AM86">
        <v>192</v>
      </c>
      <c r="AN86">
        <v>682</v>
      </c>
      <c r="AO86">
        <v>462</v>
      </c>
      <c r="AP86">
        <v>2114</v>
      </c>
      <c r="AQ86">
        <v>1347</v>
      </c>
      <c r="AR86">
        <v>2215</v>
      </c>
      <c r="AY86" s="3"/>
      <c r="AZ86" s="3"/>
      <c r="BA86" s="3">
        <v>15</v>
      </c>
    </row>
    <row r="87" spans="2:54">
      <c r="B87" t="s">
        <v>58</v>
      </c>
      <c r="Z87">
        <v>26237</v>
      </c>
      <c r="AA87">
        <v>28048</v>
      </c>
      <c r="AB87">
        <v>37091</v>
      </c>
      <c r="AC87">
        <v>87344</v>
      </c>
      <c r="AD87">
        <v>57205</v>
      </c>
      <c r="AE87">
        <v>34922</v>
      </c>
      <c r="AF87">
        <v>21130</v>
      </c>
      <c r="AG87">
        <v>126044</v>
      </c>
      <c r="AH87">
        <v>173661</v>
      </c>
      <c r="AI87">
        <v>47366</v>
      </c>
      <c r="AJ87">
        <v>32369</v>
      </c>
      <c r="AK87">
        <v>21978</v>
      </c>
      <c r="AL87">
        <v>31510</v>
      </c>
      <c r="AM87">
        <v>43045</v>
      </c>
      <c r="AN87">
        <v>68468</v>
      </c>
      <c r="AO87">
        <v>116993</v>
      </c>
      <c r="AP87">
        <v>125978</v>
      </c>
      <c r="AQ87">
        <v>163715</v>
      </c>
      <c r="AR87">
        <v>90523</v>
      </c>
      <c r="AS87" s="1">
        <v>67265</v>
      </c>
      <c r="AT87">
        <v>212760</v>
      </c>
      <c r="AU87">
        <v>923983</v>
      </c>
      <c r="AV87" s="1">
        <v>2924634</v>
      </c>
      <c r="AW87" s="1">
        <v>4077721</v>
      </c>
      <c r="AX87" s="1">
        <v>4800065</v>
      </c>
      <c r="AY87" s="3">
        <v>4552862</v>
      </c>
      <c r="AZ87" s="3">
        <v>3266162</v>
      </c>
      <c r="BA87" s="3">
        <v>2347465</v>
      </c>
      <c r="BB87" s="1">
        <v>1637708</v>
      </c>
    </row>
    <row r="88" spans="2:54">
      <c r="B88" t="s">
        <v>59</v>
      </c>
      <c r="Z88">
        <v>323540</v>
      </c>
      <c r="AA88">
        <v>127314</v>
      </c>
      <c r="AB88">
        <v>51255</v>
      </c>
      <c r="AC88">
        <v>91363</v>
      </c>
      <c r="AD88">
        <v>52356</v>
      </c>
      <c r="AE88">
        <v>60</v>
      </c>
      <c r="AF88">
        <v>52</v>
      </c>
      <c r="AG88">
        <v>306</v>
      </c>
      <c r="AH88">
        <v>338</v>
      </c>
      <c r="AI88">
        <v>114</v>
      </c>
      <c r="AJ88">
        <v>69</v>
      </c>
      <c r="AK88">
        <v>42</v>
      </c>
      <c r="AL88">
        <v>23</v>
      </c>
      <c r="AM88">
        <v>208</v>
      </c>
      <c r="AN88">
        <v>729</v>
      </c>
      <c r="AO88">
        <v>290</v>
      </c>
      <c r="AP88">
        <v>13556</v>
      </c>
      <c r="AQ88">
        <v>146</v>
      </c>
      <c r="AR88">
        <v>87</v>
      </c>
      <c r="AS88" s="1">
        <v>40</v>
      </c>
      <c r="AV88" s="1">
        <v>6</v>
      </c>
      <c r="AW88">
        <v>7</v>
      </c>
      <c r="AX88" s="1">
        <v>1</v>
      </c>
      <c r="AY88" s="3">
        <v>6</v>
      </c>
      <c r="AZ88" s="3">
        <v>2085</v>
      </c>
      <c r="BA88" s="4">
        <v>1418</v>
      </c>
      <c r="BB88" s="1">
        <v>225049</v>
      </c>
    </row>
    <row r="89" spans="2:54">
      <c r="B89" t="s">
        <v>132</v>
      </c>
      <c r="AG89">
        <v>492</v>
      </c>
      <c r="AY89" s="3"/>
      <c r="AZ89" s="3"/>
      <c r="BA89" s="3"/>
    </row>
    <row r="90" spans="2:54">
      <c r="B90" t="s">
        <v>60</v>
      </c>
      <c r="Z90">
        <v>106459</v>
      </c>
      <c r="AA90">
        <v>133828</v>
      </c>
      <c r="AB90">
        <v>94620</v>
      </c>
      <c r="AC90">
        <v>138531</v>
      </c>
      <c r="AD90">
        <v>190422</v>
      </c>
      <c r="AE90">
        <v>234368</v>
      </c>
      <c r="AF90">
        <v>128626</v>
      </c>
      <c r="AG90">
        <v>66044</v>
      </c>
      <c r="AH90">
        <v>70641</v>
      </c>
      <c r="AI90">
        <v>208553</v>
      </c>
      <c r="AJ90">
        <v>301030</v>
      </c>
      <c r="AK90">
        <v>600237</v>
      </c>
      <c r="AL90">
        <v>726541</v>
      </c>
      <c r="AM90">
        <v>780230</v>
      </c>
      <c r="AN90">
        <v>667980</v>
      </c>
      <c r="AO90">
        <v>519800</v>
      </c>
      <c r="AP90">
        <v>431683</v>
      </c>
      <c r="AQ90">
        <v>517341</v>
      </c>
      <c r="AR90">
        <v>475313</v>
      </c>
      <c r="AS90" s="1">
        <v>210994</v>
      </c>
      <c r="AU90">
        <v>207</v>
      </c>
      <c r="AV90" s="1">
        <v>10</v>
      </c>
      <c r="AW90" s="1">
        <v>244</v>
      </c>
      <c r="AY90" s="3">
        <v>1482442</v>
      </c>
      <c r="AZ90" s="3">
        <v>969967</v>
      </c>
      <c r="BA90" s="3">
        <v>2112936</v>
      </c>
      <c r="BB90" s="1">
        <v>1935190</v>
      </c>
    </row>
    <row r="91" spans="2:54">
      <c r="B91" t="s">
        <v>61</v>
      </c>
      <c r="X91">
        <f>744692+210</f>
        <v>744902</v>
      </c>
      <c r="Y91">
        <f>784093+32</f>
        <v>784125</v>
      </c>
      <c r="Z91">
        <v>733195</v>
      </c>
      <c r="AA91">
        <v>531328</v>
      </c>
      <c r="AB91">
        <v>663167</v>
      </c>
      <c r="AC91">
        <v>736871</v>
      </c>
      <c r="AD91">
        <v>799182</v>
      </c>
      <c r="AE91">
        <v>534870</v>
      </c>
      <c r="AF91">
        <v>520835</v>
      </c>
      <c r="AG91">
        <v>952846</v>
      </c>
      <c r="AH91">
        <f>1012166+48</f>
        <v>1012214</v>
      </c>
      <c r="AI91">
        <f>663266+29</f>
        <v>663295</v>
      </c>
      <c r="AJ91">
        <v>293077</v>
      </c>
      <c r="AK91">
        <v>206410</v>
      </c>
      <c r="AL91">
        <v>148563</v>
      </c>
      <c r="AM91">
        <v>140850</v>
      </c>
      <c r="AN91">
        <v>188730</v>
      </c>
      <c r="AO91">
        <v>180115</v>
      </c>
      <c r="AP91">
        <v>194425</v>
      </c>
      <c r="AQ91">
        <v>277128</v>
      </c>
      <c r="AR91">
        <v>268240</v>
      </c>
      <c r="AS91" s="1">
        <v>290198</v>
      </c>
      <c r="AT91">
        <v>820169</v>
      </c>
      <c r="AU91">
        <v>926955</v>
      </c>
      <c r="AV91" s="1">
        <v>1245616</v>
      </c>
      <c r="AW91" s="1">
        <v>2290461</v>
      </c>
      <c r="AX91" s="1">
        <v>1929770</v>
      </c>
      <c r="AY91" s="3">
        <v>924271</v>
      </c>
      <c r="AZ91" s="3">
        <v>522747</v>
      </c>
      <c r="BA91" s="3">
        <v>726372</v>
      </c>
      <c r="BB91" s="1">
        <v>156080</v>
      </c>
    </row>
    <row r="92" spans="2:54">
      <c r="B92" t="s">
        <v>62</v>
      </c>
      <c r="Z92">
        <v>4</v>
      </c>
      <c r="AA92">
        <v>96</v>
      </c>
      <c r="AB92">
        <v>6</v>
      </c>
      <c r="AD92">
        <v>4</v>
      </c>
      <c r="AE92">
        <v>2</v>
      </c>
      <c r="AF92">
        <v>3</v>
      </c>
      <c r="AG92">
        <v>18</v>
      </c>
      <c r="AH92">
        <v>66</v>
      </c>
      <c r="AI92">
        <v>8</v>
      </c>
      <c r="AJ92">
        <v>38</v>
      </c>
      <c r="AK92">
        <v>15</v>
      </c>
      <c r="AM92">
        <v>1</v>
      </c>
      <c r="AQ92">
        <v>6</v>
      </c>
      <c r="AR92">
        <v>11</v>
      </c>
      <c r="AY92" s="3">
        <v>277</v>
      </c>
      <c r="AZ92" s="3">
        <v>2</v>
      </c>
      <c r="BA92" s="3"/>
      <c r="BB92" s="1">
        <v>6</v>
      </c>
    </row>
    <row r="93" spans="2:54">
      <c r="B93" t="s">
        <v>85</v>
      </c>
      <c r="AA93">
        <v>2</v>
      </c>
      <c r="AI93">
        <v>243</v>
      </c>
      <c r="AY93" s="3"/>
      <c r="AZ93" s="3"/>
      <c r="BA93" s="3"/>
    </row>
    <row r="94" spans="2:54">
      <c r="B94" t="s">
        <v>63</v>
      </c>
      <c r="X94">
        <f>139568+32365</f>
        <v>171933</v>
      </c>
      <c r="Y94">
        <f>183014+62151</f>
        <v>245165</v>
      </c>
      <c r="Z94">
        <v>305918</v>
      </c>
      <c r="AA94">
        <v>591321</v>
      </c>
      <c r="AB94">
        <v>373332</v>
      </c>
      <c r="AC94">
        <v>435588</v>
      </c>
      <c r="AD94">
        <v>531640</v>
      </c>
      <c r="AE94">
        <v>579228</v>
      </c>
      <c r="AF94">
        <v>420278</v>
      </c>
      <c r="AG94">
        <f>331818+17626</f>
        <v>349444</v>
      </c>
      <c r="AH94">
        <f>288283+14969</f>
        <v>303252</v>
      </c>
      <c r="AI94">
        <f>234180+13883</f>
        <v>248063</v>
      </c>
      <c r="AJ94">
        <v>183268</v>
      </c>
      <c r="AK94">
        <v>542180</v>
      </c>
      <c r="AL94">
        <v>532398</v>
      </c>
      <c r="AM94">
        <v>636261</v>
      </c>
      <c r="AN94">
        <v>597646</v>
      </c>
      <c r="AO94">
        <v>598017</v>
      </c>
      <c r="AP94">
        <f>313251+26452+453389+502+588</f>
        <v>794182</v>
      </c>
      <c r="AQ94">
        <v>595026</v>
      </c>
      <c r="AR94">
        <v>572377</v>
      </c>
      <c r="AS94" s="1">
        <v>692006</v>
      </c>
      <c r="AT94">
        <v>2026705</v>
      </c>
      <c r="AU94">
        <v>5497524</v>
      </c>
      <c r="AV94" s="1">
        <v>6478860</v>
      </c>
      <c r="AW94" s="1">
        <v>6147231</v>
      </c>
      <c r="AX94" s="1">
        <v>4777058</v>
      </c>
      <c r="AY94" s="3">
        <v>3040795</v>
      </c>
      <c r="AZ94" s="3">
        <v>2608328</v>
      </c>
      <c r="BA94" s="3">
        <v>4505571</v>
      </c>
      <c r="BB94" s="1">
        <v>5982063</v>
      </c>
    </row>
    <row r="95" spans="2:54">
      <c r="B95" t="s">
        <v>64</v>
      </c>
      <c r="Z95">
        <v>12</v>
      </c>
      <c r="AA95">
        <v>3</v>
      </c>
      <c r="AE95">
        <v>1</v>
      </c>
      <c r="AF95">
        <v>6</v>
      </c>
      <c r="AG95">
        <v>226</v>
      </c>
      <c r="AH95">
        <v>112</v>
      </c>
      <c r="AI95">
        <v>779</v>
      </c>
      <c r="AJ95">
        <v>7</v>
      </c>
      <c r="AK95">
        <v>5</v>
      </c>
      <c r="AL95">
        <v>482</v>
      </c>
      <c r="AM95">
        <v>14</v>
      </c>
      <c r="AN95">
        <v>12</v>
      </c>
      <c r="AO95">
        <v>370</v>
      </c>
      <c r="AQ95">
        <v>1</v>
      </c>
      <c r="AR95">
        <v>10</v>
      </c>
      <c r="AX95">
        <v>2</v>
      </c>
      <c r="AY95" s="3">
        <v>973</v>
      </c>
      <c r="AZ95" s="3">
        <v>2</v>
      </c>
      <c r="BA95" s="3"/>
      <c r="BB95" s="1">
        <v>1</v>
      </c>
    </row>
    <row r="96" spans="2:54">
      <c r="B96" t="s">
        <v>104</v>
      </c>
      <c r="AK96">
        <v>317</v>
      </c>
      <c r="AL96">
        <v>293</v>
      </c>
      <c r="AM96">
        <v>308</v>
      </c>
      <c r="AN96">
        <v>1885</v>
      </c>
      <c r="AO96">
        <v>545</v>
      </c>
      <c r="AP96">
        <v>672</v>
      </c>
      <c r="AQ96">
        <v>501</v>
      </c>
      <c r="AR96">
        <v>272</v>
      </c>
      <c r="AS96" s="1">
        <v>107674</v>
      </c>
      <c r="AT96">
        <v>3137</v>
      </c>
      <c r="AU96">
        <v>8636</v>
      </c>
      <c r="AV96" s="1">
        <v>92</v>
      </c>
      <c r="AX96">
        <v>104</v>
      </c>
      <c r="AY96" s="3"/>
      <c r="AZ96" s="3">
        <v>422</v>
      </c>
      <c r="BA96" s="3">
        <v>89350</v>
      </c>
      <c r="BB96" s="1">
        <v>401</v>
      </c>
    </row>
    <row r="97" spans="2:54">
      <c r="B97" t="s">
        <v>65</v>
      </c>
      <c r="Z97">
        <v>20107</v>
      </c>
      <c r="AA97">
        <v>5209</v>
      </c>
      <c r="AB97">
        <v>3585</v>
      </c>
      <c r="AC97">
        <v>7179</v>
      </c>
      <c r="AD97">
        <v>33569</v>
      </c>
      <c r="AE97">
        <v>198910</v>
      </c>
      <c r="AF97">
        <v>47317</v>
      </c>
      <c r="AG97">
        <v>82085</v>
      </c>
      <c r="AH97">
        <v>110419</v>
      </c>
      <c r="AI97">
        <v>143736</v>
      </c>
      <c r="AJ97">
        <v>30219</v>
      </c>
      <c r="AK97">
        <v>47365</v>
      </c>
      <c r="AL97">
        <v>57669</v>
      </c>
      <c r="AY97" s="3"/>
      <c r="AZ97" s="3"/>
      <c r="BA97" s="3"/>
    </row>
    <row r="98" spans="2:54">
      <c r="B98" t="s">
        <v>133</v>
      </c>
      <c r="AM98">
        <v>111300</v>
      </c>
      <c r="AN98">
        <v>167277</v>
      </c>
      <c r="AO98">
        <v>256466</v>
      </c>
      <c r="AP98">
        <v>383517</v>
      </c>
      <c r="AQ98">
        <v>350614</v>
      </c>
      <c r="AR98">
        <v>308360</v>
      </c>
      <c r="AS98" s="1">
        <v>3993</v>
      </c>
      <c r="AT98">
        <v>47</v>
      </c>
      <c r="AU98">
        <v>246</v>
      </c>
      <c r="AW98" s="1">
        <v>171</v>
      </c>
      <c r="AY98" s="3">
        <v>5</v>
      </c>
      <c r="AZ98" s="3">
        <v>44101</v>
      </c>
      <c r="BA98" s="3">
        <v>246251</v>
      </c>
      <c r="BB98" s="1">
        <v>264709</v>
      </c>
    </row>
    <row r="99" spans="2:54">
      <c r="B99" t="s">
        <v>66</v>
      </c>
      <c r="Z99">
        <v>85101</v>
      </c>
      <c r="AA99">
        <v>81599</v>
      </c>
      <c r="AB99">
        <v>73168</v>
      </c>
      <c r="AC99">
        <v>96303</v>
      </c>
      <c r="AD99">
        <v>94917</v>
      </c>
      <c r="AE99">
        <v>78804</v>
      </c>
      <c r="AF99">
        <v>97220</v>
      </c>
      <c r="AG99">
        <v>73172</v>
      </c>
      <c r="AH99">
        <v>109490</v>
      </c>
      <c r="AI99">
        <v>52939</v>
      </c>
      <c r="AJ99">
        <v>24465</v>
      </c>
      <c r="AK99">
        <v>14227</v>
      </c>
      <c r="AL99">
        <v>20908</v>
      </c>
      <c r="AM99">
        <v>20948</v>
      </c>
      <c r="AN99">
        <v>29736</v>
      </c>
      <c r="AO99">
        <v>23977</v>
      </c>
      <c r="AP99">
        <v>19768</v>
      </c>
      <c r="AQ99">
        <v>32950</v>
      </c>
      <c r="AR99">
        <v>24720</v>
      </c>
      <c r="AS99" s="1">
        <v>12983</v>
      </c>
      <c r="AT99">
        <v>8470</v>
      </c>
      <c r="AU99">
        <v>10213</v>
      </c>
      <c r="AV99" s="1">
        <v>13610</v>
      </c>
      <c r="AW99" s="1">
        <v>43017</v>
      </c>
      <c r="AX99" s="1">
        <v>51229</v>
      </c>
      <c r="AY99" s="3">
        <v>69622</v>
      </c>
      <c r="AZ99" s="3">
        <v>68075</v>
      </c>
      <c r="BA99" s="3">
        <v>130914</v>
      </c>
      <c r="BB99" s="1">
        <v>122021</v>
      </c>
    </row>
    <row r="100" spans="2:54">
      <c r="B100" t="s">
        <v>112</v>
      </c>
      <c r="AH100">
        <v>214</v>
      </c>
      <c r="AI100">
        <v>454</v>
      </c>
      <c r="AJ100">
        <v>465</v>
      </c>
      <c r="AK100">
        <v>122</v>
      </c>
      <c r="AL100">
        <v>776</v>
      </c>
      <c r="AM100">
        <v>17</v>
      </c>
      <c r="AN100">
        <v>52</v>
      </c>
      <c r="AO100">
        <v>50</v>
      </c>
      <c r="AP100">
        <v>148</v>
      </c>
      <c r="AQ100">
        <v>36</v>
      </c>
      <c r="AR100">
        <v>51</v>
      </c>
      <c r="AS100" s="1">
        <v>48</v>
      </c>
      <c r="AT100">
        <v>1022</v>
      </c>
      <c r="AV100" s="1">
        <v>18408</v>
      </c>
      <c r="AW100" s="1">
        <v>19381</v>
      </c>
      <c r="AX100" s="1">
        <v>19470</v>
      </c>
      <c r="AY100" s="3">
        <v>6668</v>
      </c>
      <c r="AZ100" s="3">
        <v>196027</v>
      </c>
      <c r="BA100" s="3">
        <v>25025</v>
      </c>
      <c r="BB100" s="1">
        <v>11606</v>
      </c>
    </row>
    <row r="101" spans="2:54">
      <c r="B101" t="s">
        <v>67</v>
      </c>
      <c r="Z101">
        <v>83398</v>
      </c>
      <c r="AA101">
        <v>4</v>
      </c>
      <c r="AC101">
        <v>3</v>
      </c>
      <c r="AD101">
        <v>1199</v>
      </c>
      <c r="AE101">
        <v>26</v>
      </c>
      <c r="AF101">
        <v>102</v>
      </c>
      <c r="AG101">
        <v>4419</v>
      </c>
      <c r="AY101" s="3"/>
      <c r="AZ101" s="3"/>
      <c r="BA101" s="3"/>
    </row>
    <row r="102" spans="2:54">
      <c r="B102" t="s">
        <v>68</v>
      </c>
      <c r="Z102">
        <v>38263</v>
      </c>
      <c r="AA102">
        <v>53068</v>
      </c>
      <c r="AB102">
        <v>48666</v>
      </c>
      <c r="AC102">
        <v>43715</v>
      </c>
      <c r="AD102">
        <v>37703</v>
      </c>
      <c r="AE102">
        <v>29771</v>
      </c>
      <c r="AF102">
        <v>26134</v>
      </c>
      <c r="AG102">
        <v>28424</v>
      </c>
      <c r="AY102" s="3"/>
      <c r="AZ102" s="3"/>
      <c r="BA102" s="3"/>
    </row>
    <row r="103" spans="2:54">
      <c r="B103" t="s">
        <v>69</v>
      </c>
      <c r="Z103">
        <v>1094464</v>
      </c>
      <c r="AA103">
        <v>1051006</v>
      </c>
      <c r="AB103">
        <v>1026505</v>
      </c>
      <c r="AC103">
        <v>998758</v>
      </c>
      <c r="AD103">
        <v>1344088</v>
      </c>
      <c r="AE103">
        <v>1929404</v>
      </c>
      <c r="AF103">
        <v>1563265</v>
      </c>
      <c r="AG103">
        <v>1727100</v>
      </c>
      <c r="AH103">
        <v>1818161</v>
      </c>
      <c r="AI103">
        <v>1817093</v>
      </c>
      <c r="AJ103">
        <v>1139835</v>
      </c>
      <c r="AK103">
        <v>779709</v>
      </c>
      <c r="AL103">
        <v>1008707</v>
      </c>
      <c r="AM103">
        <v>989932</v>
      </c>
      <c r="AN103">
        <v>1098816</v>
      </c>
      <c r="AO103">
        <v>1042074</v>
      </c>
      <c r="AP103">
        <v>1565143</v>
      </c>
      <c r="AQ103">
        <v>1398034</v>
      </c>
      <c r="AR103">
        <v>1219710</v>
      </c>
      <c r="AS103" s="1">
        <v>863593</v>
      </c>
      <c r="AT103">
        <v>5740</v>
      </c>
      <c r="AU103">
        <v>3493</v>
      </c>
      <c r="AV103" s="1">
        <v>528</v>
      </c>
      <c r="AY103" s="3">
        <v>2</v>
      </c>
      <c r="AZ103" s="3">
        <v>94982</v>
      </c>
      <c r="BA103" s="3">
        <v>520477</v>
      </c>
      <c r="BB103" s="1">
        <v>1047620</v>
      </c>
    </row>
    <row r="104" spans="2:54">
      <c r="B104" t="s">
        <v>70</v>
      </c>
      <c r="X104">
        <f>5296+20394</f>
        <v>25690</v>
      </c>
      <c r="Y104">
        <f>711909+159845</f>
        <v>871754</v>
      </c>
      <c r="Z104">
        <v>250451</v>
      </c>
      <c r="AA104">
        <v>321031</v>
      </c>
      <c r="AB104">
        <v>537595</v>
      </c>
      <c r="AC104">
        <v>810318</v>
      </c>
      <c r="AD104">
        <v>794202</v>
      </c>
      <c r="AE104">
        <v>526918</v>
      </c>
      <c r="AF104">
        <v>806868</v>
      </c>
      <c r="AG104">
        <f>952229+6087</f>
        <v>958316</v>
      </c>
      <c r="AH104">
        <f>945700+57051</f>
        <v>1002751</v>
      </c>
      <c r="AI104">
        <f>898105+13607</f>
        <v>911712</v>
      </c>
      <c r="AJ104">
        <v>439563</v>
      </c>
      <c r="AK104">
        <v>715392</v>
      </c>
      <c r="AL104">
        <v>554004</v>
      </c>
      <c r="AM104">
        <v>616471</v>
      </c>
      <c r="AN104">
        <v>742888</v>
      </c>
      <c r="AO104">
        <v>603100</v>
      </c>
      <c r="AP104">
        <v>457773</v>
      </c>
      <c r="AQ104">
        <v>480197</v>
      </c>
      <c r="AR104">
        <v>102030</v>
      </c>
      <c r="AS104" s="1">
        <v>56098</v>
      </c>
      <c r="AT104">
        <v>5439</v>
      </c>
      <c r="AU104">
        <v>5091</v>
      </c>
      <c r="AV104" s="1">
        <v>3791</v>
      </c>
      <c r="AW104" s="1">
        <v>2814</v>
      </c>
      <c r="AX104" s="1">
        <v>4568</v>
      </c>
      <c r="AY104" s="3">
        <v>118038</v>
      </c>
      <c r="AZ104" s="3">
        <v>1501726</v>
      </c>
      <c r="BA104" s="3">
        <v>11180068</v>
      </c>
      <c r="BB104" s="1">
        <v>665612</v>
      </c>
    </row>
    <row r="105" spans="2:54">
      <c r="B105" t="s">
        <v>71</v>
      </c>
      <c r="AF105">
        <v>1</v>
      </c>
      <c r="AI105">
        <v>2</v>
      </c>
      <c r="AY105" s="3"/>
      <c r="AZ105" s="3"/>
      <c r="BA105" s="3"/>
    </row>
    <row r="106" spans="2:54">
      <c r="B106" t="s">
        <v>135</v>
      </c>
      <c r="AT106">
        <v>53704</v>
      </c>
      <c r="AU106">
        <v>159220</v>
      </c>
      <c r="AV106" s="1">
        <v>191117</v>
      </c>
      <c r="AW106" s="1">
        <v>451039</v>
      </c>
      <c r="AX106" s="1">
        <v>637188</v>
      </c>
      <c r="AY106" s="3">
        <v>490565</v>
      </c>
      <c r="AZ106" s="3">
        <v>209917</v>
      </c>
      <c r="BA106" s="3">
        <v>5864622</v>
      </c>
      <c r="BB106" s="1">
        <v>4560866</v>
      </c>
    </row>
    <row r="107" spans="2:54">
      <c r="B107" t="s">
        <v>72</v>
      </c>
      <c r="Z107">
        <v>59721</v>
      </c>
      <c r="AA107">
        <v>141779</v>
      </c>
      <c r="AB107">
        <v>245070</v>
      </c>
      <c r="AC107">
        <v>59625</v>
      </c>
      <c r="AD107">
        <v>142781</v>
      </c>
      <c r="AE107">
        <v>109909</v>
      </c>
      <c r="AF107">
        <v>77200</v>
      </c>
      <c r="AG107">
        <v>39248</v>
      </c>
      <c r="AH107">
        <v>12467</v>
      </c>
      <c r="AI107">
        <v>769</v>
      </c>
      <c r="AJ107">
        <v>3426</v>
      </c>
      <c r="AK107">
        <v>161</v>
      </c>
      <c r="AL107">
        <v>79</v>
      </c>
      <c r="AM107">
        <v>1050</v>
      </c>
      <c r="AN107">
        <v>213</v>
      </c>
      <c r="AO107">
        <v>638</v>
      </c>
      <c r="AP107">
        <v>662</v>
      </c>
      <c r="AQ107">
        <v>1209</v>
      </c>
      <c r="AR107">
        <v>732</v>
      </c>
      <c r="AS107" s="1">
        <v>696</v>
      </c>
      <c r="AT107">
        <v>2440</v>
      </c>
      <c r="AU107">
        <v>58</v>
      </c>
      <c r="AY107" s="3">
        <v>62</v>
      </c>
      <c r="AZ107" s="3">
        <v>6074</v>
      </c>
      <c r="BA107" s="3">
        <v>14659</v>
      </c>
      <c r="BB107" s="1">
        <v>4003</v>
      </c>
    </row>
    <row r="108" spans="2:54">
      <c r="B108" t="s">
        <v>73</v>
      </c>
      <c r="X108">
        <v>265273</v>
      </c>
      <c r="Y108">
        <f>324697+258</f>
        <v>324955</v>
      </c>
      <c r="Z108">
        <v>120770</v>
      </c>
      <c r="AA108">
        <v>118344</v>
      </c>
      <c r="AB108">
        <v>150260</v>
      </c>
      <c r="AC108">
        <v>134152</v>
      </c>
      <c r="AD108">
        <v>121697</v>
      </c>
      <c r="AE108">
        <v>111857</v>
      </c>
      <c r="AF108">
        <v>90032</v>
      </c>
      <c r="AG108">
        <v>103484</v>
      </c>
      <c r="AH108">
        <v>126392</v>
      </c>
      <c r="AI108">
        <v>130491</v>
      </c>
      <c r="AJ108">
        <v>86571</v>
      </c>
      <c r="AK108">
        <v>96293</v>
      </c>
      <c r="AL108">
        <v>69940</v>
      </c>
      <c r="AM108">
        <v>76060</v>
      </c>
      <c r="AN108">
        <v>57317</v>
      </c>
      <c r="AO108">
        <v>64682</v>
      </c>
      <c r="AP108">
        <v>35429</v>
      </c>
      <c r="AQ108">
        <v>8863</v>
      </c>
      <c r="AR108">
        <v>2238</v>
      </c>
      <c r="AS108" s="1">
        <v>4268</v>
      </c>
      <c r="AT108">
        <v>44</v>
      </c>
      <c r="AU108">
        <v>391</v>
      </c>
      <c r="AV108" s="1">
        <v>50</v>
      </c>
      <c r="AW108" s="1">
        <v>715</v>
      </c>
      <c r="AX108" s="1">
        <v>16856</v>
      </c>
      <c r="AY108" s="3">
        <v>376533</v>
      </c>
      <c r="AZ108" s="3">
        <v>1379760</v>
      </c>
      <c r="BA108" s="3">
        <v>1225826</v>
      </c>
      <c r="BB108" s="1">
        <v>742454</v>
      </c>
    </row>
    <row r="109" spans="2:54">
      <c r="B109" t="s">
        <v>111</v>
      </c>
      <c r="AK109">
        <v>8</v>
      </c>
      <c r="AL109">
        <v>8</v>
      </c>
      <c r="AM109">
        <v>138</v>
      </c>
      <c r="AN109">
        <v>103</v>
      </c>
      <c r="AO109">
        <v>21</v>
      </c>
      <c r="AP109">
        <v>65</v>
      </c>
      <c r="AQ109">
        <v>168</v>
      </c>
      <c r="AR109">
        <v>1</v>
      </c>
      <c r="AS109" s="1">
        <v>68</v>
      </c>
      <c r="AU109">
        <v>1</v>
      </c>
      <c r="AV109" s="1">
        <v>4</v>
      </c>
      <c r="AW109" s="1">
        <v>4</v>
      </c>
      <c r="AX109" s="1">
        <v>200</v>
      </c>
      <c r="AY109" s="3">
        <v>16033</v>
      </c>
      <c r="AZ109" s="3">
        <v>41425</v>
      </c>
      <c r="BA109" s="3">
        <v>160781</v>
      </c>
      <c r="BB109" s="1">
        <v>21710</v>
      </c>
    </row>
    <row r="110" spans="2:54">
      <c r="B110" t="s">
        <v>113</v>
      </c>
      <c r="AK110">
        <v>100</v>
      </c>
      <c r="AL110">
        <v>129</v>
      </c>
      <c r="AM110">
        <v>109</v>
      </c>
      <c r="AN110">
        <v>164</v>
      </c>
      <c r="AO110">
        <v>46</v>
      </c>
      <c r="AP110">
        <v>78</v>
      </c>
      <c r="AQ110">
        <v>298</v>
      </c>
      <c r="AR110">
        <v>6</v>
      </c>
      <c r="AS110" s="1">
        <v>7</v>
      </c>
      <c r="AU110">
        <v>1</v>
      </c>
      <c r="AY110" s="3">
        <v>12</v>
      </c>
      <c r="AZ110" s="3"/>
      <c r="BA110" s="3"/>
    </row>
    <row r="111" spans="2:54">
      <c r="B111" t="s">
        <v>74</v>
      </c>
      <c r="X111">
        <v>443118</v>
      </c>
      <c r="Y111">
        <v>1639665</v>
      </c>
      <c r="Z111">
        <v>778347</v>
      </c>
      <c r="AA111">
        <v>687677</v>
      </c>
      <c r="AB111">
        <v>573725</v>
      </c>
      <c r="AC111">
        <v>576661</v>
      </c>
      <c r="AD111">
        <v>594084</v>
      </c>
      <c r="AE111">
        <v>609496</v>
      </c>
      <c r="AF111">
        <v>511606</v>
      </c>
      <c r="AG111">
        <v>561623</v>
      </c>
      <c r="AH111">
        <v>776869</v>
      </c>
      <c r="AI111">
        <v>549845</v>
      </c>
      <c r="AJ111">
        <v>225689</v>
      </c>
      <c r="AK111">
        <v>314069</v>
      </c>
      <c r="AL111">
        <v>227554</v>
      </c>
      <c r="AM111">
        <v>328664</v>
      </c>
      <c r="AN111">
        <v>369344</v>
      </c>
      <c r="AO111">
        <v>367146</v>
      </c>
      <c r="AP111">
        <v>494095</v>
      </c>
      <c r="AQ111">
        <v>531237</v>
      </c>
      <c r="AR111">
        <v>394566</v>
      </c>
      <c r="AS111" s="1">
        <v>173464</v>
      </c>
      <c r="AT111">
        <v>8717</v>
      </c>
      <c r="AU111">
        <v>776</v>
      </c>
      <c r="AW111" s="1">
        <v>7</v>
      </c>
      <c r="AX111" s="1">
        <v>71566</v>
      </c>
      <c r="AY111" s="3">
        <v>472654</v>
      </c>
      <c r="AZ111" s="3">
        <v>572147</v>
      </c>
      <c r="BA111" s="3">
        <v>2609498</v>
      </c>
      <c r="BB111" s="1">
        <v>2894722</v>
      </c>
    </row>
    <row r="112" spans="2:54">
      <c r="B112" t="s">
        <v>75</v>
      </c>
      <c r="X112">
        <f>450887+4420</f>
        <v>455307</v>
      </c>
      <c r="Y112">
        <f>1541239+8407</f>
        <v>1549646</v>
      </c>
      <c r="Z112">
        <v>612945</v>
      </c>
      <c r="AA112">
        <v>515546</v>
      </c>
      <c r="AB112">
        <v>573164</v>
      </c>
      <c r="AC112">
        <v>638299</v>
      </c>
      <c r="AD112">
        <v>639363</v>
      </c>
      <c r="AE112">
        <v>507954</v>
      </c>
      <c r="AF112">
        <v>453672</v>
      </c>
      <c r="AG112">
        <f>607201+4918</f>
        <v>612119</v>
      </c>
      <c r="AH112">
        <f>685506+6920</f>
        <v>692426</v>
      </c>
      <c r="AI112">
        <f>569783+3451</f>
        <v>573234</v>
      </c>
      <c r="AJ112">
        <v>414961</v>
      </c>
      <c r="AK112">
        <v>298728</v>
      </c>
      <c r="AL112">
        <v>329052</v>
      </c>
      <c r="AM112">
        <v>332644</v>
      </c>
      <c r="AN112">
        <v>318819</v>
      </c>
      <c r="AO112">
        <v>401835</v>
      </c>
      <c r="AP112">
        <v>511043</v>
      </c>
      <c r="AQ112">
        <v>597061</v>
      </c>
      <c r="AR112">
        <v>634262</v>
      </c>
      <c r="AS112" s="1">
        <v>423248</v>
      </c>
      <c r="AT112">
        <v>335574</v>
      </c>
      <c r="AU112">
        <v>698063</v>
      </c>
      <c r="AV112" s="1">
        <v>598486</v>
      </c>
      <c r="AW112" s="1">
        <v>329894</v>
      </c>
      <c r="AX112" s="1">
        <v>562823</v>
      </c>
      <c r="AY112" s="3">
        <v>1008365</v>
      </c>
      <c r="AZ112" s="5">
        <v>1413418</v>
      </c>
      <c r="BA112" s="3">
        <v>1532156</v>
      </c>
      <c r="BB112" s="1">
        <v>2199479</v>
      </c>
    </row>
    <row r="113" spans="2:54">
      <c r="B113" t="s">
        <v>76</v>
      </c>
      <c r="X113">
        <f>365495+2346</f>
        <v>367841</v>
      </c>
      <c r="Y113">
        <f>721002+1522</f>
        <v>722524</v>
      </c>
      <c r="Z113">
        <v>267326</v>
      </c>
      <c r="AA113">
        <v>719762</v>
      </c>
      <c r="AB113">
        <v>793860</v>
      </c>
      <c r="AC113">
        <v>848048</v>
      </c>
      <c r="AD113">
        <v>966863</v>
      </c>
      <c r="AE113">
        <v>718257</v>
      </c>
      <c r="AF113">
        <v>584684</v>
      </c>
      <c r="AG113">
        <f>873448+216</f>
        <v>873664</v>
      </c>
      <c r="AH113">
        <f>684837+3446</f>
        <v>688283</v>
      </c>
      <c r="AI113">
        <f>877245+1692</f>
        <v>878937</v>
      </c>
      <c r="AJ113">
        <v>390341</v>
      </c>
      <c r="AK113">
        <v>180121</v>
      </c>
      <c r="AL113">
        <v>115110</v>
      </c>
      <c r="AM113">
        <v>119882</v>
      </c>
      <c r="AN113">
        <v>208323</v>
      </c>
      <c r="AO113">
        <v>276441</v>
      </c>
      <c r="AP113">
        <v>211765</v>
      </c>
      <c r="AQ113">
        <v>203197</v>
      </c>
      <c r="AR113">
        <v>159850</v>
      </c>
      <c r="AS113" s="1">
        <v>149456</v>
      </c>
      <c r="AT113">
        <v>89161</v>
      </c>
      <c r="AU113">
        <v>124680</v>
      </c>
      <c r="AV113" s="1">
        <v>263189</v>
      </c>
      <c r="AW113" s="1">
        <v>425565</v>
      </c>
      <c r="AX113" s="1">
        <v>646107</v>
      </c>
      <c r="AY113" s="3">
        <v>751445</v>
      </c>
      <c r="AZ113" s="3">
        <v>362168</v>
      </c>
      <c r="BA113" s="3">
        <v>325514</v>
      </c>
      <c r="BB113" s="1">
        <v>309406</v>
      </c>
    </row>
    <row r="114" spans="2:54">
      <c r="B114" t="s">
        <v>139</v>
      </c>
      <c r="AW114" s="1"/>
      <c r="AX114" s="1"/>
      <c r="AY114" s="3"/>
      <c r="AZ114" s="3">
        <v>19453</v>
      </c>
      <c r="BA114" s="3">
        <v>110772</v>
      </c>
      <c r="BB114" s="1">
        <v>33774</v>
      </c>
    </row>
    <row r="115" spans="2:54">
      <c r="B115" t="s">
        <v>77</v>
      </c>
      <c r="X115">
        <f>443859+188051</f>
        <v>631910</v>
      </c>
      <c r="Y115">
        <f>897240+277502</f>
        <v>1174742</v>
      </c>
      <c r="Z115">
        <v>784912</v>
      </c>
      <c r="AA115">
        <v>881036</v>
      </c>
      <c r="AB115">
        <v>747020</v>
      </c>
      <c r="AC115">
        <v>827285</v>
      </c>
      <c r="AD115">
        <v>1111359</v>
      </c>
      <c r="AE115">
        <v>1492112</v>
      </c>
      <c r="AF115">
        <v>993476</v>
      </c>
      <c r="AG115">
        <f>505581+832497</f>
        <v>1338078</v>
      </c>
      <c r="AH115">
        <f>513218+573895</f>
        <v>1087113</v>
      </c>
      <c r="AI115">
        <f>548095+430102</f>
        <v>978197</v>
      </c>
      <c r="AJ115">
        <v>765793</v>
      </c>
      <c r="AK115">
        <v>459158</v>
      </c>
      <c r="AL115">
        <v>385424</v>
      </c>
      <c r="AM115">
        <v>413289</v>
      </c>
      <c r="AN115">
        <v>325464</v>
      </c>
      <c r="AO115">
        <v>258261</v>
      </c>
      <c r="AP115">
        <v>248827</v>
      </c>
      <c r="AQ115">
        <v>218412</v>
      </c>
      <c r="AR115">
        <v>250573</v>
      </c>
      <c r="AS115" s="1">
        <v>247926</v>
      </c>
      <c r="AT115">
        <v>405335</v>
      </c>
      <c r="AU115">
        <v>902348</v>
      </c>
      <c r="AV115" s="1">
        <v>2903055</v>
      </c>
      <c r="AW115" s="1">
        <v>4356992</v>
      </c>
      <c r="AX115" s="1">
        <v>4817898</v>
      </c>
      <c r="AY115" s="3">
        <v>4661455</v>
      </c>
      <c r="AZ115" s="3">
        <v>3548679</v>
      </c>
      <c r="BA115" s="3">
        <v>2489957</v>
      </c>
      <c r="BB115" s="1">
        <v>2342454</v>
      </c>
    </row>
    <row r="116" spans="2:54">
      <c r="B116" t="s">
        <v>78</v>
      </c>
      <c r="X116">
        <f>2864555+25194</f>
        <v>2889749</v>
      </c>
      <c r="Y116">
        <f>10714933+36122</f>
        <v>10751055</v>
      </c>
      <c r="Z116">
        <v>8355500</v>
      </c>
      <c r="AA116">
        <v>1590945</v>
      </c>
      <c r="AB116">
        <v>1702765</v>
      </c>
      <c r="AC116">
        <v>1798542</v>
      </c>
      <c r="AD116">
        <v>2116238</v>
      </c>
      <c r="AE116">
        <v>2474217</v>
      </c>
      <c r="AF116">
        <v>2274503</v>
      </c>
      <c r="AG116">
        <f>2679607+8192</f>
        <v>2687799</v>
      </c>
      <c r="AH116">
        <f>2780743+15222</f>
        <v>2795965</v>
      </c>
      <c r="AI116">
        <f>2183442+26481</f>
        <v>2209923</v>
      </c>
      <c r="AJ116">
        <v>1366567</v>
      </c>
      <c r="AK116">
        <v>871201</v>
      </c>
      <c r="AL116">
        <v>857118</v>
      </c>
      <c r="AM116">
        <v>1185871</v>
      </c>
      <c r="AN116">
        <v>1666372</v>
      </c>
      <c r="AO116">
        <v>1810152</v>
      </c>
      <c r="AP116">
        <v>2143206</v>
      </c>
      <c r="AQ116">
        <v>2456083</v>
      </c>
      <c r="AR116">
        <v>2681645</v>
      </c>
      <c r="AS116" s="1">
        <v>3594673</v>
      </c>
      <c r="AT116">
        <v>8092517</v>
      </c>
      <c r="AU116">
        <v>13238998</v>
      </c>
      <c r="AV116" s="1">
        <v>4302952</v>
      </c>
      <c r="AW116" s="1">
        <v>6727155</v>
      </c>
      <c r="AX116" s="1">
        <v>8428377</v>
      </c>
      <c r="AY116" s="3">
        <v>9110895</v>
      </c>
      <c r="AZ116" s="3">
        <v>11658961</v>
      </c>
      <c r="BA116" s="3">
        <v>12352928</v>
      </c>
      <c r="BB116" s="1">
        <v>14752070</v>
      </c>
    </row>
    <row r="117" spans="2:54">
      <c r="B117" t="s">
        <v>79</v>
      </c>
      <c r="Z117">
        <v>275</v>
      </c>
      <c r="AB117">
        <v>6</v>
      </c>
      <c r="AC117">
        <v>802</v>
      </c>
      <c r="AD117">
        <v>1202</v>
      </c>
      <c r="AE117">
        <v>4674</v>
      </c>
      <c r="AF117">
        <v>2252</v>
      </c>
      <c r="AG117">
        <v>1510</v>
      </c>
      <c r="AH117">
        <v>2785</v>
      </c>
      <c r="AI117">
        <v>3539</v>
      </c>
      <c r="AJ117">
        <v>2263</v>
      </c>
      <c r="AK117">
        <v>390</v>
      </c>
      <c r="AL117">
        <v>623</v>
      </c>
      <c r="AM117">
        <v>3422</v>
      </c>
      <c r="AN117">
        <v>3394</v>
      </c>
      <c r="AO117">
        <v>6273</v>
      </c>
      <c r="AP117">
        <v>2920</v>
      </c>
      <c r="AQ117">
        <v>5165</v>
      </c>
      <c r="AR117">
        <v>5619</v>
      </c>
      <c r="AS117" s="1">
        <v>1427</v>
      </c>
      <c r="AT117">
        <v>5</v>
      </c>
      <c r="AU117">
        <v>88</v>
      </c>
      <c r="AY117" s="3">
        <v>42525</v>
      </c>
      <c r="AZ117" s="3">
        <v>25360</v>
      </c>
      <c r="BA117" s="3">
        <v>210198</v>
      </c>
      <c r="BB117" s="1">
        <v>730812</v>
      </c>
    </row>
    <row r="118" spans="2:54">
      <c r="B118" t="s">
        <v>80</v>
      </c>
      <c r="AA118">
        <v>1</v>
      </c>
      <c r="AB118">
        <v>3</v>
      </c>
      <c r="AE118">
        <v>5</v>
      </c>
      <c r="AF118">
        <v>3</v>
      </c>
      <c r="AG118">
        <v>13959</v>
      </c>
      <c r="AH118">
        <v>103</v>
      </c>
      <c r="AI118">
        <v>8</v>
      </c>
      <c r="AJ118">
        <v>270</v>
      </c>
      <c r="AK118">
        <v>188334</v>
      </c>
      <c r="AL118">
        <v>4</v>
      </c>
      <c r="AM118">
        <v>32</v>
      </c>
      <c r="AN118">
        <v>10664</v>
      </c>
      <c r="AO118">
        <v>24848</v>
      </c>
      <c r="AP118">
        <v>2058</v>
      </c>
      <c r="AQ118">
        <v>15596</v>
      </c>
      <c r="AR118">
        <v>4597</v>
      </c>
      <c r="AS118" s="1">
        <v>166</v>
      </c>
      <c r="AT118">
        <v>6</v>
      </c>
      <c r="AU118">
        <v>152</v>
      </c>
      <c r="AX118">
        <v>10</v>
      </c>
      <c r="AY118" s="3">
        <v>4</v>
      </c>
      <c r="AZ118" s="3">
        <v>31846</v>
      </c>
      <c r="BA118" s="3">
        <v>944</v>
      </c>
      <c r="BB118" s="1">
        <v>1219</v>
      </c>
    </row>
    <row r="119" spans="2:54">
      <c r="B119" t="s">
        <v>105</v>
      </c>
      <c r="AK119">
        <v>34368</v>
      </c>
      <c r="AL119">
        <v>38572</v>
      </c>
      <c r="AM119">
        <v>33373</v>
      </c>
      <c r="AN119">
        <v>26597</v>
      </c>
      <c r="AO119">
        <v>25908</v>
      </c>
      <c r="AP119">
        <v>22646</v>
      </c>
      <c r="AQ119">
        <v>32923</v>
      </c>
      <c r="AR119">
        <v>27057</v>
      </c>
      <c r="AS119" s="1">
        <v>26620</v>
      </c>
      <c r="AT119">
        <v>29334</v>
      </c>
      <c r="AU119">
        <v>86219</v>
      </c>
      <c r="AV119" s="1">
        <v>78696</v>
      </c>
      <c r="AW119" s="1">
        <v>44819</v>
      </c>
      <c r="AX119" s="1">
        <v>140566</v>
      </c>
      <c r="AY119" s="3">
        <v>60285</v>
      </c>
      <c r="AZ119" s="3">
        <v>21321</v>
      </c>
      <c r="BA119" s="3">
        <v>24385</v>
      </c>
      <c r="BB119" s="1">
        <v>21391</v>
      </c>
    </row>
    <row r="120" spans="2:54">
      <c r="B120" t="s">
        <v>81</v>
      </c>
      <c r="Z120">
        <v>289869</v>
      </c>
      <c r="AA120">
        <v>196036</v>
      </c>
      <c r="AB120">
        <v>137282</v>
      </c>
      <c r="AC120">
        <v>264616</v>
      </c>
      <c r="AD120">
        <v>321683</v>
      </c>
      <c r="AE120">
        <v>272028</v>
      </c>
      <c r="AF120">
        <v>215136</v>
      </c>
      <c r="AG120">
        <v>263525</v>
      </c>
      <c r="AH120">
        <v>285572</v>
      </c>
      <c r="AI120">
        <v>213481</v>
      </c>
      <c r="AJ120">
        <v>125178</v>
      </c>
      <c r="AK120">
        <v>102301</v>
      </c>
      <c r="AL120">
        <v>122592</v>
      </c>
      <c r="AM120">
        <v>181080</v>
      </c>
      <c r="AN120">
        <v>158517</v>
      </c>
      <c r="AO120">
        <v>230896</v>
      </c>
      <c r="AP120">
        <v>278725</v>
      </c>
      <c r="AQ120">
        <v>210966</v>
      </c>
      <c r="AR120">
        <v>323896</v>
      </c>
      <c r="AS120" s="1">
        <v>216755</v>
      </c>
      <c r="AT120">
        <v>10253</v>
      </c>
      <c r="AV120" s="1">
        <v>979</v>
      </c>
      <c r="AX120">
        <v>1</v>
      </c>
      <c r="AY120" s="3">
        <v>58333</v>
      </c>
      <c r="AZ120" s="3">
        <v>748695</v>
      </c>
      <c r="BA120" s="3">
        <v>2438675</v>
      </c>
      <c r="BB120" s="1">
        <v>1846203</v>
      </c>
    </row>
    <row r="121" spans="2:54">
      <c r="B121" t="s">
        <v>100</v>
      </c>
      <c r="AK121">
        <v>1627</v>
      </c>
      <c r="AL121">
        <v>5981</v>
      </c>
      <c r="AM121">
        <v>5842</v>
      </c>
      <c r="AN121">
        <v>2619</v>
      </c>
      <c r="AP121">
        <v>17</v>
      </c>
      <c r="AQ121">
        <v>17</v>
      </c>
      <c r="AR121">
        <v>4</v>
      </c>
      <c r="AY121" s="3">
        <v>1</v>
      </c>
      <c r="AZ121" s="3">
        <v>7</v>
      </c>
      <c r="BA121" s="3">
        <v>360</v>
      </c>
    </row>
    <row r="122" spans="2:54">
      <c r="B122" t="s">
        <v>106</v>
      </c>
      <c r="X122">
        <f>694506+6142</f>
        <v>700648</v>
      </c>
      <c r="Y122">
        <f>2304186+4055</f>
        <v>2308241</v>
      </c>
      <c r="AK122">
        <v>5</v>
      </c>
      <c r="AL122">
        <v>277</v>
      </c>
      <c r="AM122">
        <v>1066</v>
      </c>
      <c r="AN122">
        <v>634</v>
      </c>
      <c r="AO122">
        <v>41788</v>
      </c>
      <c r="AP122">
        <v>20308</v>
      </c>
      <c r="AQ122">
        <v>17356</v>
      </c>
      <c r="AR122">
        <v>187266</v>
      </c>
      <c r="AS122" s="1">
        <v>335963</v>
      </c>
      <c r="AT122">
        <v>556006</v>
      </c>
      <c r="AU122">
        <v>555207</v>
      </c>
      <c r="AV122" s="1">
        <v>120615</v>
      </c>
      <c r="AW122" s="1">
        <v>388721</v>
      </c>
      <c r="AX122" s="1">
        <v>1371470</v>
      </c>
      <c r="AY122" s="3">
        <v>1204734</v>
      </c>
      <c r="AZ122" s="3">
        <v>1139476</v>
      </c>
      <c r="BA122" s="3">
        <v>587823</v>
      </c>
      <c r="BB122" s="1">
        <v>776848</v>
      </c>
    </row>
    <row r="123" spans="2:54">
      <c r="B123" t="s">
        <v>114</v>
      </c>
      <c r="AK123">
        <v>6</v>
      </c>
      <c r="AL123">
        <v>161</v>
      </c>
      <c r="AM123">
        <v>16</v>
      </c>
      <c r="AN123">
        <v>986</v>
      </c>
      <c r="AO123">
        <v>348</v>
      </c>
      <c r="AP123">
        <v>1321</v>
      </c>
      <c r="AQ123">
        <v>154</v>
      </c>
      <c r="AR123">
        <v>80</v>
      </c>
      <c r="AS123" s="1">
        <v>48</v>
      </c>
      <c r="AU123">
        <v>3</v>
      </c>
      <c r="AV123" s="1">
        <v>945</v>
      </c>
      <c r="AX123" s="1">
        <v>68</v>
      </c>
      <c r="AY123" s="3"/>
      <c r="AZ123" s="3">
        <v>1645</v>
      </c>
      <c r="BA123" s="3"/>
      <c r="BB123" s="1">
        <v>10365</v>
      </c>
    </row>
    <row r="124" spans="2:54">
      <c r="B124" t="s">
        <v>115</v>
      </c>
      <c r="AK124">
        <v>16</v>
      </c>
      <c r="AL124">
        <v>33</v>
      </c>
      <c r="AM124">
        <v>134</v>
      </c>
      <c r="AN124">
        <v>102</v>
      </c>
      <c r="AO124">
        <v>278</v>
      </c>
      <c r="AP124">
        <v>2734</v>
      </c>
      <c r="AQ124">
        <v>774</v>
      </c>
      <c r="AR124">
        <v>626</v>
      </c>
      <c r="AS124" s="1">
        <v>1647</v>
      </c>
      <c r="AT124">
        <v>4197</v>
      </c>
      <c r="AU124">
        <v>12753</v>
      </c>
      <c r="AV124" s="1">
        <v>43845</v>
      </c>
      <c r="AW124" s="1">
        <v>112696</v>
      </c>
      <c r="AX124" s="1">
        <v>217545</v>
      </c>
      <c r="AY124" s="3">
        <v>443995</v>
      </c>
      <c r="AZ124" s="3">
        <v>498303</v>
      </c>
      <c r="BA124" s="3">
        <v>1191018</v>
      </c>
      <c r="BB124" s="1">
        <v>1529856</v>
      </c>
    </row>
    <row r="125" spans="2:54">
      <c r="B125" t="s">
        <v>167</v>
      </c>
      <c r="X125">
        <v>1397837</v>
      </c>
      <c r="Y125">
        <f>5880892+1029</f>
        <v>5881921</v>
      </c>
      <c r="AW125" s="1"/>
      <c r="AX125" s="1"/>
      <c r="AY125" s="3"/>
      <c r="AZ125" s="3"/>
      <c r="BA125" s="3"/>
    </row>
    <row r="126" spans="2:54">
      <c r="B126" t="s">
        <v>116</v>
      </c>
      <c r="AK126">
        <v>14</v>
      </c>
      <c r="AL126">
        <v>33</v>
      </c>
      <c r="AM126">
        <v>103</v>
      </c>
      <c r="AT126">
        <v>699</v>
      </c>
      <c r="AV126" s="1">
        <v>2</v>
      </c>
      <c r="AW126">
        <v>1</v>
      </c>
      <c r="AX126" s="1">
        <v>2</v>
      </c>
      <c r="AY126" s="3"/>
      <c r="AZ126" s="3">
        <v>73</v>
      </c>
      <c r="BA126" s="3"/>
    </row>
    <row r="127" spans="2:54">
      <c r="B127" t="s">
        <v>117</v>
      </c>
      <c r="AJ127">
        <v>26</v>
      </c>
      <c r="AK127">
        <v>139</v>
      </c>
      <c r="AL127">
        <v>89</v>
      </c>
      <c r="AM127">
        <v>130</v>
      </c>
      <c r="AN127">
        <v>325</v>
      </c>
      <c r="AO127">
        <v>54559</v>
      </c>
      <c r="AP127">
        <v>971</v>
      </c>
      <c r="AQ127">
        <v>47244</v>
      </c>
      <c r="AR127">
        <v>2903</v>
      </c>
      <c r="AS127" s="1">
        <v>822</v>
      </c>
      <c r="AT127">
        <v>284</v>
      </c>
      <c r="AU127">
        <v>50</v>
      </c>
      <c r="AV127" s="1">
        <v>3</v>
      </c>
      <c r="AX127" s="1">
        <v>3729</v>
      </c>
      <c r="AY127" s="3">
        <v>3183</v>
      </c>
      <c r="AZ127" s="3">
        <v>1153</v>
      </c>
      <c r="BA127" s="3">
        <v>6665</v>
      </c>
      <c r="BB127" s="1">
        <v>3</v>
      </c>
    </row>
    <row r="128" spans="2:54">
      <c r="B128" t="s">
        <v>120</v>
      </c>
      <c r="AK128">
        <v>519</v>
      </c>
      <c r="AL128">
        <v>230</v>
      </c>
      <c r="AQ128">
        <v>230</v>
      </c>
      <c r="AY128" s="3"/>
      <c r="AZ128" s="3"/>
      <c r="BA128" s="3"/>
      <c r="BB128" s="1">
        <v>135</v>
      </c>
    </row>
    <row r="129" spans="2:54">
      <c r="B129" t="s">
        <v>121</v>
      </c>
      <c r="AK129">
        <v>919</v>
      </c>
      <c r="AL129">
        <v>79</v>
      </c>
      <c r="AM129">
        <v>46</v>
      </c>
      <c r="AN129">
        <v>380</v>
      </c>
      <c r="AO129">
        <v>36</v>
      </c>
      <c r="AP129">
        <v>260</v>
      </c>
      <c r="AQ129">
        <v>379</v>
      </c>
      <c r="AR129">
        <v>426</v>
      </c>
      <c r="AS129" s="1">
        <v>79</v>
      </c>
      <c r="AV129" s="1">
        <v>558</v>
      </c>
      <c r="AW129">
        <v>29</v>
      </c>
      <c r="AY129" s="3"/>
      <c r="AZ129" s="3">
        <v>23377</v>
      </c>
      <c r="BA129" s="3">
        <v>119</v>
      </c>
      <c r="BB129" s="1">
        <v>4346</v>
      </c>
    </row>
    <row r="130" spans="2:54">
      <c r="B130" t="s">
        <v>122</v>
      </c>
      <c r="AK130">
        <v>44</v>
      </c>
      <c r="AL130">
        <v>44</v>
      </c>
      <c r="AM130">
        <v>1</v>
      </c>
      <c r="AN130">
        <v>8</v>
      </c>
      <c r="AO130">
        <v>175</v>
      </c>
      <c r="AP130">
        <v>6</v>
      </c>
      <c r="AQ130">
        <v>165</v>
      </c>
      <c r="AW130">
        <v>6</v>
      </c>
      <c r="AX130">
        <v>9</v>
      </c>
      <c r="AY130" s="3">
        <v>3</v>
      </c>
      <c r="AZ130" s="3"/>
      <c r="BA130" s="3">
        <v>2</v>
      </c>
    </row>
    <row r="131" spans="2:54">
      <c r="B131" t="s">
        <v>123</v>
      </c>
      <c r="AI131">
        <v>11953</v>
      </c>
      <c r="AJ131">
        <v>3412</v>
      </c>
      <c r="AK131">
        <v>721</v>
      </c>
      <c r="AM131">
        <v>5</v>
      </c>
      <c r="AY131" s="3"/>
      <c r="AZ131" s="3"/>
      <c r="BA131" s="3"/>
    </row>
    <row r="132" spans="2:54">
      <c r="B132" t="s">
        <v>82</v>
      </c>
      <c r="X132">
        <f>1398483+10043</f>
        <v>1408526</v>
      </c>
      <c r="Y132">
        <f>4099293+11878</f>
        <v>4111171</v>
      </c>
      <c r="Z132">
        <v>1015311</v>
      </c>
      <c r="AA132">
        <v>160776</v>
      </c>
      <c r="AB132">
        <v>117491</v>
      </c>
      <c r="AC132">
        <v>94539</v>
      </c>
      <c r="AD132">
        <f>87803+11</f>
        <v>87814</v>
      </c>
      <c r="AE132">
        <v>37055</v>
      </c>
      <c r="AF132">
        <v>30563</v>
      </c>
      <c r="AG132">
        <f>23288+108</f>
        <v>23396</v>
      </c>
      <c r="AH132">
        <v>29012</v>
      </c>
      <c r="AY132" s="3"/>
      <c r="AZ132" s="3"/>
      <c r="BA132" s="3"/>
    </row>
    <row r="133" spans="2:54">
      <c r="B133" t="s">
        <v>158</v>
      </c>
      <c r="AN133">
        <v>4318</v>
      </c>
      <c r="AO133">
        <v>5312</v>
      </c>
      <c r="AP133">
        <v>4168</v>
      </c>
      <c r="AR133">
        <v>5419</v>
      </c>
      <c r="AY133" s="3">
        <v>238666</v>
      </c>
      <c r="AZ133" s="3">
        <v>229911</v>
      </c>
      <c r="BA133" s="3">
        <v>175962</v>
      </c>
    </row>
    <row r="135" spans="2:54">
      <c r="B135" t="s">
        <v>169</v>
      </c>
      <c r="X135">
        <f t="shared" ref="X135:AM135" si="0">SUM(X4:X134)</f>
        <v>47409717</v>
      </c>
      <c r="Y135">
        <f t="shared" si="0"/>
        <v>101880963</v>
      </c>
      <c r="Z135">
        <f t="shared" si="0"/>
        <v>55507984</v>
      </c>
      <c r="AA135">
        <f t="shared" si="0"/>
        <v>43333938</v>
      </c>
      <c r="AB135">
        <f t="shared" si="0"/>
        <v>45276963</v>
      </c>
      <c r="AC135">
        <f t="shared" si="0"/>
        <v>50736918</v>
      </c>
      <c r="AD135">
        <f t="shared" si="0"/>
        <v>58224895</v>
      </c>
      <c r="AE135">
        <f t="shared" si="0"/>
        <v>52400059</v>
      </c>
      <c r="AF135">
        <f t="shared" si="0"/>
        <v>48685785</v>
      </c>
      <c r="AG135">
        <f t="shared" si="0"/>
        <v>52043969</v>
      </c>
      <c r="AH135">
        <f t="shared" si="0"/>
        <v>56274912</v>
      </c>
      <c r="AI135">
        <f t="shared" si="0"/>
        <v>47488328</v>
      </c>
      <c r="AJ135">
        <f t="shared" si="0"/>
        <v>31528167</v>
      </c>
      <c r="AK135">
        <f t="shared" si="0"/>
        <v>27425483</v>
      </c>
      <c r="AL135">
        <f t="shared" si="0"/>
        <v>26766991</v>
      </c>
      <c r="AM135">
        <f t="shared" si="0"/>
        <v>29303723</v>
      </c>
      <c r="AN135">
        <f>SUM(AN4:AN134)</f>
        <v>32238859</v>
      </c>
      <c r="AO135">
        <f t="shared" ref="AO135:BB135" si="1">SUM(AO4:AO134)</f>
        <v>31532947</v>
      </c>
      <c r="AP135">
        <f t="shared" si="1"/>
        <v>38038098</v>
      </c>
      <c r="AQ135">
        <f t="shared" si="1"/>
        <v>36930900</v>
      </c>
      <c r="AR135">
        <f t="shared" si="1"/>
        <v>34090923</v>
      </c>
      <c r="AS135">
        <f t="shared" si="1"/>
        <v>31356677</v>
      </c>
      <c r="AT135">
        <f t="shared" si="1"/>
        <v>33054900</v>
      </c>
      <c r="AU135">
        <f t="shared" si="1"/>
        <v>55389351</v>
      </c>
      <c r="AV135">
        <f t="shared" si="1"/>
        <v>39087481</v>
      </c>
      <c r="AW135">
        <f t="shared" si="1"/>
        <v>50836073</v>
      </c>
      <c r="AX135">
        <f t="shared" si="1"/>
        <v>60306768</v>
      </c>
      <c r="AY135" s="1">
        <f t="shared" si="1"/>
        <v>83247832</v>
      </c>
      <c r="AZ135" s="1">
        <f t="shared" si="1"/>
        <v>102463615</v>
      </c>
      <c r="BA135" s="1">
        <f t="shared" si="1"/>
        <v>172875511</v>
      </c>
      <c r="BB135" s="1">
        <f t="shared" si="1"/>
        <v>178124989</v>
      </c>
    </row>
    <row r="137" spans="2:54">
      <c r="O137">
        <f>23552826-O135</f>
        <v>23552826</v>
      </c>
      <c r="P137">
        <f>27227118-P135</f>
        <v>27227118</v>
      </c>
      <c r="Q137">
        <f>25907759-Q135</f>
        <v>25907759</v>
      </c>
      <c r="R137">
        <f>27865195-R135</f>
        <v>27865195</v>
      </c>
      <c r="S137">
        <f>21724606-S135</f>
        <v>21724606</v>
      </c>
      <c r="T137">
        <f>19364712-T135</f>
        <v>19364712</v>
      </c>
      <c r="U137">
        <f>31136752-U135</f>
        <v>31136752</v>
      </c>
      <c r="V137">
        <f>33175139-V135</f>
        <v>33175139</v>
      </c>
      <c r="W137">
        <f>51155306-W135</f>
        <v>51155306</v>
      </c>
      <c r="X137">
        <f>47409717-X135</f>
        <v>0</v>
      </c>
      <c r="Y137">
        <f>101880963-Y135</f>
        <v>0</v>
      </c>
      <c r="Z137">
        <f>55507984-Z135</f>
        <v>0</v>
      </c>
      <c r="AA137">
        <f>43333938-AA135</f>
        <v>0</v>
      </c>
      <c r="AB137">
        <f>45276963-AB135</f>
        <v>0</v>
      </c>
      <c r="AC137">
        <f>50736918-AC135</f>
        <v>0</v>
      </c>
      <c r="AD137">
        <f>58224895-AD135</f>
        <v>0</v>
      </c>
      <c r="AE137">
        <f>52400059-AE135</f>
        <v>0</v>
      </c>
      <c r="AF137">
        <f>48685785-AF135</f>
        <v>0</v>
      </c>
      <c r="AG137">
        <f>50437624+1606345-AG135</f>
        <v>0</v>
      </c>
      <c r="AH137">
        <f>54820581+1454331-AH135</f>
        <v>0</v>
      </c>
      <c r="AI137">
        <f>46317693+1170635-AI135</f>
        <v>0</v>
      </c>
      <c r="AJ137">
        <f>31528167-AJ135</f>
        <v>0</v>
      </c>
      <c r="AK137">
        <f>27425483-AK135</f>
        <v>0</v>
      </c>
      <c r="AL137">
        <f>26766991-AL135</f>
        <v>0</v>
      </c>
      <c r="AM137">
        <f>29303723-AM135</f>
        <v>0</v>
      </c>
      <c r="AN137">
        <f>32238859-AN135</f>
        <v>0</v>
      </c>
      <c r="AO137">
        <f>31532947-AO135</f>
        <v>0</v>
      </c>
      <c r="AP137">
        <f>38038098-AP135</f>
        <v>0</v>
      </c>
      <c r="AQ137">
        <f>36934373-AQ135-3473</f>
        <v>0</v>
      </c>
      <c r="AR137">
        <f>34090923-AR135</f>
        <v>0</v>
      </c>
      <c r="AS137" s="1">
        <f>31377815-AS135-21138</f>
        <v>0</v>
      </c>
      <c r="AT137">
        <f>33127335-AT135-72435</f>
        <v>0</v>
      </c>
      <c r="AU137">
        <f>55512004-AU135-122653</f>
        <v>0</v>
      </c>
      <c r="AV137" s="1">
        <f>39196426-AV135-108945</f>
        <v>0</v>
      </c>
      <c r="AW137">
        <f>51007398-AW135-171325</f>
        <v>0</v>
      </c>
      <c r="AX137">
        <f>60475769-AX135-169001</f>
        <v>0</v>
      </c>
      <c r="AY137" s="1">
        <f>83247832-AY135</f>
        <v>0</v>
      </c>
      <c r="AZ137" s="1">
        <f>102463615-AZ135</f>
        <v>0</v>
      </c>
      <c r="BA137" s="1">
        <f>172875511-BA135</f>
        <v>0</v>
      </c>
      <c r="BB137" s="1">
        <f>178229700-BB135-104711</f>
        <v>0</v>
      </c>
    </row>
    <row r="139" spans="2:54">
      <c r="AQ139" t="s">
        <v>156</v>
      </c>
    </row>
    <row r="140" spans="2:54">
      <c r="X140" t="s">
        <v>89</v>
      </c>
      <c r="Y140" t="s">
        <v>89</v>
      </c>
      <c r="Z140" t="s">
        <v>89</v>
      </c>
      <c r="AA140" t="s">
        <v>89</v>
      </c>
      <c r="AB140" t="s">
        <v>86</v>
      </c>
      <c r="AC140" t="s">
        <v>86</v>
      </c>
      <c r="AD140" t="s">
        <v>86</v>
      </c>
      <c r="AE140" t="s">
        <v>86</v>
      </c>
      <c r="AF140" t="s">
        <v>86</v>
      </c>
    </row>
    <row r="142" spans="2:54">
      <c r="X142" t="s">
        <v>88</v>
      </c>
      <c r="Y142" t="s">
        <v>88</v>
      </c>
      <c r="Z142" t="s">
        <v>88</v>
      </c>
      <c r="AA142" t="s">
        <v>88</v>
      </c>
      <c r="AB142" t="s">
        <v>88</v>
      </c>
      <c r="AC142" t="s">
        <v>88</v>
      </c>
      <c r="AD142" t="s">
        <v>88</v>
      </c>
      <c r="AE142" t="s">
        <v>88</v>
      </c>
      <c r="AF142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34"/>
  <sheetViews>
    <sheetView workbookViewId="0">
      <pane xSplit="3" ySplit="3" topLeftCell="T4" activePane="bottomRight" state="frozen"/>
      <selection activeCell="A54" sqref="A54:XFD54"/>
      <selection pane="topRight" activeCell="A54" sqref="A54:XFD54"/>
      <selection pane="bottomLeft" activeCell="A54" sqref="A54:XFD54"/>
      <selection pane="bottomRight" activeCell="B26" sqref="B26:B28"/>
    </sheetView>
  </sheetViews>
  <sheetFormatPr defaultRowHeight="15"/>
  <cols>
    <col min="37" max="37" width="9.140625" style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 s="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s="1"/>
      <c r="AC2" s="1"/>
      <c r="AE2" s="1"/>
    </row>
    <row r="3" spans="1:55">
      <c r="X3" t="s">
        <v>83</v>
      </c>
      <c r="Y3" t="s">
        <v>83</v>
      </c>
      <c r="Z3" t="s">
        <v>83</v>
      </c>
      <c r="AA3" t="s">
        <v>83</v>
      </c>
      <c r="AB3" t="s">
        <v>83</v>
      </c>
      <c r="AC3" t="s">
        <v>83</v>
      </c>
      <c r="AD3" t="s">
        <v>83</v>
      </c>
      <c r="AE3" t="s">
        <v>83</v>
      </c>
      <c r="AF3" t="s">
        <v>83</v>
      </c>
    </row>
    <row r="4" spans="1:55">
      <c r="A4" t="s">
        <v>2</v>
      </c>
      <c r="B4" t="s">
        <v>3</v>
      </c>
      <c r="Z4">
        <v>17045830</v>
      </c>
      <c r="AA4">
        <v>23035915</v>
      </c>
      <c r="AB4">
        <v>28354293</v>
      </c>
      <c r="AC4">
        <v>31955625</v>
      </c>
      <c r="AD4">
        <v>26167972</v>
      </c>
      <c r="AE4">
        <v>18921153</v>
      </c>
      <c r="AF4">
        <v>19138089</v>
      </c>
      <c r="AK4" s="1">
        <v>10369940</v>
      </c>
      <c r="AL4">
        <v>12001014</v>
      </c>
      <c r="AM4">
        <v>9937874</v>
      </c>
      <c r="AQ4">
        <v>9863700</v>
      </c>
    </row>
    <row r="5" spans="1:55">
      <c r="B5" t="s">
        <v>4</v>
      </c>
      <c r="Z5">
        <v>72862</v>
      </c>
      <c r="AA5">
        <v>48756</v>
      </c>
      <c r="AB5">
        <v>38166</v>
      </c>
      <c r="AC5">
        <v>40295</v>
      </c>
      <c r="AD5">
        <v>37103</v>
      </c>
      <c r="AE5">
        <v>35830</v>
      </c>
      <c r="AF5">
        <v>51515</v>
      </c>
      <c r="AK5" s="1">
        <v>66719</v>
      </c>
      <c r="AL5">
        <v>64403</v>
      </c>
      <c r="AM5">
        <v>90335</v>
      </c>
      <c r="AQ5">
        <v>45370</v>
      </c>
    </row>
    <row r="6" spans="1:55">
      <c r="B6" t="s">
        <v>5</v>
      </c>
      <c r="Z6">
        <v>2352</v>
      </c>
      <c r="AA6">
        <v>2870</v>
      </c>
      <c r="AB6">
        <v>1813</v>
      </c>
      <c r="AC6">
        <v>1781</v>
      </c>
      <c r="AD6">
        <v>1726</v>
      </c>
      <c r="AE6">
        <v>2093</v>
      </c>
      <c r="AF6">
        <v>2483</v>
      </c>
      <c r="AK6" s="1">
        <v>35883</v>
      </c>
      <c r="AL6">
        <v>69566</v>
      </c>
      <c r="AM6">
        <v>75370</v>
      </c>
      <c r="AQ6">
        <v>8351</v>
      </c>
    </row>
    <row r="7" spans="1:55">
      <c r="B7" t="s">
        <v>6</v>
      </c>
      <c r="Z7">
        <v>15761</v>
      </c>
      <c r="AA7">
        <v>2755</v>
      </c>
      <c r="AB7">
        <v>19207</v>
      </c>
      <c r="AC7">
        <v>12939</v>
      </c>
      <c r="AD7">
        <v>7711</v>
      </c>
      <c r="AE7">
        <v>7629</v>
      </c>
      <c r="AF7">
        <v>8859</v>
      </c>
      <c r="AK7" s="1">
        <v>16899</v>
      </c>
      <c r="AL7">
        <v>42909</v>
      </c>
      <c r="AM7">
        <v>37702</v>
      </c>
      <c r="AQ7">
        <v>55663</v>
      </c>
    </row>
    <row r="8" spans="1:55">
      <c r="B8" t="s">
        <v>7</v>
      </c>
      <c r="Z8">
        <v>4664</v>
      </c>
      <c r="AA8">
        <v>3365</v>
      </c>
      <c r="AB8">
        <v>5484</v>
      </c>
      <c r="AC8">
        <v>10114</v>
      </c>
      <c r="AD8">
        <v>9527</v>
      </c>
      <c r="AE8">
        <v>8579</v>
      </c>
      <c r="AF8">
        <v>12082</v>
      </c>
      <c r="AK8" s="1">
        <v>11100</v>
      </c>
      <c r="AL8">
        <v>17448</v>
      </c>
      <c r="AM8">
        <v>14331</v>
      </c>
      <c r="AQ8">
        <v>16151</v>
      </c>
    </row>
    <row r="9" spans="1:55">
      <c r="B9" t="s">
        <v>8</v>
      </c>
      <c r="Z9">
        <v>201</v>
      </c>
      <c r="AA9">
        <v>49</v>
      </c>
      <c r="AB9">
        <v>215</v>
      </c>
      <c r="AC9">
        <v>15</v>
      </c>
      <c r="AD9">
        <v>175</v>
      </c>
      <c r="AE9">
        <v>605</v>
      </c>
      <c r="AF9">
        <v>594</v>
      </c>
      <c r="AK9" s="1">
        <v>20</v>
      </c>
      <c r="AL9">
        <v>1</v>
      </c>
      <c r="AM9">
        <v>26</v>
      </c>
      <c r="AQ9">
        <v>144</v>
      </c>
    </row>
    <row r="10" spans="1:55">
      <c r="B10" t="s">
        <v>9</v>
      </c>
      <c r="Z10">
        <v>134199</v>
      </c>
      <c r="AA10">
        <v>130296</v>
      </c>
      <c r="AB10">
        <v>184195</v>
      </c>
      <c r="AC10">
        <v>206201</v>
      </c>
      <c r="AD10">
        <v>50863</v>
      </c>
      <c r="AE10">
        <v>505118</v>
      </c>
      <c r="AF10">
        <v>624638</v>
      </c>
      <c r="AK10" s="1">
        <v>921690</v>
      </c>
      <c r="AL10">
        <v>445410</v>
      </c>
      <c r="AM10">
        <v>1165793</v>
      </c>
      <c r="AQ10">
        <v>1537569</v>
      </c>
    </row>
    <row r="11" spans="1:55">
      <c r="B11" t="s">
        <v>134</v>
      </c>
      <c r="AQ11">
        <v>10915</v>
      </c>
    </row>
    <row r="12" spans="1:55">
      <c r="B12" t="s">
        <v>10</v>
      </c>
      <c r="Z12">
        <v>1956</v>
      </c>
      <c r="AA12">
        <v>3741</v>
      </c>
      <c r="AB12">
        <v>4534</v>
      </c>
      <c r="AC12">
        <v>12357</v>
      </c>
      <c r="AD12">
        <v>19811</v>
      </c>
      <c r="AE12">
        <v>23219</v>
      </c>
      <c r="AF12">
        <v>62213</v>
      </c>
      <c r="AK12" s="1">
        <v>30212</v>
      </c>
      <c r="AL12">
        <v>15434</v>
      </c>
      <c r="AM12">
        <v>37462</v>
      </c>
      <c r="AQ12">
        <v>34503</v>
      </c>
    </row>
    <row r="13" spans="1:55">
      <c r="B13" t="s">
        <v>11</v>
      </c>
      <c r="Z13">
        <v>3458</v>
      </c>
      <c r="AA13">
        <v>3611</v>
      </c>
      <c r="AB13">
        <v>3088</v>
      </c>
      <c r="AC13">
        <v>3850</v>
      </c>
      <c r="AD13">
        <v>1828</v>
      </c>
      <c r="AE13">
        <v>169</v>
      </c>
      <c r="AF13">
        <v>719</v>
      </c>
      <c r="AK13" s="1">
        <v>1418</v>
      </c>
      <c r="AL13">
        <v>6684</v>
      </c>
      <c r="AM13">
        <v>1639</v>
      </c>
      <c r="AQ13">
        <v>1182</v>
      </c>
    </row>
    <row r="14" spans="1:55">
      <c r="B14" t="s">
        <v>12</v>
      </c>
      <c r="Z14">
        <v>34558</v>
      </c>
      <c r="AA14">
        <v>34454</v>
      </c>
      <c r="AB14">
        <v>33378</v>
      </c>
      <c r="AC14">
        <v>30573</v>
      </c>
      <c r="AD14">
        <v>37834</v>
      </c>
      <c r="AE14">
        <v>34269</v>
      </c>
      <c r="AF14">
        <v>21597</v>
      </c>
      <c r="AK14" s="1">
        <v>13810</v>
      </c>
      <c r="AL14">
        <v>39270</v>
      </c>
      <c r="AM14">
        <v>53744</v>
      </c>
      <c r="AQ14">
        <v>47872</v>
      </c>
    </row>
    <row r="15" spans="1:55">
      <c r="B15" t="s">
        <v>13</v>
      </c>
      <c r="AA15">
        <v>4</v>
      </c>
      <c r="AB15">
        <v>3</v>
      </c>
      <c r="AF15">
        <v>4</v>
      </c>
      <c r="AK15" s="1">
        <v>4</v>
      </c>
      <c r="AL15">
        <v>31</v>
      </c>
      <c r="AM15">
        <v>98</v>
      </c>
      <c r="AQ15">
        <v>325</v>
      </c>
    </row>
    <row r="16" spans="1:55">
      <c r="B16" t="s">
        <v>90</v>
      </c>
      <c r="Z16">
        <v>30</v>
      </c>
      <c r="AA16">
        <v>19</v>
      </c>
    </row>
    <row r="17" spans="2:43">
      <c r="B17" t="s">
        <v>14</v>
      </c>
      <c r="Z17">
        <v>625</v>
      </c>
      <c r="AA17">
        <v>285</v>
      </c>
      <c r="AB17">
        <v>202</v>
      </c>
      <c r="AC17">
        <v>253</v>
      </c>
      <c r="AD17">
        <v>188</v>
      </c>
      <c r="AE17">
        <v>157</v>
      </c>
      <c r="AF17">
        <v>219</v>
      </c>
    </row>
    <row r="18" spans="2:43">
      <c r="B18" t="s">
        <v>15</v>
      </c>
      <c r="Z18">
        <v>8469</v>
      </c>
      <c r="AA18">
        <v>1009</v>
      </c>
      <c r="AB18">
        <v>16169</v>
      </c>
      <c r="AC18">
        <v>8154</v>
      </c>
      <c r="AD18">
        <v>8095</v>
      </c>
      <c r="AE18">
        <v>1563</v>
      </c>
      <c r="AF18">
        <v>7622</v>
      </c>
      <c r="AK18" s="1">
        <v>69625</v>
      </c>
      <c r="AL18">
        <v>98011</v>
      </c>
      <c r="AM18">
        <v>174924</v>
      </c>
      <c r="AQ18">
        <v>79681</v>
      </c>
    </row>
    <row r="19" spans="2:43">
      <c r="B19" t="s">
        <v>16</v>
      </c>
      <c r="Z19">
        <v>6314</v>
      </c>
      <c r="AA19">
        <v>2834</v>
      </c>
      <c r="AB19">
        <v>6918</v>
      </c>
      <c r="AC19">
        <v>9876</v>
      </c>
      <c r="AD19">
        <v>6841</v>
      </c>
      <c r="AE19">
        <v>14692</v>
      </c>
      <c r="AF19">
        <v>10077</v>
      </c>
      <c r="AK19" s="1">
        <v>8638</v>
      </c>
      <c r="AL19">
        <v>10805</v>
      </c>
      <c r="AM19">
        <v>9440</v>
      </c>
      <c r="AQ19">
        <v>12065</v>
      </c>
    </row>
    <row r="20" spans="2:43">
      <c r="B20" t="s">
        <v>17</v>
      </c>
      <c r="Z20">
        <v>1047</v>
      </c>
      <c r="AA20">
        <v>614</v>
      </c>
      <c r="AB20">
        <v>1034</v>
      </c>
      <c r="AC20">
        <v>891</v>
      </c>
      <c r="AD20">
        <v>1005</v>
      </c>
      <c r="AE20">
        <v>878</v>
      </c>
      <c r="AF20">
        <v>1374</v>
      </c>
      <c r="AK20" s="1">
        <v>1146</v>
      </c>
      <c r="AL20">
        <v>2106</v>
      </c>
      <c r="AM20">
        <v>1358</v>
      </c>
      <c r="AQ20">
        <v>2054</v>
      </c>
    </row>
    <row r="21" spans="2:43">
      <c r="B21" t="s">
        <v>18</v>
      </c>
      <c r="Z21">
        <v>16716</v>
      </c>
      <c r="AA21">
        <v>3289</v>
      </c>
      <c r="AB21">
        <v>5854</v>
      </c>
      <c r="AC21">
        <v>1022</v>
      </c>
      <c r="AD21">
        <v>7982</v>
      </c>
      <c r="AE21">
        <v>5523</v>
      </c>
      <c r="AF21">
        <v>20789</v>
      </c>
      <c r="AK21" s="1">
        <v>2367</v>
      </c>
      <c r="AL21">
        <v>5435</v>
      </c>
      <c r="AM21">
        <v>5222</v>
      </c>
      <c r="AQ21">
        <v>14491</v>
      </c>
    </row>
    <row r="22" spans="2:43">
      <c r="B22" t="s">
        <v>124</v>
      </c>
      <c r="AK22" s="1">
        <v>7159</v>
      </c>
      <c r="AL22">
        <v>8627</v>
      </c>
      <c r="AM22">
        <v>12166</v>
      </c>
      <c r="AQ22">
        <v>44389</v>
      </c>
    </row>
    <row r="23" spans="2:43">
      <c r="B23" t="s">
        <v>125</v>
      </c>
      <c r="AK23" s="1">
        <v>408</v>
      </c>
      <c r="AL23">
        <v>626</v>
      </c>
      <c r="AM23">
        <v>4937</v>
      </c>
      <c r="AQ23">
        <v>8196</v>
      </c>
    </row>
    <row r="24" spans="2:43">
      <c r="B24" t="s">
        <v>19</v>
      </c>
      <c r="Z24">
        <v>3627</v>
      </c>
      <c r="AA24">
        <v>4452</v>
      </c>
      <c r="AB24">
        <v>3095</v>
      </c>
      <c r="AC24">
        <v>39961</v>
      </c>
      <c r="AD24">
        <v>29144</v>
      </c>
      <c r="AE24">
        <v>6003</v>
      </c>
      <c r="AF24">
        <v>42721</v>
      </c>
    </row>
    <row r="25" spans="2:43">
      <c r="B25" t="s">
        <v>20</v>
      </c>
      <c r="Z25">
        <v>2</v>
      </c>
      <c r="AA25">
        <v>26</v>
      </c>
      <c r="AB25">
        <v>146</v>
      </c>
      <c r="AD25">
        <v>85</v>
      </c>
      <c r="AE25">
        <v>46</v>
      </c>
      <c r="AF25">
        <v>169</v>
      </c>
    </row>
    <row r="26" spans="2:43">
      <c r="B26" t="s">
        <v>171</v>
      </c>
    </row>
    <row r="27" spans="2:43">
      <c r="B27" t="s">
        <v>172</v>
      </c>
    </row>
    <row r="28" spans="2:43">
      <c r="B28" t="s">
        <v>173</v>
      </c>
    </row>
    <row r="29" spans="2:43">
      <c r="B29" t="s">
        <v>21</v>
      </c>
      <c r="Z29">
        <v>2085</v>
      </c>
      <c r="AA29">
        <v>2245</v>
      </c>
      <c r="AB29">
        <v>2184</v>
      </c>
      <c r="AC29">
        <v>1709</v>
      </c>
      <c r="AD29">
        <v>2995</v>
      </c>
      <c r="AE29">
        <v>6275</v>
      </c>
      <c r="AF29">
        <v>9429</v>
      </c>
      <c r="AK29" s="1">
        <v>1932</v>
      </c>
      <c r="AL29">
        <v>2496</v>
      </c>
      <c r="AM29">
        <v>1408</v>
      </c>
      <c r="AQ29">
        <v>494</v>
      </c>
    </row>
    <row r="30" spans="2:43">
      <c r="B30" t="s">
        <v>22</v>
      </c>
      <c r="Z30">
        <v>1343</v>
      </c>
      <c r="AA30">
        <v>382</v>
      </c>
      <c r="AB30">
        <v>20</v>
      </c>
      <c r="AC30">
        <v>1875</v>
      </c>
      <c r="AD30">
        <v>272</v>
      </c>
      <c r="AE30">
        <v>1146</v>
      </c>
      <c r="AF30">
        <v>550</v>
      </c>
      <c r="AK30" s="1">
        <v>376</v>
      </c>
      <c r="AL30">
        <v>1616</v>
      </c>
      <c r="AM30">
        <v>4475</v>
      </c>
      <c r="AQ30">
        <v>9543</v>
      </c>
    </row>
    <row r="31" spans="2:43">
      <c r="B31" t="s">
        <v>23</v>
      </c>
      <c r="Z31">
        <v>78205</v>
      </c>
      <c r="AA31">
        <v>69275</v>
      </c>
      <c r="AB31">
        <v>70741</v>
      </c>
      <c r="AC31">
        <v>81081</v>
      </c>
      <c r="AD31">
        <v>32768</v>
      </c>
      <c r="AE31">
        <v>47284</v>
      </c>
      <c r="AF31">
        <v>118686</v>
      </c>
    </row>
    <row r="32" spans="2:43">
      <c r="B32" t="s">
        <v>24</v>
      </c>
      <c r="Z32">
        <v>1129</v>
      </c>
      <c r="AA32">
        <v>1805</v>
      </c>
      <c r="AB32">
        <v>1029</v>
      </c>
      <c r="AC32">
        <v>404</v>
      </c>
      <c r="AD32">
        <v>1705</v>
      </c>
      <c r="AE32">
        <v>1211</v>
      </c>
      <c r="AF32">
        <v>1366</v>
      </c>
      <c r="AK32" s="1">
        <v>18381</v>
      </c>
      <c r="AL32">
        <v>2334</v>
      </c>
      <c r="AM32">
        <v>15816</v>
      </c>
      <c r="AQ32">
        <v>620</v>
      </c>
    </row>
    <row r="33" spans="2:43">
      <c r="B33" t="s">
        <v>25</v>
      </c>
      <c r="Z33">
        <v>150165</v>
      </c>
      <c r="AA33">
        <v>76051</v>
      </c>
      <c r="AB33">
        <v>215418</v>
      </c>
      <c r="AC33">
        <v>204554</v>
      </c>
      <c r="AD33">
        <v>226667</v>
      </c>
      <c r="AE33">
        <v>156411</v>
      </c>
      <c r="AF33">
        <v>284644</v>
      </c>
      <c r="AK33" s="1">
        <v>155693</v>
      </c>
      <c r="AL33">
        <v>146465</v>
      </c>
      <c r="AM33">
        <v>223161</v>
      </c>
      <c r="AQ33">
        <v>262425</v>
      </c>
    </row>
    <row r="34" spans="2:43">
      <c r="B34" t="s">
        <v>26</v>
      </c>
      <c r="Z34">
        <v>190473</v>
      </c>
      <c r="AA34">
        <v>291348</v>
      </c>
      <c r="AB34">
        <v>526155</v>
      </c>
      <c r="AC34">
        <v>284890</v>
      </c>
      <c r="AD34">
        <v>223049</v>
      </c>
      <c r="AE34">
        <v>210757</v>
      </c>
      <c r="AF34">
        <v>243532</v>
      </c>
    </row>
    <row r="35" spans="2:43">
      <c r="B35" t="s">
        <v>94</v>
      </c>
      <c r="AK35" s="1">
        <v>218616</v>
      </c>
      <c r="AL35">
        <v>229206</v>
      </c>
      <c r="AM35">
        <v>314895</v>
      </c>
      <c r="AQ35">
        <v>464746</v>
      </c>
    </row>
    <row r="36" spans="2:43">
      <c r="B36" t="s">
        <v>107</v>
      </c>
      <c r="AK36" s="1">
        <v>870</v>
      </c>
      <c r="AL36">
        <v>1069</v>
      </c>
      <c r="AM36">
        <v>850</v>
      </c>
      <c r="AQ36">
        <v>505</v>
      </c>
    </row>
    <row r="37" spans="2:43">
      <c r="B37" t="s">
        <v>27</v>
      </c>
      <c r="Z37">
        <v>986</v>
      </c>
      <c r="AA37">
        <v>2227</v>
      </c>
      <c r="AB37">
        <v>1204</v>
      </c>
      <c r="AC37">
        <v>731</v>
      </c>
      <c r="AD37">
        <v>993</v>
      </c>
      <c r="AE37">
        <v>1193</v>
      </c>
      <c r="AF37">
        <v>392</v>
      </c>
    </row>
    <row r="38" spans="2:43">
      <c r="B38" t="s">
        <v>28</v>
      </c>
      <c r="AC38">
        <v>4</v>
      </c>
      <c r="AD38">
        <v>1</v>
      </c>
      <c r="AE38">
        <v>4</v>
      </c>
      <c r="AF38">
        <v>40</v>
      </c>
    </row>
    <row r="39" spans="2:43">
      <c r="B39" t="s">
        <v>29</v>
      </c>
      <c r="Z39">
        <v>197</v>
      </c>
      <c r="AA39">
        <v>681</v>
      </c>
      <c r="AB39">
        <v>100</v>
      </c>
      <c r="AC39">
        <v>470</v>
      </c>
      <c r="AD39">
        <v>112</v>
      </c>
      <c r="AE39">
        <v>69</v>
      </c>
      <c r="AF39">
        <v>147</v>
      </c>
      <c r="AK39" s="1">
        <v>101</v>
      </c>
      <c r="AL39">
        <v>121</v>
      </c>
      <c r="AM39">
        <v>101</v>
      </c>
      <c r="AQ39">
        <v>374</v>
      </c>
    </row>
    <row r="40" spans="2:43">
      <c r="B40" t="s">
        <v>30</v>
      </c>
      <c r="Z40">
        <v>575</v>
      </c>
      <c r="AA40">
        <v>6704</v>
      </c>
      <c r="AB40">
        <v>8655</v>
      </c>
      <c r="AC40">
        <v>14587</v>
      </c>
      <c r="AD40">
        <v>29521</v>
      </c>
      <c r="AE40">
        <v>15691</v>
      </c>
      <c r="AF40">
        <v>11538</v>
      </c>
      <c r="AK40" s="1">
        <v>14647</v>
      </c>
      <c r="AL40">
        <v>11733</v>
      </c>
      <c r="AM40">
        <v>19324</v>
      </c>
      <c r="AQ40">
        <v>28190</v>
      </c>
    </row>
    <row r="41" spans="2:43">
      <c r="B41" t="s">
        <v>31</v>
      </c>
      <c r="Z41">
        <v>703</v>
      </c>
      <c r="AA41">
        <v>119</v>
      </c>
      <c r="AB41">
        <v>160</v>
      </c>
      <c r="AC41">
        <v>7</v>
      </c>
      <c r="AD41">
        <v>61</v>
      </c>
      <c r="AE41">
        <v>75</v>
      </c>
      <c r="AF41">
        <v>34</v>
      </c>
      <c r="AL41">
        <v>4</v>
      </c>
      <c r="AM41">
        <v>3640</v>
      </c>
      <c r="AQ41">
        <v>147512</v>
      </c>
    </row>
    <row r="42" spans="2:43">
      <c r="B42" t="s">
        <v>32</v>
      </c>
      <c r="Z42">
        <v>69162</v>
      </c>
      <c r="AA42">
        <v>29368</v>
      </c>
      <c r="AB42">
        <v>46757</v>
      </c>
      <c r="AC42">
        <v>26038</v>
      </c>
      <c r="AD42">
        <v>16985</v>
      </c>
      <c r="AE42">
        <v>32889</v>
      </c>
      <c r="AF42">
        <v>21032</v>
      </c>
      <c r="AK42" s="1">
        <v>180406</v>
      </c>
      <c r="AL42">
        <v>152893</v>
      </c>
      <c r="AM42">
        <v>404831</v>
      </c>
      <c r="AQ42">
        <v>200130</v>
      </c>
    </row>
    <row r="43" spans="2:43">
      <c r="B43" t="s">
        <v>33</v>
      </c>
      <c r="Z43">
        <v>414</v>
      </c>
      <c r="AA43">
        <v>1037</v>
      </c>
      <c r="AB43">
        <v>389</v>
      </c>
      <c r="AC43">
        <v>17</v>
      </c>
      <c r="AD43">
        <v>22</v>
      </c>
      <c r="AE43">
        <v>81</v>
      </c>
      <c r="AF43">
        <v>7</v>
      </c>
      <c r="AK43" s="1">
        <v>9</v>
      </c>
      <c r="AQ43">
        <v>61</v>
      </c>
    </row>
    <row r="44" spans="2:43">
      <c r="B44" t="s">
        <v>84</v>
      </c>
      <c r="Z44">
        <v>32</v>
      </c>
      <c r="AA44">
        <v>81</v>
      </c>
      <c r="AB44">
        <v>22</v>
      </c>
      <c r="AC44">
        <v>37</v>
      </c>
      <c r="AD44">
        <v>6</v>
      </c>
      <c r="AE44">
        <v>13</v>
      </c>
      <c r="AF44">
        <v>12</v>
      </c>
    </row>
    <row r="45" spans="2:43">
      <c r="B45" t="s">
        <v>34</v>
      </c>
      <c r="Z45">
        <v>61</v>
      </c>
      <c r="AA45">
        <v>182</v>
      </c>
      <c r="AB45">
        <v>115</v>
      </c>
      <c r="AC45">
        <v>1186</v>
      </c>
      <c r="AD45">
        <v>4598</v>
      </c>
      <c r="AE45">
        <v>2815</v>
      </c>
      <c r="AF45">
        <v>3324</v>
      </c>
      <c r="AK45" s="1">
        <v>232</v>
      </c>
      <c r="AL45">
        <v>16363</v>
      </c>
      <c r="AM45">
        <v>25072</v>
      </c>
      <c r="AQ45">
        <v>1994</v>
      </c>
    </row>
    <row r="46" spans="2:43">
      <c r="B46" t="s">
        <v>35</v>
      </c>
      <c r="Z46">
        <v>259134</v>
      </c>
      <c r="AA46">
        <v>246212</v>
      </c>
      <c r="AB46">
        <v>740973</v>
      </c>
      <c r="AC46">
        <v>1119004</v>
      </c>
      <c r="AD46">
        <v>1057207</v>
      </c>
      <c r="AE46">
        <v>616153</v>
      </c>
      <c r="AF46">
        <v>1052994</v>
      </c>
      <c r="AK46" s="1">
        <v>496852</v>
      </c>
      <c r="AL46">
        <v>489229</v>
      </c>
      <c r="AM46">
        <v>728966</v>
      </c>
      <c r="AQ46">
        <v>971312</v>
      </c>
    </row>
    <row r="47" spans="2:43">
      <c r="B47" t="s">
        <v>36</v>
      </c>
      <c r="Z47">
        <v>7116</v>
      </c>
      <c r="AA47">
        <v>56183</v>
      </c>
      <c r="AB47">
        <v>101929</v>
      </c>
      <c r="AC47">
        <v>54335</v>
      </c>
      <c r="AD47">
        <v>34001</v>
      </c>
      <c r="AE47">
        <v>56704</v>
      </c>
      <c r="AF47">
        <v>118629</v>
      </c>
      <c r="AK47" s="1">
        <v>35033</v>
      </c>
      <c r="AL47">
        <v>28528</v>
      </c>
      <c r="AM47">
        <v>44360</v>
      </c>
      <c r="AQ47">
        <v>79984</v>
      </c>
    </row>
    <row r="48" spans="2:43">
      <c r="B48" t="s">
        <v>37</v>
      </c>
      <c r="Z48">
        <v>91</v>
      </c>
      <c r="AA48">
        <v>15</v>
      </c>
      <c r="AB48">
        <v>4</v>
      </c>
      <c r="AC48">
        <v>8</v>
      </c>
      <c r="AD48">
        <v>1</v>
      </c>
      <c r="AF48">
        <v>20</v>
      </c>
    </row>
    <row r="49" spans="2:43">
      <c r="B49" t="s">
        <v>95</v>
      </c>
      <c r="AK49" s="1">
        <v>15883</v>
      </c>
      <c r="AL49">
        <v>26634</v>
      </c>
      <c r="AM49">
        <v>89868</v>
      </c>
      <c r="AQ49">
        <v>126841</v>
      </c>
    </row>
    <row r="50" spans="2:43">
      <c r="B50" t="s">
        <v>38</v>
      </c>
      <c r="Z50">
        <v>20</v>
      </c>
      <c r="AA50">
        <v>7</v>
      </c>
      <c r="AB50">
        <v>16</v>
      </c>
      <c r="AC50">
        <v>14</v>
      </c>
      <c r="AE50">
        <v>20</v>
      </c>
      <c r="AF50">
        <v>28</v>
      </c>
      <c r="AK50" s="1">
        <v>1272</v>
      </c>
      <c r="AL50">
        <v>1068</v>
      </c>
      <c r="AM50">
        <v>765</v>
      </c>
      <c r="AQ50">
        <v>18756</v>
      </c>
    </row>
    <row r="51" spans="2:43">
      <c r="B51" t="s">
        <v>39</v>
      </c>
      <c r="Z51">
        <v>2832942</v>
      </c>
      <c r="AA51">
        <v>4896578</v>
      </c>
      <c r="AB51">
        <v>6686681</v>
      </c>
      <c r="AC51">
        <v>8614073</v>
      </c>
      <c r="AD51">
        <v>7461940</v>
      </c>
      <c r="AE51">
        <v>4950774</v>
      </c>
      <c r="AF51">
        <v>4903365</v>
      </c>
      <c r="AK51" s="1">
        <v>2803337</v>
      </c>
      <c r="AL51">
        <v>3512360</v>
      </c>
      <c r="AM51">
        <v>3006592</v>
      </c>
      <c r="AQ51">
        <v>2400362</v>
      </c>
    </row>
    <row r="52" spans="2:43">
      <c r="B52" t="s">
        <v>40</v>
      </c>
      <c r="Z52">
        <v>7770</v>
      </c>
      <c r="AA52">
        <v>17947</v>
      </c>
      <c r="AB52">
        <v>3912</v>
      </c>
      <c r="AC52">
        <v>1899</v>
      </c>
      <c r="AD52">
        <v>10979</v>
      </c>
      <c r="AE52">
        <v>835</v>
      </c>
      <c r="AF52">
        <v>2361</v>
      </c>
      <c r="AK52" s="1">
        <v>18356</v>
      </c>
      <c r="AL52">
        <v>4147</v>
      </c>
      <c r="AM52">
        <v>2715</v>
      </c>
      <c r="AQ52">
        <v>6084</v>
      </c>
    </row>
    <row r="53" spans="2:43">
      <c r="B53" t="s">
        <v>41</v>
      </c>
      <c r="Z53">
        <v>1683</v>
      </c>
      <c r="AA53">
        <v>15446</v>
      </c>
      <c r="AB53">
        <v>84464</v>
      </c>
      <c r="AC53">
        <v>11566</v>
      </c>
      <c r="AD53">
        <v>6561</v>
      </c>
      <c r="AE53">
        <v>10844</v>
      </c>
      <c r="AF53">
        <v>18431</v>
      </c>
      <c r="AK53" s="1">
        <v>3896</v>
      </c>
      <c r="AL53">
        <v>5785</v>
      </c>
      <c r="AM53">
        <v>8988</v>
      </c>
      <c r="AQ53">
        <v>33957</v>
      </c>
    </row>
    <row r="54" spans="2:43">
      <c r="B54" t="s">
        <v>42</v>
      </c>
      <c r="Z54">
        <v>4022</v>
      </c>
      <c r="AA54">
        <v>53843</v>
      </c>
      <c r="AB54">
        <v>126916</v>
      </c>
      <c r="AC54">
        <v>24618</v>
      </c>
      <c r="AD54">
        <v>3947</v>
      </c>
      <c r="AE54">
        <v>11933</v>
      </c>
      <c r="AF54">
        <v>2980</v>
      </c>
      <c r="AK54" s="1">
        <v>4344</v>
      </c>
      <c r="AL54">
        <v>23256</v>
      </c>
      <c r="AM54">
        <v>23690</v>
      </c>
      <c r="AQ54">
        <v>14575</v>
      </c>
    </row>
    <row r="55" spans="2:43">
      <c r="B55" t="s">
        <v>142</v>
      </c>
      <c r="AK55" s="1">
        <v>2393</v>
      </c>
      <c r="AL55">
        <v>10672</v>
      </c>
      <c r="AM55">
        <v>31346</v>
      </c>
      <c r="AQ55">
        <v>26340</v>
      </c>
    </row>
    <row r="56" spans="2:43">
      <c r="B56" t="s">
        <v>43</v>
      </c>
      <c r="Z56">
        <v>749</v>
      </c>
      <c r="AA56">
        <v>620</v>
      </c>
      <c r="AB56">
        <v>728</v>
      </c>
      <c r="AC56">
        <v>882</v>
      </c>
      <c r="AD56">
        <v>414</v>
      </c>
      <c r="AE56">
        <v>431</v>
      </c>
      <c r="AF56">
        <v>576</v>
      </c>
    </row>
    <row r="57" spans="2:43">
      <c r="B57" t="s">
        <v>44</v>
      </c>
      <c r="Z57">
        <v>1772</v>
      </c>
      <c r="AA57">
        <v>2018</v>
      </c>
      <c r="AB57">
        <v>521</v>
      </c>
      <c r="AC57">
        <v>1168</v>
      </c>
      <c r="AD57">
        <v>1749</v>
      </c>
      <c r="AE57">
        <v>726</v>
      </c>
      <c r="AF57">
        <v>3507</v>
      </c>
    </row>
    <row r="58" spans="2:43">
      <c r="B58" t="s">
        <v>108</v>
      </c>
      <c r="AK58" s="1">
        <v>3159</v>
      </c>
      <c r="AL58">
        <v>2391</v>
      </c>
      <c r="AM58">
        <v>1765</v>
      </c>
      <c r="AQ58">
        <v>1945</v>
      </c>
    </row>
    <row r="59" spans="2:43">
      <c r="B59" t="s">
        <v>110</v>
      </c>
      <c r="AK59" s="1">
        <v>1166</v>
      </c>
      <c r="AL59" s="2">
        <v>1684</v>
      </c>
      <c r="AM59">
        <v>2376</v>
      </c>
      <c r="AQ59">
        <v>178</v>
      </c>
    </row>
    <row r="60" spans="2:43">
      <c r="B60" t="s">
        <v>91</v>
      </c>
      <c r="Z60">
        <v>1</v>
      </c>
      <c r="AA60">
        <v>3</v>
      </c>
    </row>
    <row r="61" spans="2:43">
      <c r="B61" t="s">
        <v>45</v>
      </c>
      <c r="Z61">
        <v>1486951</v>
      </c>
      <c r="AA61">
        <v>1909543</v>
      </c>
      <c r="AB61">
        <v>2490549</v>
      </c>
      <c r="AC61">
        <v>3971656</v>
      </c>
      <c r="AD61">
        <v>3545752</v>
      </c>
      <c r="AE61">
        <v>1892811</v>
      </c>
      <c r="AF61">
        <v>3139386</v>
      </c>
      <c r="AK61" s="1">
        <v>2642205</v>
      </c>
      <c r="AL61">
        <v>2289958</v>
      </c>
      <c r="AM61">
        <v>2830126</v>
      </c>
      <c r="AQ61">
        <v>3357920</v>
      </c>
    </row>
    <row r="62" spans="2:43">
      <c r="B62" t="s">
        <v>46</v>
      </c>
      <c r="Z62">
        <v>377309</v>
      </c>
      <c r="AA62">
        <v>188356</v>
      </c>
      <c r="AB62">
        <v>164318</v>
      </c>
      <c r="AC62">
        <v>391339</v>
      </c>
      <c r="AD62">
        <v>286645</v>
      </c>
      <c r="AE62">
        <v>187900</v>
      </c>
      <c r="AF62">
        <v>373971</v>
      </c>
      <c r="AK62" s="1">
        <v>215941</v>
      </c>
      <c r="AL62">
        <v>267298</v>
      </c>
      <c r="AM62">
        <v>245083</v>
      </c>
      <c r="AQ62">
        <v>331804</v>
      </c>
    </row>
    <row r="63" spans="2:43">
      <c r="B63" t="s">
        <v>47</v>
      </c>
      <c r="Z63">
        <v>38469</v>
      </c>
      <c r="AA63">
        <v>19475</v>
      </c>
      <c r="AB63">
        <v>9014</v>
      </c>
      <c r="AC63">
        <v>13589</v>
      </c>
      <c r="AD63">
        <v>12157</v>
      </c>
      <c r="AE63">
        <v>10825</v>
      </c>
      <c r="AF63">
        <v>15857</v>
      </c>
    </row>
    <row r="64" spans="2:43">
      <c r="B64" t="s">
        <v>48</v>
      </c>
      <c r="Z64">
        <v>36</v>
      </c>
      <c r="AA64">
        <v>283</v>
      </c>
      <c r="AB64">
        <v>223</v>
      </c>
      <c r="AC64">
        <v>251</v>
      </c>
      <c r="AD64">
        <v>277</v>
      </c>
      <c r="AE64">
        <v>341</v>
      </c>
      <c r="AF64">
        <v>292</v>
      </c>
      <c r="AM64">
        <v>1</v>
      </c>
    </row>
    <row r="65" spans="2:43">
      <c r="B65" t="s">
        <v>49</v>
      </c>
      <c r="Z65">
        <v>169689</v>
      </c>
      <c r="AA65">
        <v>265096</v>
      </c>
      <c r="AB65">
        <v>260310</v>
      </c>
      <c r="AC65">
        <v>433294</v>
      </c>
      <c r="AD65">
        <v>341163</v>
      </c>
      <c r="AE65">
        <v>303624</v>
      </c>
      <c r="AF65">
        <v>440825</v>
      </c>
      <c r="AK65" s="1">
        <v>280625</v>
      </c>
      <c r="AL65">
        <v>302400</v>
      </c>
      <c r="AM65">
        <v>292485</v>
      </c>
      <c r="AQ65">
        <v>345915</v>
      </c>
    </row>
    <row r="66" spans="2:43">
      <c r="B66" t="s">
        <v>118</v>
      </c>
      <c r="AK66" s="1">
        <v>36</v>
      </c>
      <c r="AL66">
        <v>62</v>
      </c>
      <c r="AM66">
        <v>168</v>
      </c>
      <c r="AQ66">
        <v>633</v>
      </c>
    </row>
    <row r="67" spans="2:43">
      <c r="B67" t="s">
        <v>50</v>
      </c>
      <c r="Z67">
        <v>156470</v>
      </c>
      <c r="AA67">
        <v>125160</v>
      </c>
      <c r="AB67">
        <v>88740</v>
      </c>
      <c r="AC67">
        <v>87195</v>
      </c>
      <c r="AD67">
        <v>123866</v>
      </c>
      <c r="AE67">
        <v>126187</v>
      </c>
      <c r="AF67">
        <v>113443</v>
      </c>
    </row>
    <row r="68" spans="2:43">
      <c r="B68" t="s">
        <v>92</v>
      </c>
      <c r="Z68">
        <v>2</v>
      </c>
      <c r="AA68">
        <v>32</v>
      </c>
    </row>
    <row r="69" spans="2:43">
      <c r="B69" t="s">
        <v>101</v>
      </c>
      <c r="AK69" s="1">
        <v>59360</v>
      </c>
      <c r="AL69">
        <v>51910</v>
      </c>
      <c r="AM69">
        <v>51482</v>
      </c>
      <c r="AQ69">
        <v>35218</v>
      </c>
    </row>
    <row r="70" spans="2:43">
      <c r="B70" t="s">
        <v>51</v>
      </c>
      <c r="AA70">
        <v>15</v>
      </c>
      <c r="AB70">
        <v>30</v>
      </c>
      <c r="AC70">
        <v>20</v>
      </c>
      <c r="AE70">
        <v>5</v>
      </c>
      <c r="AF70">
        <v>54</v>
      </c>
    </row>
    <row r="71" spans="2:43">
      <c r="B71" t="s">
        <v>103</v>
      </c>
      <c r="AK71" s="1">
        <v>36065</v>
      </c>
      <c r="AL71">
        <v>41849</v>
      </c>
      <c r="AM71">
        <v>43224</v>
      </c>
      <c r="AQ71">
        <v>117717</v>
      </c>
    </row>
    <row r="72" spans="2:43">
      <c r="B72" t="s">
        <v>93</v>
      </c>
      <c r="AA72">
        <v>1</v>
      </c>
    </row>
    <row r="73" spans="2:43">
      <c r="B73" t="s">
        <v>52</v>
      </c>
      <c r="Z73">
        <v>54</v>
      </c>
      <c r="AA73">
        <v>122</v>
      </c>
      <c r="AB73">
        <v>78</v>
      </c>
      <c r="AC73">
        <v>1758</v>
      </c>
      <c r="AD73">
        <v>33809</v>
      </c>
      <c r="AE73">
        <v>42490</v>
      </c>
      <c r="AF73">
        <v>48935</v>
      </c>
      <c r="AK73" s="1">
        <v>269414</v>
      </c>
      <c r="AL73">
        <v>68025</v>
      </c>
      <c r="AM73">
        <v>177755</v>
      </c>
      <c r="AQ73">
        <v>238970</v>
      </c>
    </row>
    <row r="74" spans="2:43">
      <c r="B74" t="s">
        <v>141</v>
      </c>
      <c r="AK74" s="1">
        <v>3074</v>
      </c>
      <c r="AL74">
        <v>4175</v>
      </c>
      <c r="AM74">
        <v>9997</v>
      </c>
      <c r="AQ74">
        <v>9976</v>
      </c>
    </row>
    <row r="75" spans="2:43">
      <c r="B75" t="s">
        <v>53</v>
      </c>
      <c r="Z75">
        <v>1145142</v>
      </c>
      <c r="AA75">
        <v>2613658</v>
      </c>
      <c r="AB75">
        <v>3649456</v>
      </c>
      <c r="AC75">
        <v>4069082</v>
      </c>
      <c r="AD75">
        <v>3613795</v>
      </c>
      <c r="AE75">
        <v>2381429</v>
      </c>
      <c r="AF75">
        <v>2702400</v>
      </c>
      <c r="AK75" s="1">
        <v>2175581</v>
      </c>
      <c r="AL75">
        <v>2126351</v>
      </c>
      <c r="AM75">
        <v>2528656</v>
      </c>
      <c r="AQ75">
        <v>1744693</v>
      </c>
    </row>
    <row r="76" spans="2:43">
      <c r="B76" t="s">
        <v>54</v>
      </c>
      <c r="Z76">
        <v>4059</v>
      </c>
      <c r="AA76">
        <v>2890</v>
      </c>
      <c r="AB76">
        <v>4894</v>
      </c>
      <c r="AC76">
        <v>3546</v>
      </c>
      <c r="AD76">
        <v>10415</v>
      </c>
      <c r="AE76">
        <v>5243</v>
      </c>
      <c r="AF76">
        <v>30683</v>
      </c>
      <c r="AK76" s="1">
        <v>5834</v>
      </c>
      <c r="AL76">
        <v>4377</v>
      </c>
      <c r="AM76">
        <v>13357</v>
      </c>
      <c r="AQ76">
        <v>41399</v>
      </c>
    </row>
    <row r="77" spans="2:43">
      <c r="B77" t="s">
        <v>55</v>
      </c>
      <c r="Z77">
        <v>23245</v>
      </c>
      <c r="AA77">
        <v>13695</v>
      </c>
      <c r="AB77">
        <v>20145</v>
      </c>
      <c r="AC77">
        <v>59199</v>
      </c>
      <c r="AD77">
        <v>42644</v>
      </c>
      <c r="AE77">
        <v>18456</v>
      </c>
      <c r="AF77">
        <v>31927</v>
      </c>
      <c r="AK77" s="1">
        <v>17327</v>
      </c>
      <c r="AL77">
        <v>22276</v>
      </c>
      <c r="AM77">
        <v>37872</v>
      </c>
      <c r="AQ77">
        <v>7123</v>
      </c>
    </row>
    <row r="78" spans="2:43">
      <c r="B78" t="s">
        <v>109</v>
      </c>
      <c r="AK78" s="1">
        <v>4049</v>
      </c>
      <c r="AL78">
        <v>3447</v>
      </c>
      <c r="AM78">
        <v>6828</v>
      </c>
      <c r="AQ78">
        <v>8539</v>
      </c>
    </row>
    <row r="79" spans="2:43">
      <c r="B79" t="s">
        <v>97</v>
      </c>
      <c r="AK79" s="1">
        <v>15254</v>
      </c>
      <c r="AL79">
        <v>25641</v>
      </c>
      <c r="AM79">
        <v>30498</v>
      </c>
      <c r="AQ79">
        <v>17459</v>
      </c>
    </row>
    <row r="80" spans="2:43">
      <c r="B80" t="s">
        <v>56</v>
      </c>
      <c r="Z80">
        <v>1126</v>
      </c>
      <c r="AA80">
        <v>428</v>
      </c>
      <c r="AB80">
        <v>410</v>
      </c>
      <c r="AC80">
        <v>497</v>
      </c>
      <c r="AD80">
        <v>1634</v>
      </c>
      <c r="AE80">
        <v>3075</v>
      </c>
      <c r="AF80">
        <v>2760</v>
      </c>
    </row>
    <row r="81" spans="2:43">
      <c r="B81" t="s">
        <v>119</v>
      </c>
      <c r="AK81" s="1">
        <v>2</v>
      </c>
      <c r="AL81">
        <v>29</v>
      </c>
      <c r="AM81">
        <v>15</v>
      </c>
      <c r="AQ81">
        <v>207</v>
      </c>
    </row>
    <row r="82" spans="2:43">
      <c r="B82" t="s">
        <v>57</v>
      </c>
      <c r="Z82">
        <v>1150239</v>
      </c>
      <c r="AA82">
        <v>1101447</v>
      </c>
      <c r="AB82">
        <v>1957333</v>
      </c>
      <c r="AC82">
        <v>1509480</v>
      </c>
      <c r="AD82">
        <v>2166888</v>
      </c>
      <c r="AE82">
        <v>1623216</v>
      </c>
      <c r="AF82">
        <v>1709217</v>
      </c>
      <c r="AK82" s="1">
        <v>1286157</v>
      </c>
      <c r="AL82">
        <v>1409552</v>
      </c>
      <c r="AM82">
        <v>2751715</v>
      </c>
      <c r="AQ82">
        <v>1840640</v>
      </c>
    </row>
    <row r="83" spans="2:43">
      <c r="B83" t="s">
        <v>98</v>
      </c>
      <c r="AL83">
        <v>523</v>
      </c>
      <c r="AM83">
        <v>998</v>
      </c>
      <c r="AQ83">
        <v>15103</v>
      </c>
    </row>
    <row r="84" spans="2:43">
      <c r="B84" t="s">
        <v>99</v>
      </c>
      <c r="AK84" s="1">
        <v>10</v>
      </c>
      <c r="AL84">
        <v>3</v>
      </c>
      <c r="AM84">
        <v>771</v>
      </c>
    </row>
    <row r="85" spans="2:43">
      <c r="B85" t="s">
        <v>58</v>
      </c>
      <c r="Z85">
        <v>17683</v>
      </c>
      <c r="AA85">
        <v>29614</v>
      </c>
      <c r="AB85">
        <v>171484</v>
      </c>
      <c r="AC85">
        <v>194804</v>
      </c>
      <c r="AD85">
        <v>88872</v>
      </c>
      <c r="AE85">
        <v>47419</v>
      </c>
      <c r="AF85">
        <v>14039</v>
      </c>
      <c r="AK85" s="1">
        <v>11509</v>
      </c>
      <c r="AL85">
        <v>118026</v>
      </c>
      <c r="AM85">
        <v>131146</v>
      </c>
      <c r="AQ85">
        <v>71377</v>
      </c>
    </row>
    <row r="86" spans="2:43">
      <c r="B86" t="s">
        <v>59</v>
      </c>
      <c r="Z86">
        <v>431</v>
      </c>
      <c r="AA86">
        <v>397</v>
      </c>
      <c r="AB86">
        <v>269</v>
      </c>
      <c r="AC86">
        <v>118</v>
      </c>
      <c r="AD86">
        <v>109</v>
      </c>
      <c r="AE86">
        <v>142</v>
      </c>
      <c r="AF86">
        <v>161</v>
      </c>
      <c r="AK86" s="1">
        <v>3885</v>
      </c>
      <c r="AL86">
        <v>8998</v>
      </c>
      <c r="AM86">
        <v>553</v>
      </c>
      <c r="AQ86">
        <v>13913</v>
      </c>
    </row>
    <row r="87" spans="2:43">
      <c r="B87" t="s">
        <v>60</v>
      </c>
      <c r="Z87">
        <v>5245</v>
      </c>
      <c r="AA87">
        <v>2671</v>
      </c>
      <c r="AB87">
        <v>943</v>
      </c>
      <c r="AC87">
        <v>262</v>
      </c>
      <c r="AD87">
        <v>235</v>
      </c>
      <c r="AE87">
        <v>114</v>
      </c>
      <c r="AF87">
        <v>284</v>
      </c>
      <c r="AK87" s="1">
        <v>426</v>
      </c>
      <c r="AL87">
        <v>1036</v>
      </c>
      <c r="AM87">
        <v>7982</v>
      </c>
      <c r="AQ87">
        <v>15990</v>
      </c>
    </row>
    <row r="88" spans="2:43">
      <c r="B88" t="s">
        <v>61</v>
      </c>
      <c r="Z88">
        <v>944181</v>
      </c>
      <c r="AA88">
        <v>743941</v>
      </c>
      <c r="AB88">
        <v>461039</v>
      </c>
      <c r="AC88">
        <v>376491</v>
      </c>
      <c r="AD88">
        <v>375180</v>
      </c>
      <c r="AE88">
        <v>390596</v>
      </c>
      <c r="AF88">
        <v>433334</v>
      </c>
      <c r="AK88" s="1">
        <v>357530</v>
      </c>
      <c r="AL88">
        <v>443709</v>
      </c>
      <c r="AM88">
        <v>419992</v>
      </c>
      <c r="AQ88">
        <v>408898</v>
      </c>
    </row>
    <row r="89" spans="2:43">
      <c r="B89" t="s">
        <v>62</v>
      </c>
      <c r="Z89">
        <v>361</v>
      </c>
      <c r="AA89">
        <v>595</v>
      </c>
      <c r="AB89">
        <v>640</v>
      </c>
      <c r="AC89">
        <v>354</v>
      </c>
      <c r="AD89">
        <v>586</v>
      </c>
      <c r="AE89">
        <v>844</v>
      </c>
      <c r="AF89">
        <v>588</v>
      </c>
      <c r="AK89" s="1">
        <v>275</v>
      </c>
      <c r="AL89">
        <v>162</v>
      </c>
      <c r="AM89">
        <v>140</v>
      </c>
      <c r="AQ89">
        <v>1532</v>
      </c>
    </row>
    <row r="90" spans="2:43">
      <c r="B90" t="s">
        <v>85</v>
      </c>
      <c r="AA90">
        <v>3</v>
      </c>
    </row>
    <row r="91" spans="2:43">
      <c r="B91" t="s">
        <v>63</v>
      </c>
      <c r="Z91">
        <v>1109</v>
      </c>
      <c r="AA91">
        <v>347</v>
      </c>
      <c r="AB91">
        <v>5301</v>
      </c>
      <c r="AC91">
        <v>1682</v>
      </c>
      <c r="AD91">
        <v>913</v>
      </c>
      <c r="AE91">
        <v>596</v>
      </c>
      <c r="AF91">
        <v>935</v>
      </c>
      <c r="AK91" s="1">
        <v>86</v>
      </c>
      <c r="AL91">
        <v>69</v>
      </c>
      <c r="AM91">
        <v>10937</v>
      </c>
      <c r="AQ91">
        <v>3520</v>
      </c>
    </row>
    <row r="92" spans="2:43">
      <c r="B92" t="s">
        <v>64</v>
      </c>
      <c r="Z92">
        <v>455</v>
      </c>
      <c r="AA92">
        <v>1952</v>
      </c>
      <c r="AB92">
        <v>1914</v>
      </c>
      <c r="AD92">
        <v>14</v>
      </c>
      <c r="AF92">
        <v>92</v>
      </c>
      <c r="AK92" s="1">
        <v>4</v>
      </c>
      <c r="AL92">
        <v>1</v>
      </c>
    </row>
    <row r="93" spans="2:43">
      <c r="B93" t="s">
        <v>104</v>
      </c>
      <c r="AK93" s="1">
        <v>1338</v>
      </c>
      <c r="AL93">
        <v>6787</v>
      </c>
      <c r="AM93">
        <v>804</v>
      </c>
      <c r="AQ93">
        <v>6015</v>
      </c>
    </row>
    <row r="94" spans="2:43">
      <c r="B94" t="s">
        <v>65</v>
      </c>
      <c r="Z94">
        <v>24722</v>
      </c>
      <c r="AA94">
        <v>160842</v>
      </c>
      <c r="AB94">
        <v>306302</v>
      </c>
      <c r="AC94">
        <v>277517</v>
      </c>
      <c r="AD94">
        <v>343284</v>
      </c>
      <c r="AE94">
        <v>303797</v>
      </c>
      <c r="AF94">
        <v>296298</v>
      </c>
    </row>
    <row r="95" spans="2:43">
      <c r="B95" t="s">
        <v>133</v>
      </c>
      <c r="AK95" s="1">
        <v>233393</v>
      </c>
      <c r="AL95">
        <v>385266</v>
      </c>
      <c r="AM95">
        <v>573467</v>
      </c>
      <c r="AQ95">
        <v>633009</v>
      </c>
    </row>
    <row r="96" spans="2:43">
      <c r="B96" t="s">
        <v>66</v>
      </c>
      <c r="Z96">
        <v>83503</v>
      </c>
      <c r="AA96">
        <v>49164</v>
      </c>
      <c r="AB96">
        <v>95342</v>
      </c>
      <c r="AC96">
        <v>44904</v>
      </c>
      <c r="AD96">
        <v>77910</v>
      </c>
      <c r="AE96">
        <v>49417</v>
      </c>
      <c r="AF96">
        <v>27934</v>
      </c>
      <c r="AK96" s="1">
        <v>62497</v>
      </c>
      <c r="AL96">
        <v>69724</v>
      </c>
      <c r="AM96">
        <v>80668</v>
      </c>
      <c r="AQ96">
        <v>153720</v>
      </c>
    </row>
    <row r="97" spans="2:43">
      <c r="B97" t="s">
        <v>112</v>
      </c>
      <c r="AK97" s="1">
        <v>1467</v>
      </c>
      <c r="AL97">
        <v>4009</v>
      </c>
      <c r="AM97">
        <v>4318</v>
      </c>
      <c r="AQ97">
        <v>9111</v>
      </c>
    </row>
    <row r="98" spans="2:43">
      <c r="B98" t="s">
        <v>67</v>
      </c>
      <c r="Z98">
        <v>844</v>
      </c>
      <c r="AA98">
        <v>2617</v>
      </c>
      <c r="AB98">
        <v>836</v>
      </c>
      <c r="AC98">
        <v>669</v>
      </c>
      <c r="AD98">
        <v>425</v>
      </c>
      <c r="AE98">
        <v>590</v>
      </c>
      <c r="AF98">
        <v>869</v>
      </c>
    </row>
    <row r="99" spans="2:43">
      <c r="B99" t="s">
        <v>68</v>
      </c>
      <c r="Z99">
        <v>31853</v>
      </c>
      <c r="AA99">
        <v>45571</v>
      </c>
      <c r="AB99">
        <v>13694</v>
      </c>
      <c r="AC99">
        <v>29009</v>
      </c>
      <c r="AD99">
        <v>27042</v>
      </c>
      <c r="AE99">
        <v>15247</v>
      </c>
      <c r="AF99">
        <v>31317</v>
      </c>
    </row>
    <row r="100" spans="2:43">
      <c r="B100" t="s">
        <v>69</v>
      </c>
      <c r="Z100">
        <v>13435</v>
      </c>
      <c r="AA100">
        <v>9624</v>
      </c>
      <c r="AB100">
        <v>18339</v>
      </c>
      <c r="AC100">
        <v>35638</v>
      </c>
      <c r="AD100">
        <v>56469</v>
      </c>
      <c r="AE100">
        <v>38266</v>
      </c>
      <c r="AF100">
        <v>62562</v>
      </c>
      <c r="AK100" s="1">
        <v>83430</v>
      </c>
      <c r="AL100">
        <v>192876</v>
      </c>
      <c r="AM100">
        <v>142566</v>
      </c>
      <c r="AQ100">
        <v>705066</v>
      </c>
    </row>
    <row r="101" spans="2:43">
      <c r="B101" t="s">
        <v>70</v>
      </c>
      <c r="AA101">
        <v>998</v>
      </c>
      <c r="AB101">
        <v>126923</v>
      </c>
      <c r="AC101">
        <v>75473</v>
      </c>
      <c r="AD101">
        <v>171478</v>
      </c>
      <c r="AE101">
        <v>171130</v>
      </c>
      <c r="AF101">
        <v>1742442</v>
      </c>
      <c r="AK101" s="1">
        <v>120103</v>
      </c>
      <c r="AL101">
        <v>12</v>
      </c>
      <c r="AM101">
        <v>17</v>
      </c>
      <c r="AQ101">
        <v>2827</v>
      </c>
    </row>
    <row r="102" spans="2:43">
      <c r="B102" t="s">
        <v>71</v>
      </c>
      <c r="AA102">
        <v>156</v>
      </c>
      <c r="AB102">
        <v>11</v>
      </c>
      <c r="AC102">
        <v>6</v>
      </c>
      <c r="AD102">
        <v>14</v>
      </c>
      <c r="AF102">
        <v>14</v>
      </c>
    </row>
    <row r="103" spans="2:43">
      <c r="B103" t="s">
        <v>72</v>
      </c>
      <c r="Z103">
        <v>2345</v>
      </c>
      <c r="AA103">
        <v>1048</v>
      </c>
      <c r="AB103">
        <v>1158</v>
      </c>
      <c r="AC103">
        <v>936</v>
      </c>
      <c r="AD103">
        <v>1082</v>
      </c>
      <c r="AE103">
        <v>1056</v>
      </c>
      <c r="AF103">
        <v>1224</v>
      </c>
      <c r="AK103" s="1">
        <v>245</v>
      </c>
      <c r="AL103">
        <v>110</v>
      </c>
      <c r="AM103">
        <v>103</v>
      </c>
      <c r="AQ103">
        <v>258</v>
      </c>
    </row>
    <row r="104" spans="2:43">
      <c r="B104" t="s">
        <v>73</v>
      </c>
      <c r="Z104">
        <v>815028</v>
      </c>
      <c r="AA104">
        <v>1139558</v>
      </c>
      <c r="AB104">
        <v>1543388</v>
      </c>
      <c r="AC104">
        <v>1481312</v>
      </c>
      <c r="AD104">
        <v>1177821</v>
      </c>
      <c r="AE104">
        <v>909069</v>
      </c>
      <c r="AF104">
        <v>985511</v>
      </c>
      <c r="AK104" s="1">
        <v>1019148</v>
      </c>
      <c r="AL104">
        <v>1020532</v>
      </c>
      <c r="AM104">
        <v>1279217</v>
      </c>
      <c r="AQ104">
        <v>18916</v>
      </c>
    </row>
    <row r="105" spans="2:43">
      <c r="B105" t="s">
        <v>145</v>
      </c>
      <c r="AK105" s="1">
        <v>225</v>
      </c>
      <c r="AL105">
        <v>203</v>
      </c>
      <c r="AM105">
        <v>741</v>
      </c>
      <c r="AQ105">
        <v>356</v>
      </c>
    </row>
    <row r="106" spans="2:43">
      <c r="B106" t="s">
        <v>146</v>
      </c>
      <c r="AK106" s="1">
        <v>181</v>
      </c>
      <c r="AL106">
        <v>177</v>
      </c>
      <c r="AM106">
        <v>303</v>
      </c>
      <c r="AQ106">
        <v>22</v>
      </c>
    </row>
    <row r="107" spans="2:43">
      <c r="B107" t="s">
        <v>74</v>
      </c>
      <c r="Z107">
        <v>7401</v>
      </c>
      <c r="AA107">
        <v>27500</v>
      </c>
      <c r="AB107">
        <v>39796</v>
      </c>
      <c r="AC107">
        <v>19559</v>
      </c>
      <c r="AD107">
        <v>43327</v>
      </c>
      <c r="AE107">
        <v>34653</v>
      </c>
      <c r="AF107">
        <v>92420</v>
      </c>
      <c r="AK107" s="1">
        <v>64500</v>
      </c>
      <c r="AL107">
        <v>98608</v>
      </c>
      <c r="AM107">
        <v>160548</v>
      </c>
      <c r="AQ107">
        <v>252447</v>
      </c>
    </row>
    <row r="108" spans="2:43">
      <c r="B108" t="s">
        <v>75</v>
      </c>
      <c r="Z108">
        <v>1346187</v>
      </c>
      <c r="AA108">
        <v>1279185</v>
      </c>
      <c r="AB108">
        <v>1862018</v>
      </c>
      <c r="AC108">
        <v>2299474</v>
      </c>
      <c r="AD108">
        <v>2263056</v>
      </c>
      <c r="AE108">
        <v>1443906</v>
      </c>
      <c r="AF108">
        <v>1893349</v>
      </c>
      <c r="AK108" s="1">
        <v>722560</v>
      </c>
      <c r="AL108">
        <v>658678</v>
      </c>
      <c r="AM108">
        <v>1044950</v>
      </c>
      <c r="AQ108">
        <v>1077622</v>
      </c>
    </row>
    <row r="109" spans="2:43">
      <c r="B109" t="s">
        <v>76</v>
      </c>
      <c r="Z109">
        <v>525940</v>
      </c>
      <c r="AA109">
        <v>411320</v>
      </c>
      <c r="AB109">
        <v>303352</v>
      </c>
      <c r="AC109">
        <v>332702</v>
      </c>
      <c r="AD109">
        <v>285796</v>
      </c>
      <c r="AE109">
        <v>271280</v>
      </c>
      <c r="AF109">
        <v>325156</v>
      </c>
      <c r="AK109" s="1">
        <v>287639</v>
      </c>
      <c r="AL109">
        <v>309109</v>
      </c>
      <c r="AM109">
        <v>203557</v>
      </c>
      <c r="AQ109">
        <v>251162</v>
      </c>
    </row>
    <row r="110" spans="2:43">
      <c r="B110" t="s">
        <v>77</v>
      </c>
      <c r="Z110">
        <v>410028</v>
      </c>
      <c r="AA110">
        <v>206604</v>
      </c>
      <c r="AB110">
        <v>225510</v>
      </c>
      <c r="AC110">
        <v>142183</v>
      </c>
      <c r="AD110">
        <v>132100</v>
      </c>
      <c r="AE110">
        <v>114342</v>
      </c>
      <c r="AF110">
        <v>125489</v>
      </c>
      <c r="AK110" s="1">
        <v>29066</v>
      </c>
      <c r="AL110">
        <v>47937</v>
      </c>
      <c r="AM110">
        <v>65364</v>
      </c>
      <c r="AQ110">
        <v>84987</v>
      </c>
    </row>
    <row r="111" spans="2:43">
      <c r="B111" t="s">
        <v>78</v>
      </c>
      <c r="Z111">
        <v>6523615</v>
      </c>
      <c r="AA111">
        <v>9190906</v>
      </c>
      <c r="AB111">
        <v>7246787</v>
      </c>
      <c r="AC111">
        <v>7085911</v>
      </c>
      <c r="AD111">
        <v>8411246</v>
      </c>
      <c r="AE111">
        <v>5584254</v>
      </c>
      <c r="AF111">
        <v>6799598</v>
      </c>
      <c r="AK111" s="1">
        <v>1324483</v>
      </c>
      <c r="AL111">
        <v>1260091</v>
      </c>
      <c r="AM111">
        <v>1201551</v>
      </c>
      <c r="AQ111">
        <v>707534</v>
      </c>
    </row>
    <row r="112" spans="2:43">
      <c r="B112" t="s">
        <v>79</v>
      </c>
      <c r="Z112">
        <v>65</v>
      </c>
      <c r="AA112">
        <v>199</v>
      </c>
      <c r="AB112">
        <v>61</v>
      </c>
      <c r="AC112">
        <v>80</v>
      </c>
      <c r="AD112">
        <v>63</v>
      </c>
      <c r="AE112">
        <v>11</v>
      </c>
      <c r="AF112">
        <v>214</v>
      </c>
      <c r="AK112" s="1">
        <v>29</v>
      </c>
      <c r="AL112">
        <v>3</v>
      </c>
      <c r="AM112">
        <v>23</v>
      </c>
      <c r="AQ112">
        <v>21</v>
      </c>
    </row>
    <row r="113" spans="2:48">
      <c r="B113" t="s">
        <v>80</v>
      </c>
      <c r="Z113">
        <v>620</v>
      </c>
      <c r="AA113">
        <v>1062</v>
      </c>
      <c r="AB113">
        <v>531</v>
      </c>
      <c r="AC113">
        <v>282</v>
      </c>
      <c r="AD113">
        <v>324</v>
      </c>
      <c r="AE113">
        <v>208</v>
      </c>
      <c r="AF113">
        <v>187</v>
      </c>
      <c r="AK113" s="1">
        <v>24</v>
      </c>
      <c r="AL113">
        <v>11</v>
      </c>
      <c r="AM113">
        <v>40</v>
      </c>
      <c r="AQ113">
        <v>10</v>
      </c>
    </row>
    <row r="114" spans="2:48">
      <c r="B114" t="s">
        <v>105</v>
      </c>
      <c r="AK114" s="1">
        <v>99</v>
      </c>
      <c r="AL114">
        <v>445</v>
      </c>
      <c r="AM114">
        <v>407</v>
      </c>
      <c r="AQ114">
        <v>560</v>
      </c>
    </row>
    <row r="115" spans="2:48">
      <c r="B115" t="s">
        <v>81</v>
      </c>
      <c r="Z115">
        <v>6657</v>
      </c>
      <c r="AA115">
        <v>7094</v>
      </c>
      <c r="AB115">
        <v>8772</v>
      </c>
      <c r="AC115">
        <v>9767</v>
      </c>
      <c r="AD115">
        <v>7634</v>
      </c>
      <c r="AE115">
        <v>1677</v>
      </c>
      <c r="AF115">
        <v>526</v>
      </c>
      <c r="AK115" s="1">
        <v>3790</v>
      </c>
      <c r="AL115">
        <v>4498</v>
      </c>
      <c r="AM115">
        <v>28056</v>
      </c>
      <c r="AQ115">
        <v>95421</v>
      </c>
    </row>
    <row r="116" spans="2:48">
      <c r="B116" t="s">
        <v>100</v>
      </c>
      <c r="AK116" s="1">
        <v>9</v>
      </c>
      <c r="AL116">
        <v>3</v>
      </c>
      <c r="AQ116">
        <v>2</v>
      </c>
    </row>
    <row r="117" spans="2:48">
      <c r="B117" t="s">
        <v>106</v>
      </c>
      <c r="AK117" s="1">
        <v>12</v>
      </c>
      <c r="AL117">
        <v>350</v>
      </c>
      <c r="AM117">
        <v>90</v>
      </c>
      <c r="AQ117">
        <v>1700</v>
      </c>
    </row>
    <row r="118" spans="2:48">
      <c r="B118" t="s">
        <v>143</v>
      </c>
      <c r="AK118" s="1">
        <v>115</v>
      </c>
      <c r="AL118">
        <v>759</v>
      </c>
      <c r="AM118">
        <v>713</v>
      </c>
      <c r="AQ118">
        <v>8037</v>
      </c>
    </row>
    <row r="119" spans="2:48">
      <c r="B119" t="s">
        <v>144</v>
      </c>
      <c r="AK119" s="1">
        <v>313</v>
      </c>
      <c r="AL119">
        <v>454</v>
      </c>
      <c r="AM119">
        <v>942</v>
      </c>
      <c r="AQ119">
        <v>287</v>
      </c>
    </row>
    <row r="120" spans="2:48">
      <c r="B120" t="s">
        <v>116</v>
      </c>
      <c r="AL120">
        <v>5</v>
      </c>
      <c r="AM120">
        <v>2</v>
      </c>
    </row>
    <row r="121" spans="2:48">
      <c r="B121" t="s">
        <v>147</v>
      </c>
      <c r="AK121" s="1">
        <v>82</v>
      </c>
      <c r="AL121">
        <v>110</v>
      </c>
      <c r="AM121">
        <v>123</v>
      </c>
      <c r="AQ121">
        <v>34</v>
      </c>
    </row>
    <row r="122" spans="2:48">
      <c r="B122" t="s">
        <v>148</v>
      </c>
      <c r="AK122" s="1">
        <v>21</v>
      </c>
      <c r="AL122">
        <v>62</v>
      </c>
      <c r="AM122">
        <v>52</v>
      </c>
      <c r="AQ122">
        <v>400</v>
      </c>
    </row>
    <row r="123" spans="2:48">
      <c r="B123" t="s">
        <v>149</v>
      </c>
      <c r="AK123" s="1">
        <v>21</v>
      </c>
      <c r="AL123">
        <v>14</v>
      </c>
      <c r="AM123">
        <v>17</v>
      </c>
      <c r="AQ123">
        <v>19</v>
      </c>
    </row>
    <row r="124" spans="2:48">
      <c r="B124" t="s">
        <v>150</v>
      </c>
      <c r="AL124">
        <v>45</v>
      </c>
      <c r="AM124">
        <v>1221</v>
      </c>
      <c r="AQ124">
        <v>75</v>
      </c>
    </row>
    <row r="125" spans="2:48">
      <c r="B125" t="s">
        <v>151</v>
      </c>
      <c r="AK125" s="1">
        <v>121870</v>
      </c>
      <c r="AL125">
        <v>99632</v>
      </c>
      <c r="AM125">
        <v>96693</v>
      </c>
      <c r="AQ125">
        <v>124772</v>
      </c>
    </row>
    <row r="126" spans="2:48">
      <c r="B126" t="s">
        <v>82</v>
      </c>
      <c r="Z126">
        <v>78062</v>
      </c>
      <c r="AA126">
        <v>114528</v>
      </c>
      <c r="AB126">
        <v>10530</v>
      </c>
      <c r="AC126">
        <v>4832</v>
      </c>
      <c r="AD126">
        <v>50193</v>
      </c>
      <c r="AE126">
        <v>93315</v>
      </c>
      <c r="AF126">
        <v>92822</v>
      </c>
    </row>
    <row r="128" spans="2:48">
      <c r="B128" t="s">
        <v>169</v>
      </c>
      <c r="Z128">
        <f t="shared" ref="Z128:AA128" si="0">SUM(Z4:Z126)</f>
        <v>36356062</v>
      </c>
      <c r="AA128">
        <f t="shared" si="0"/>
        <v>48716418</v>
      </c>
      <c r="AB128">
        <f t="shared" ref="AB128:AP128" si="1">SUM(AB4:AB126)</f>
        <v>58387327</v>
      </c>
      <c r="AC128">
        <f t="shared" si="1"/>
        <v>65733935</v>
      </c>
      <c r="AD128">
        <f t="shared" si="1"/>
        <v>59198662</v>
      </c>
      <c r="AE128">
        <f t="shared" si="1"/>
        <v>41759391</v>
      </c>
      <c r="AF128">
        <f t="shared" si="1"/>
        <v>48340503</v>
      </c>
      <c r="AG128">
        <f t="shared" si="1"/>
        <v>0</v>
      </c>
      <c r="AH128">
        <f t="shared" si="1"/>
        <v>0</v>
      </c>
      <c r="AI128">
        <f t="shared" si="1"/>
        <v>0</v>
      </c>
      <c r="AJ128">
        <f t="shared" si="1"/>
        <v>0</v>
      </c>
      <c r="AK128" s="1">
        <f t="shared" si="1"/>
        <v>26995301</v>
      </c>
      <c r="AL128">
        <f t="shared" si="1"/>
        <v>28848221</v>
      </c>
      <c r="AM128">
        <f t="shared" si="1"/>
        <v>31055759</v>
      </c>
      <c r="AN128">
        <f t="shared" si="1"/>
        <v>0</v>
      </c>
      <c r="AO128">
        <f t="shared" si="1"/>
        <v>0</v>
      </c>
      <c r="AP128">
        <f t="shared" si="1"/>
        <v>0</v>
      </c>
      <c r="AQ128">
        <f>SUM(AQ4:AQ127)</f>
        <v>29342485</v>
      </c>
      <c r="AR128">
        <f>SUM(AR4:AR126)</f>
        <v>0</v>
      </c>
      <c r="AS128">
        <f>SUM(AS4:AS126)</f>
        <v>0</v>
      </c>
      <c r="AT128">
        <f>SUM(AT4:AT126)</f>
        <v>0</v>
      </c>
      <c r="AU128">
        <f>SUM(AU4:AU126)</f>
        <v>0</v>
      </c>
      <c r="AV128">
        <f>SUM(AV4:AV126)</f>
        <v>0</v>
      </c>
    </row>
    <row r="130" spans="26:43">
      <c r="Z130">
        <f>36356062-Z128</f>
        <v>0</v>
      </c>
      <c r="AA130">
        <f>48716418-AA128</f>
        <v>0</v>
      </c>
      <c r="AB130">
        <f>58387327-AB128</f>
        <v>0</v>
      </c>
      <c r="AC130">
        <f>65733935-AC128</f>
        <v>0</v>
      </c>
      <c r="AD130">
        <f>59198662-AD128</f>
        <v>0</v>
      </c>
      <c r="AE130">
        <f>41759391-AE128</f>
        <v>0</v>
      </c>
      <c r="AF130">
        <f>48340503-AF128</f>
        <v>0</v>
      </c>
      <c r="AK130" s="1">
        <f>26995311-AK128</f>
        <v>10</v>
      </c>
      <c r="AL130">
        <f>28848221-AL128</f>
        <v>0</v>
      </c>
      <c r="AM130">
        <f>31055759-AM128</f>
        <v>0</v>
      </c>
      <c r="AQ130">
        <f>29342485-AQ128</f>
        <v>0</v>
      </c>
    </row>
    <row r="132" spans="26:43">
      <c r="Z132" t="s">
        <v>89</v>
      </c>
      <c r="AB132" t="s">
        <v>87</v>
      </c>
      <c r="AC132" t="s">
        <v>87</v>
      </c>
      <c r="AD132" t="s">
        <v>87</v>
      </c>
      <c r="AE132" t="s">
        <v>87</v>
      </c>
      <c r="AF132" t="s">
        <v>87</v>
      </c>
    </row>
    <row r="134" spans="26:43">
      <c r="Z134" t="s">
        <v>88</v>
      </c>
      <c r="AB134" t="s">
        <v>88</v>
      </c>
      <c r="AC134" t="s">
        <v>88</v>
      </c>
      <c r="AD134" t="s">
        <v>88</v>
      </c>
      <c r="AE134" t="s">
        <v>88</v>
      </c>
      <c r="AF134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143"/>
  <sheetViews>
    <sheetView tabSelected="1" workbookViewId="0">
      <pane xSplit="4" ySplit="3" topLeftCell="L109" activePane="bottomRight" state="frozen"/>
      <selection activeCell="A54" sqref="A54:XFD54"/>
      <selection pane="topRight" activeCell="A54" sqref="A54:XFD54"/>
      <selection pane="bottomLeft" activeCell="A54" sqref="A54:XFD54"/>
      <selection pane="bottomRight" activeCell="O115" sqref="O115"/>
    </sheetView>
  </sheetViews>
  <sheetFormatPr defaultRowHeight="15"/>
  <cols>
    <col min="23" max="24" width="9.140625" style="1"/>
    <col min="26" max="27" width="9.140625" style="1"/>
    <col min="30" max="30" width="10.140625" style="1" bestFit="1" customWidth="1"/>
  </cols>
  <sheetData>
    <row r="1" spans="1:44">
      <c r="C1" t="s">
        <v>0</v>
      </c>
      <c r="D1" t="s">
        <v>1</v>
      </c>
      <c r="E1">
        <v>1910</v>
      </c>
      <c r="F1">
        <v>1911</v>
      </c>
      <c r="G1">
        <v>1912</v>
      </c>
      <c r="H1">
        <v>1913</v>
      </c>
      <c r="I1">
        <v>1914</v>
      </c>
      <c r="J1">
        <v>1915</v>
      </c>
      <c r="K1">
        <v>1916</v>
      </c>
      <c r="L1">
        <v>1917</v>
      </c>
      <c r="M1">
        <v>1918</v>
      </c>
      <c r="N1">
        <v>1919</v>
      </c>
      <c r="O1">
        <v>1920</v>
      </c>
      <c r="P1">
        <v>1921</v>
      </c>
      <c r="Q1" s="1">
        <v>1922</v>
      </c>
      <c r="R1">
        <v>1923</v>
      </c>
      <c r="S1" s="1">
        <v>1924</v>
      </c>
      <c r="T1">
        <v>1925</v>
      </c>
      <c r="U1" s="1">
        <v>1926</v>
      </c>
      <c r="V1">
        <v>1927</v>
      </c>
      <c r="W1" s="1">
        <v>1928</v>
      </c>
      <c r="X1" s="1">
        <v>1929</v>
      </c>
      <c r="Y1">
        <v>1930</v>
      </c>
      <c r="Z1" s="1">
        <v>1931</v>
      </c>
      <c r="AA1" s="1">
        <v>1932</v>
      </c>
      <c r="AB1">
        <v>1933</v>
      </c>
      <c r="AC1">
        <v>1934</v>
      </c>
      <c r="AD1" s="1">
        <v>1935</v>
      </c>
      <c r="AE1">
        <v>1936</v>
      </c>
      <c r="AF1">
        <v>1937</v>
      </c>
      <c r="AG1">
        <v>1938</v>
      </c>
      <c r="AH1">
        <v>1939</v>
      </c>
      <c r="AI1">
        <v>1940</v>
      </c>
      <c r="AJ1">
        <v>1941</v>
      </c>
      <c r="AK1">
        <v>1942</v>
      </c>
      <c r="AL1">
        <v>1943</v>
      </c>
      <c r="AM1">
        <v>1944</v>
      </c>
      <c r="AN1">
        <v>1945</v>
      </c>
      <c r="AO1">
        <v>1946</v>
      </c>
      <c r="AP1">
        <v>1947</v>
      </c>
      <c r="AQ1">
        <v>1948</v>
      </c>
      <c r="AR1">
        <v>1949</v>
      </c>
    </row>
    <row r="2" spans="1:44">
      <c r="Q2" s="1"/>
      <c r="S2" s="1"/>
      <c r="U2" s="1"/>
    </row>
    <row r="3" spans="1:44"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s="1" t="s">
        <v>83</v>
      </c>
      <c r="X3" s="1" t="s">
        <v>83</v>
      </c>
      <c r="Y3" t="s">
        <v>83</v>
      </c>
      <c r="Z3" s="1" t="s">
        <v>83</v>
      </c>
      <c r="AA3" t="s">
        <v>83</v>
      </c>
    </row>
    <row r="4" spans="1:44">
      <c r="A4" t="s">
        <v>2</v>
      </c>
      <c r="B4" t="s">
        <v>3</v>
      </c>
      <c r="N4">
        <f>40004752+218069</f>
        <v>40222821</v>
      </c>
      <c r="O4">
        <f>87232+36255952</f>
        <v>36343184</v>
      </c>
      <c r="P4">
        <v>17045830</v>
      </c>
      <c r="Q4">
        <v>23035915</v>
      </c>
      <c r="R4">
        <v>28354293</v>
      </c>
      <c r="S4">
        <v>31955625</v>
      </c>
      <c r="T4">
        <v>26167972</v>
      </c>
      <c r="U4">
        <v>18921153</v>
      </c>
      <c r="V4">
        <v>19138089</v>
      </c>
      <c r="W4" s="1">
        <f>21508165+24028</f>
        <v>21532193</v>
      </c>
      <c r="X4" s="1">
        <f>17937739+21243</f>
        <v>17958982</v>
      </c>
      <c r="Y4">
        <f>10993154+18562</f>
        <v>11011716</v>
      </c>
      <c r="Z4" s="1">
        <f>10143781+16024</f>
        <v>10159805</v>
      </c>
      <c r="AA4" s="1">
        <v>10369940</v>
      </c>
      <c r="AB4">
        <v>12001014</v>
      </c>
      <c r="AC4">
        <v>9937874</v>
      </c>
      <c r="AD4" s="3">
        <v>12636668</v>
      </c>
      <c r="AE4">
        <v>12491478</v>
      </c>
      <c r="AF4">
        <v>12446625</v>
      </c>
      <c r="AG4">
        <v>9863700</v>
      </c>
      <c r="AH4">
        <v>12322690</v>
      </c>
      <c r="AI4">
        <v>10373504</v>
      </c>
      <c r="AJ4">
        <v>7047012</v>
      </c>
      <c r="AK4">
        <v>9487054</v>
      </c>
      <c r="AL4">
        <v>8927671</v>
      </c>
      <c r="AM4">
        <v>9402913</v>
      </c>
      <c r="AN4">
        <v>11408030</v>
      </c>
      <c r="AQ4">
        <v>41248174</v>
      </c>
      <c r="AR4">
        <v>23594048</v>
      </c>
    </row>
    <row r="5" spans="1:44">
      <c r="B5" t="s">
        <v>4</v>
      </c>
      <c r="P5">
        <v>72862</v>
      </c>
      <c r="Q5">
        <v>48756</v>
      </c>
      <c r="R5">
        <v>38166</v>
      </c>
      <c r="S5">
        <v>40295</v>
      </c>
      <c r="T5">
        <v>37103</v>
      </c>
      <c r="U5">
        <v>35830</v>
      </c>
      <c r="V5">
        <v>51515</v>
      </c>
      <c r="W5" s="1">
        <v>60198</v>
      </c>
      <c r="X5" s="1">
        <f>48325+21</f>
        <v>48346</v>
      </c>
      <c r="Y5">
        <f>55651+64</f>
        <v>55715</v>
      </c>
      <c r="Z5" s="1">
        <f>65214+26</f>
        <v>65240</v>
      </c>
      <c r="AA5" s="1">
        <v>66719</v>
      </c>
      <c r="AB5">
        <v>64403</v>
      </c>
      <c r="AC5">
        <v>90335</v>
      </c>
      <c r="AD5" s="3">
        <v>61142</v>
      </c>
      <c r="AE5">
        <v>46315</v>
      </c>
      <c r="AF5">
        <v>76493</v>
      </c>
      <c r="AG5">
        <v>45370</v>
      </c>
      <c r="AH5">
        <v>69583</v>
      </c>
      <c r="AI5">
        <v>264113</v>
      </c>
      <c r="AJ5">
        <v>402201</v>
      </c>
      <c r="AK5">
        <v>204214</v>
      </c>
      <c r="AL5">
        <v>97940</v>
      </c>
      <c r="AM5">
        <v>306728</v>
      </c>
      <c r="AN5">
        <v>714610</v>
      </c>
      <c r="AQ5">
        <v>415522</v>
      </c>
      <c r="AR5">
        <v>185586</v>
      </c>
    </row>
    <row r="6" spans="1:44">
      <c r="B6" t="s">
        <v>5</v>
      </c>
      <c r="P6">
        <v>2352</v>
      </c>
      <c r="Q6">
        <v>2870</v>
      </c>
      <c r="R6">
        <v>1813</v>
      </c>
      <c r="S6">
        <v>1781</v>
      </c>
      <c r="T6">
        <v>1726</v>
      </c>
      <c r="U6">
        <v>2093</v>
      </c>
      <c r="V6">
        <v>2483</v>
      </c>
      <c r="W6" s="1">
        <f>28675+1107</f>
        <v>29782</v>
      </c>
      <c r="X6" s="1">
        <f>39397+915</f>
        <v>40312</v>
      </c>
      <c r="Y6">
        <f>185004+429</f>
        <v>185433</v>
      </c>
      <c r="Z6" s="1">
        <f>37458+431</f>
        <v>37889</v>
      </c>
      <c r="AA6" s="1">
        <v>35883</v>
      </c>
      <c r="AB6">
        <v>69566</v>
      </c>
      <c r="AC6">
        <v>75370</v>
      </c>
      <c r="AD6" s="3">
        <v>35391</v>
      </c>
      <c r="AE6">
        <v>55595</v>
      </c>
      <c r="AF6">
        <v>22965</v>
      </c>
      <c r="AG6">
        <v>8351</v>
      </c>
      <c r="AH6">
        <v>6150</v>
      </c>
      <c r="AI6">
        <v>6510</v>
      </c>
      <c r="AJ6">
        <v>18</v>
      </c>
      <c r="AL6">
        <v>2</v>
      </c>
      <c r="AM6">
        <v>2</v>
      </c>
      <c r="AN6">
        <v>1</v>
      </c>
      <c r="AQ6">
        <v>673</v>
      </c>
      <c r="AR6">
        <v>154</v>
      </c>
    </row>
    <row r="7" spans="1:44">
      <c r="B7" t="s">
        <v>6</v>
      </c>
      <c r="P7">
        <v>15761</v>
      </c>
      <c r="Q7">
        <v>2755</v>
      </c>
      <c r="R7">
        <v>19207</v>
      </c>
      <c r="S7">
        <v>12939</v>
      </c>
      <c r="T7">
        <v>7711</v>
      </c>
      <c r="U7">
        <v>7629</v>
      </c>
      <c r="V7">
        <v>8859</v>
      </c>
      <c r="W7" s="1">
        <f>4981+36</f>
        <v>5017</v>
      </c>
      <c r="X7" s="1">
        <f>4377+9</f>
        <v>4386</v>
      </c>
      <c r="Y7">
        <v>3474</v>
      </c>
      <c r="Z7" s="1">
        <v>6065</v>
      </c>
      <c r="AA7" s="1">
        <v>16899</v>
      </c>
      <c r="AB7">
        <v>42909</v>
      </c>
      <c r="AC7">
        <v>37702</v>
      </c>
      <c r="AD7" s="3">
        <v>25612</v>
      </c>
      <c r="AE7">
        <v>70577</v>
      </c>
      <c r="AF7">
        <v>45529</v>
      </c>
      <c r="AG7">
        <v>55663</v>
      </c>
      <c r="AH7">
        <v>89483</v>
      </c>
      <c r="AI7">
        <v>94410</v>
      </c>
      <c r="AJ7">
        <v>6703</v>
      </c>
      <c r="AK7">
        <v>24440</v>
      </c>
      <c r="AL7">
        <v>239</v>
      </c>
      <c r="AM7">
        <v>9244</v>
      </c>
      <c r="AN7">
        <v>38800</v>
      </c>
      <c r="AQ7">
        <v>70606</v>
      </c>
      <c r="AR7">
        <v>55314</v>
      </c>
    </row>
    <row r="8" spans="1:44">
      <c r="B8" t="s">
        <v>7</v>
      </c>
      <c r="P8">
        <v>4664</v>
      </c>
      <c r="Q8">
        <v>3365</v>
      </c>
      <c r="R8">
        <v>5484</v>
      </c>
      <c r="S8">
        <v>10114</v>
      </c>
      <c r="T8">
        <v>9527</v>
      </c>
      <c r="U8">
        <v>8579</v>
      </c>
      <c r="V8">
        <v>12082</v>
      </c>
      <c r="W8" s="1">
        <f>13671+106</f>
        <v>13777</v>
      </c>
      <c r="X8" s="1">
        <f>15150+223</f>
        <v>15373</v>
      </c>
      <c r="Y8">
        <f>10618+475</f>
        <v>11093</v>
      </c>
      <c r="Z8" s="1">
        <f>6635+79</f>
        <v>6714</v>
      </c>
      <c r="AA8" s="1">
        <v>11100</v>
      </c>
      <c r="AB8">
        <v>17448</v>
      </c>
      <c r="AC8">
        <v>14331</v>
      </c>
      <c r="AD8" s="3">
        <v>14583</v>
      </c>
      <c r="AE8">
        <v>14312</v>
      </c>
      <c r="AF8">
        <v>19319</v>
      </c>
      <c r="AG8">
        <v>16151</v>
      </c>
      <c r="AH8">
        <v>15486</v>
      </c>
      <c r="AI8">
        <v>12205</v>
      </c>
      <c r="AJ8">
        <v>10810</v>
      </c>
      <c r="AK8">
        <v>7573</v>
      </c>
      <c r="AL8">
        <v>78014</v>
      </c>
      <c r="AM8">
        <v>180198</v>
      </c>
      <c r="AN8">
        <v>43914</v>
      </c>
      <c r="AQ8">
        <v>210380</v>
      </c>
      <c r="AR8">
        <v>281053</v>
      </c>
    </row>
    <row r="9" spans="1:44">
      <c r="B9" t="s">
        <v>8</v>
      </c>
      <c r="P9">
        <v>201</v>
      </c>
      <c r="Q9">
        <v>49</v>
      </c>
      <c r="R9">
        <v>215</v>
      </c>
      <c r="S9">
        <v>15</v>
      </c>
      <c r="T9">
        <v>175</v>
      </c>
      <c r="U9">
        <v>605</v>
      </c>
      <c r="V9">
        <v>594</v>
      </c>
      <c r="W9" s="1">
        <v>86</v>
      </c>
      <c r="X9" s="1">
        <v>60</v>
      </c>
      <c r="Y9">
        <v>253</v>
      </c>
      <c r="Z9" s="1">
        <v>123</v>
      </c>
      <c r="AA9" s="1">
        <v>20</v>
      </c>
      <c r="AB9">
        <v>1</v>
      </c>
      <c r="AC9">
        <v>26</v>
      </c>
      <c r="AD9" s="3">
        <v>394</v>
      </c>
      <c r="AE9">
        <v>174</v>
      </c>
      <c r="AF9">
        <v>174</v>
      </c>
      <c r="AG9">
        <v>144</v>
      </c>
      <c r="AH9">
        <v>331</v>
      </c>
      <c r="AI9">
        <v>23</v>
      </c>
      <c r="AQ9">
        <v>1</v>
      </c>
    </row>
    <row r="10" spans="1:44">
      <c r="B10" t="s">
        <v>9</v>
      </c>
      <c r="N10">
        <f>559709+27306</f>
        <v>587015</v>
      </c>
      <c r="O10">
        <f>710415+37292</f>
        <v>747707</v>
      </c>
      <c r="P10">
        <v>134199</v>
      </c>
      <c r="Q10">
        <v>130296</v>
      </c>
      <c r="R10">
        <v>184195</v>
      </c>
      <c r="S10">
        <v>206201</v>
      </c>
      <c r="T10">
        <v>50863</v>
      </c>
      <c r="U10">
        <v>505118</v>
      </c>
      <c r="V10">
        <v>624638</v>
      </c>
      <c r="W10" s="1">
        <f>1147896+5908</f>
        <v>1153804</v>
      </c>
      <c r="X10" s="1">
        <f>1064570+4695</f>
        <v>1069265</v>
      </c>
      <c r="Y10">
        <f>1069880+4046</f>
        <v>1073926</v>
      </c>
      <c r="Z10" s="1">
        <f>1258864+3083</f>
        <v>1261947</v>
      </c>
      <c r="AA10" s="1">
        <v>921690</v>
      </c>
      <c r="AB10">
        <v>445410</v>
      </c>
      <c r="AC10">
        <v>1165793</v>
      </c>
      <c r="AD10" s="3">
        <v>1841380</v>
      </c>
      <c r="AE10">
        <v>1261747</v>
      </c>
      <c r="AF10">
        <v>1950731</v>
      </c>
      <c r="AG10">
        <v>1537569</v>
      </c>
      <c r="AH10">
        <v>1987119</v>
      </c>
      <c r="AI10">
        <v>1770917</v>
      </c>
      <c r="AJ10">
        <v>3085309</v>
      </c>
      <c r="AK10">
        <v>1849893</v>
      </c>
      <c r="AL10">
        <v>7446573</v>
      </c>
      <c r="AM10">
        <v>8568132</v>
      </c>
      <c r="AN10">
        <v>8748652</v>
      </c>
      <c r="AQ10">
        <v>22086760</v>
      </c>
      <c r="AR10">
        <v>27610501</v>
      </c>
    </row>
    <row r="11" spans="1:44">
      <c r="B11" t="s">
        <v>134</v>
      </c>
      <c r="AD11" s="3"/>
      <c r="AG11">
        <v>10915</v>
      </c>
      <c r="AH11">
        <v>9610</v>
      </c>
      <c r="AI11">
        <v>5514</v>
      </c>
      <c r="AJ11">
        <v>3</v>
      </c>
      <c r="AQ11">
        <v>306</v>
      </c>
      <c r="AR11">
        <v>642</v>
      </c>
    </row>
    <row r="12" spans="1:44">
      <c r="B12" t="s">
        <v>10</v>
      </c>
      <c r="P12">
        <v>1956</v>
      </c>
      <c r="Q12">
        <v>3741</v>
      </c>
      <c r="R12">
        <v>4534</v>
      </c>
      <c r="S12">
        <v>12357</v>
      </c>
      <c r="T12">
        <v>19811</v>
      </c>
      <c r="U12">
        <v>23219</v>
      </c>
      <c r="V12">
        <v>62213</v>
      </c>
      <c r="W12" s="1">
        <f>45215+684</f>
        <v>45899</v>
      </c>
      <c r="X12" s="1">
        <f>79618+415</f>
        <v>80033</v>
      </c>
      <c r="Y12">
        <f>68822+475</f>
        <v>69297</v>
      </c>
      <c r="Z12" s="1">
        <f>28623+224</f>
        <v>28847</v>
      </c>
      <c r="AA12" s="1">
        <v>30212</v>
      </c>
      <c r="AB12">
        <v>15434</v>
      </c>
      <c r="AC12">
        <v>37462</v>
      </c>
      <c r="AD12" s="3">
        <v>47641</v>
      </c>
      <c r="AE12">
        <v>52191</v>
      </c>
      <c r="AF12">
        <v>62125</v>
      </c>
      <c r="AG12">
        <v>34503</v>
      </c>
      <c r="AH12">
        <v>50344</v>
      </c>
      <c r="AI12">
        <v>93326</v>
      </c>
      <c r="AJ12">
        <v>53335</v>
      </c>
      <c r="AK12">
        <v>42737</v>
      </c>
      <c r="AL12">
        <v>1993110</v>
      </c>
      <c r="AM12">
        <v>1218260</v>
      </c>
      <c r="AN12">
        <v>3188599</v>
      </c>
      <c r="AQ12">
        <v>3602175</v>
      </c>
      <c r="AR12">
        <v>2356995</v>
      </c>
    </row>
    <row r="13" spans="1:44">
      <c r="B13" t="s">
        <v>11</v>
      </c>
      <c r="P13">
        <v>3458</v>
      </c>
      <c r="Q13">
        <v>3611</v>
      </c>
      <c r="R13">
        <v>3088</v>
      </c>
      <c r="S13">
        <v>3850</v>
      </c>
      <c r="T13">
        <v>1828</v>
      </c>
      <c r="U13">
        <v>169</v>
      </c>
      <c r="V13">
        <v>719</v>
      </c>
      <c r="W13" s="1">
        <f>936+475</f>
        <v>1411</v>
      </c>
      <c r="X13" s="1">
        <f>6627+687</f>
        <v>7314</v>
      </c>
      <c r="Y13">
        <f>3503+706</f>
        <v>4209</v>
      </c>
      <c r="Z13" s="1">
        <f>21+338</f>
        <v>359</v>
      </c>
      <c r="AA13" s="1">
        <v>1418</v>
      </c>
      <c r="AB13">
        <v>6684</v>
      </c>
      <c r="AC13">
        <v>1639</v>
      </c>
      <c r="AD13" s="3">
        <v>1321</v>
      </c>
      <c r="AE13">
        <v>823</v>
      </c>
      <c r="AF13">
        <v>3760</v>
      </c>
      <c r="AG13">
        <v>1182</v>
      </c>
      <c r="AH13">
        <v>2174</v>
      </c>
      <c r="AI13">
        <v>1726</v>
      </c>
      <c r="AJ13">
        <v>2658</v>
      </c>
      <c r="AQ13">
        <v>165204</v>
      </c>
      <c r="AR13">
        <v>105370</v>
      </c>
    </row>
    <row r="14" spans="1:44">
      <c r="B14" t="s">
        <v>12</v>
      </c>
      <c r="P14">
        <v>34558</v>
      </c>
      <c r="Q14">
        <v>34454</v>
      </c>
      <c r="R14">
        <v>33378</v>
      </c>
      <c r="S14">
        <v>30573</v>
      </c>
      <c r="T14">
        <v>37834</v>
      </c>
      <c r="U14">
        <v>34269</v>
      </c>
      <c r="V14">
        <v>21597</v>
      </c>
      <c r="W14" s="1">
        <f>138188+8703</f>
        <v>146891</v>
      </c>
      <c r="X14" s="1">
        <f>78352+8469</f>
        <v>86821</v>
      </c>
      <c r="Y14">
        <f>30292+5997</f>
        <v>36289</v>
      </c>
      <c r="Z14" s="1">
        <f>36543+945</f>
        <v>37488</v>
      </c>
      <c r="AA14" s="1">
        <v>13810</v>
      </c>
      <c r="AB14">
        <v>39270</v>
      </c>
      <c r="AC14">
        <v>53744</v>
      </c>
      <c r="AD14" s="3">
        <v>36614</v>
      </c>
      <c r="AE14">
        <v>46209</v>
      </c>
      <c r="AF14">
        <v>64900</v>
      </c>
      <c r="AG14">
        <v>47872</v>
      </c>
      <c r="AH14">
        <v>43012</v>
      </c>
      <c r="AI14">
        <v>26812</v>
      </c>
      <c r="AJ14">
        <v>28693</v>
      </c>
      <c r="AK14">
        <v>146</v>
      </c>
      <c r="AN14">
        <v>13</v>
      </c>
    </row>
    <row r="15" spans="1:44">
      <c r="B15" t="s">
        <v>13</v>
      </c>
      <c r="Q15">
        <v>4</v>
      </c>
      <c r="R15">
        <v>3</v>
      </c>
      <c r="V15">
        <v>4</v>
      </c>
      <c r="W15" s="1">
        <v>3</v>
      </c>
      <c r="X15" s="1">
        <v>12</v>
      </c>
      <c r="Y15">
        <v>4</v>
      </c>
      <c r="Z15" s="1">
        <v>6</v>
      </c>
      <c r="AA15" s="1">
        <v>4</v>
      </c>
      <c r="AB15">
        <v>31</v>
      </c>
      <c r="AC15">
        <v>98</v>
      </c>
      <c r="AD15" s="3">
        <v>94</v>
      </c>
      <c r="AE15">
        <v>40</v>
      </c>
      <c r="AF15">
        <v>306</v>
      </c>
      <c r="AG15">
        <v>325</v>
      </c>
      <c r="AH15">
        <v>589</v>
      </c>
      <c r="AI15">
        <v>30</v>
      </c>
      <c r="AL15">
        <v>3</v>
      </c>
      <c r="AQ15">
        <v>602</v>
      </c>
    </row>
    <row r="16" spans="1:44">
      <c r="B16" t="s">
        <v>90</v>
      </c>
      <c r="P16">
        <v>30</v>
      </c>
      <c r="Q16">
        <v>19</v>
      </c>
      <c r="W16" s="1">
        <v>64</v>
      </c>
      <c r="X16" s="1">
        <v>1</v>
      </c>
      <c r="AD16" s="3"/>
    </row>
    <row r="17" spans="2:44">
      <c r="B17" t="s">
        <v>14</v>
      </c>
      <c r="P17">
        <v>625</v>
      </c>
      <c r="Q17">
        <v>285</v>
      </c>
      <c r="R17">
        <v>202</v>
      </c>
      <c r="S17">
        <v>253</v>
      </c>
      <c r="T17">
        <v>188</v>
      </c>
      <c r="U17">
        <v>157</v>
      </c>
      <c r="V17">
        <v>219</v>
      </c>
      <c r="W17" s="1">
        <f>22+186</f>
        <v>208</v>
      </c>
      <c r="X17" s="1">
        <f>23+223</f>
        <v>246</v>
      </c>
      <c r="AD17" s="3"/>
    </row>
    <row r="18" spans="2:44">
      <c r="B18" t="s">
        <v>15</v>
      </c>
      <c r="N18">
        <f>102+1752</f>
        <v>1854</v>
      </c>
      <c r="O18">
        <f>269+2392</f>
        <v>2661</v>
      </c>
      <c r="P18">
        <v>8469</v>
      </c>
      <c r="Q18">
        <v>1009</v>
      </c>
      <c r="R18">
        <v>16169</v>
      </c>
      <c r="S18">
        <v>8154</v>
      </c>
      <c r="T18">
        <v>8095</v>
      </c>
      <c r="U18">
        <v>1563</v>
      </c>
      <c r="V18">
        <v>7622</v>
      </c>
      <c r="W18" s="1">
        <f>21324+965</f>
        <v>22289</v>
      </c>
      <c r="X18" s="1">
        <f>58905+951</f>
        <v>59856</v>
      </c>
      <c r="Y18">
        <f>55822+990</f>
        <v>56812</v>
      </c>
      <c r="Z18" s="1">
        <f>76755+648</f>
        <v>77403</v>
      </c>
      <c r="AA18" s="1">
        <v>69625</v>
      </c>
      <c r="AB18">
        <v>98011</v>
      </c>
      <c r="AC18">
        <v>174924</v>
      </c>
      <c r="AD18" s="3">
        <v>136335</v>
      </c>
      <c r="AE18">
        <v>86195</v>
      </c>
      <c r="AF18">
        <v>98647</v>
      </c>
      <c r="AG18">
        <v>79681</v>
      </c>
      <c r="AH18">
        <v>249989</v>
      </c>
      <c r="AI18">
        <v>37955</v>
      </c>
      <c r="AJ18">
        <v>107277</v>
      </c>
      <c r="AK18">
        <v>91197</v>
      </c>
      <c r="AL18">
        <v>177</v>
      </c>
      <c r="AM18">
        <v>6015</v>
      </c>
      <c r="AN18">
        <v>3510</v>
      </c>
      <c r="AQ18">
        <v>183258</v>
      </c>
      <c r="AR18">
        <v>48619</v>
      </c>
    </row>
    <row r="19" spans="2:44">
      <c r="B19" t="s">
        <v>16</v>
      </c>
      <c r="P19">
        <v>6314</v>
      </c>
      <c r="Q19">
        <v>2834</v>
      </c>
      <c r="R19">
        <v>6918</v>
      </c>
      <c r="S19">
        <v>9876</v>
      </c>
      <c r="T19">
        <v>6841</v>
      </c>
      <c r="U19">
        <v>14692</v>
      </c>
      <c r="V19">
        <v>10077</v>
      </c>
      <c r="W19" s="1">
        <f>11027+1841</f>
        <v>12868</v>
      </c>
      <c r="X19" s="1">
        <f>17233+1573</f>
        <v>18806</v>
      </c>
      <c r="Y19">
        <f>20378+1396</f>
        <v>21774</v>
      </c>
      <c r="Z19" s="1">
        <f>6839+899</f>
        <v>7738</v>
      </c>
      <c r="AA19" s="1">
        <v>8638</v>
      </c>
      <c r="AB19">
        <v>10805</v>
      </c>
      <c r="AC19">
        <v>9440</v>
      </c>
      <c r="AD19" s="3">
        <v>6832</v>
      </c>
      <c r="AE19">
        <v>13194</v>
      </c>
      <c r="AF19">
        <v>20961</v>
      </c>
      <c r="AG19">
        <v>12065</v>
      </c>
      <c r="AH19">
        <v>10335</v>
      </c>
      <c r="AI19">
        <v>14720</v>
      </c>
      <c r="AJ19">
        <v>13464</v>
      </c>
      <c r="AK19">
        <v>36760</v>
      </c>
      <c r="AL19">
        <v>1687</v>
      </c>
      <c r="AM19">
        <v>3962</v>
      </c>
      <c r="AN19">
        <v>4075</v>
      </c>
      <c r="AQ19">
        <v>83478</v>
      </c>
      <c r="AR19">
        <v>36912</v>
      </c>
    </row>
    <row r="20" spans="2:44">
      <c r="B20" t="s">
        <v>17</v>
      </c>
      <c r="P20">
        <v>1047</v>
      </c>
      <c r="Q20">
        <v>614</v>
      </c>
      <c r="R20">
        <v>1034</v>
      </c>
      <c r="S20">
        <v>891</v>
      </c>
      <c r="T20">
        <v>1005</v>
      </c>
      <c r="U20">
        <v>878</v>
      </c>
      <c r="V20">
        <v>1374</v>
      </c>
      <c r="W20" s="1">
        <f>4714+59</f>
        <v>4773</v>
      </c>
      <c r="X20" s="1">
        <f>5937+198</f>
        <v>6135</v>
      </c>
      <c r="Y20">
        <f>5677+269</f>
        <v>5946</v>
      </c>
      <c r="Z20" s="1">
        <f>944+24</f>
        <v>968</v>
      </c>
      <c r="AA20" s="1">
        <v>1146</v>
      </c>
      <c r="AB20">
        <v>2106</v>
      </c>
      <c r="AC20">
        <v>1358</v>
      </c>
      <c r="AD20" s="3">
        <v>1914</v>
      </c>
      <c r="AE20">
        <v>2582</v>
      </c>
      <c r="AF20">
        <v>3243</v>
      </c>
      <c r="AG20">
        <v>2054</v>
      </c>
      <c r="AH20">
        <v>1375</v>
      </c>
      <c r="AI20">
        <v>1036</v>
      </c>
      <c r="AJ20">
        <v>189</v>
      </c>
      <c r="AK20">
        <v>6784</v>
      </c>
      <c r="AL20">
        <v>7396</v>
      </c>
      <c r="AM20">
        <v>6698</v>
      </c>
      <c r="AN20">
        <v>6115</v>
      </c>
      <c r="AQ20">
        <v>27638</v>
      </c>
      <c r="AR20">
        <v>59809</v>
      </c>
    </row>
    <row r="21" spans="2:44">
      <c r="B21" t="s">
        <v>18</v>
      </c>
      <c r="P21">
        <v>16716</v>
      </c>
      <c r="Q21">
        <v>3289</v>
      </c>
      <c r="R21">
        <v>5854</v>
      </c>
      <c r="S21">
        <v>1022</v>
      </c>
      <c r="T21">
        <v>7982</v>
      </c>
      <c r="U21">
        <v>5523</v>
      </c>
      <c r="V21">
        <v>20789</v>
      </c>
      <c r="W21" s="1">
        <f>10882+969</f>
        <v>11851</v>
      </c>
      <c r="X21" s="1">
        <f>1214+1124</f>
        <v>2338</v>
      </c>
      <c r="Y21">
        <f>5265+964</f>
        <v>6229</v>
      </c>
      <c r="Z21" s="1">
        <f>993+577</f>
        <v>1570</v>
      </c>
      <c r="AA21" s="1">
        <v>2367</v>
      </c>
      <c r="AB21">
        <v>5435</v>
      </c>
      <c r="AC21">
        <v>5222</v>
      </c>
      <c r="AD21" s="3">
        <v>1981</v>
      </c>
      <c r="AE21">
        <v>5206</v>
      </c>
      <c r="AF21">
        <v>1812</v>
      </c>
      <c r="AG21">
        <v>14491</v>
      </c>
      <c r="AH21">
        <v>9129</v>
      </c>
      <c r="AI21">
        <v>8040</v>
      </c>
      <c r="AJ21">
        <v>3173579</v>
      </c>
      <c r="AK21">
        <v>84607</v>
      </c>
      <c r="AL21">
        <v>56509</v>
      </c>
      <c r="AM21">
        <v>98753</v>
      </c>
      <c r="AN21">
        <v>47173</v>
      </c>
      <c r="AQ21">
        <v>43870</v>
      </c>
      <c r="AR21">
        <v>667343</v>
      </c>
    </row>
    <row r="22" spans="2:44">
      <c r="B22" t="s">
        <v>124</v>
      </c>
      <c r="X22" s="1">
        <f>44599+889</f>
        <v>45488</v>
      </c>
      <c r="Y22">
        <f>24268+375</f>
        <v>24643</v>
      </c>
      <c r="Z22" s="1">
        <f>5572+105</f>
        <v>5677</v>
      </c>
      <c r="AA22" s="1">
        <v>7159</v>
      </c>
      <c r="AB22">
        <v>8627</v>
      </c>
      <c r="AC22">
        <v>12166</v>
      </c>
      <c r="AD22" s="3">
        <v>3302</v>
      </c>
      <c r="AE22">
        <v>6637</v>
      </c>
      <c r="AF22">
        <v>8944</v>
      </c>
      <c r="AG22">
        <v>44389</v>
      </c>
      <c r="AH22">
        <v>83644</v>
      </c>
      <c r="AI22">
        <v>75801</v>
      </c>
      <c r="AJ22">
        <v>282496</v>
      </c>
      <c r="AK22">
        <v>255249</v>
      </c>
      <c r="AL22">
        <v>102728</v>
      </c>
      <c r="AM22">
        <v>309766</v>
      </c>
      <c r="AN22">
        <v>361995</v>
      </c>
      <c r="AQ22">
        <v>525924</v>
      </c>
      <c r="AR22">
        <v>32701</v>
      </c>
    </row>
    <row r="23" spans="2:44">
      <c r="B23" t="s">
        <v>125</v>
      </c>
      <c r="X23" s="1">
        <f>47+58</f>
        <v>105</v>
      </c>
      <c r="Y23">
        <v>86</v>
      </c>
      <c r="Z23" s="1">
        <v>13</v>
      </c>
      <c r="AA23" s="1">
        <v>408</v>
      </c>
      <c r="AB23">
        <v>626</v>
      </c>
      <c r="AC23">
        <v>4937</v>
      </c>
      <c r="AD23" s="3">
        <v>3760</v>
      </c>
      <c r="AE23">
        <v>347</v>
      </c>
      <c r="AF23">
        <v>10866</v>
      </c>
      <c r="AG23">
        <v>8196</v>
      </c>
      <c r="AH23">
        <v>4464</v>
      </c>
      <c r="AI23">
        <v>22433</v>
      </c>
      <c r="AJ23">
        <v>27120</v>
      </c>
      <c r="AK23">
        <v>40190</v>
      </c>
      <c r="AL23">
        <v>1958</v>
      </c>
      <c r="AN23">
        <v>3</v>
      </c>
      <c r="AQ23">
        <v>75606</v>
      </c>
      <c r="AR23">
        <v>14410</v>
      </c>
    </row>
    <row r="24" spans="2:44">
      <c r="B24" t="s">
        <v>19</v>
      </c>
      <c r="N24">
        <f>42131+6779</f>
        <v>48910</v>
      </c>
      <c r="O24">
        <f>85343+5794</f>
        <v>91137</v>
      </c>
      <c r="P24">
        <v>3627</v>
      </c>
      <c r="Q24">
        <v>4452</v>
      </c>
      <c r="R24">
        <v>3095</v>
      </c>
      <c r="S24">
        <v>39961</v>
      </c>
      <c r="T24">
        <v>29144</v>
      </c>
      <c r="U24">
        <v>6003</v>
      </c>
      <c r="V24">
        <v>42721</v>
      </c>
      <c r="W24" s="1">
        <f>33845+983</f>
        <v>34828</v>
      </c>
      <c r="AD24" s="3"/>
    </row>
    <row r="25" spans="2:44">
      <c r="B25" t="s">
        <v>20</v>
      </c>
      <c r="P25">
        <v>2</v>
      </c>
      <c r="Q25">
        <v>26</v>
      </c>
      <c r="R25">
        <v>146</v>
      </c>
      <c r="T25">
        <v>85</v>
      </c>
      <c r="U25">
        <v>46</v>
      </c>
      <c r="V25">
        <v>169</v>
      </c>
      <c r="W25" s="1">
        <f>55+114</f>
        <v>169</v>
      </c>
      <c r="X25" s="1">
        <f>32+101</f>
        <v>133</v>
      </c>
      <c r="AD25" s="3"/>
    </row>
    <row r="26" spans="2:44">
      <c r="B26" t="s">
        <v>171</v>
      </c>
      <c r="N26">
        <f>283560+9315</f>
        <v>292875</v>
      </c>
      <c r="O26">
        <f>159593+7696</f>
        <v>167289</v>
      </c>
      <c r="AD26" s="3"/>
    </row>
    <row r="27" spans="2:44">
      <c r="B27" t="s">
        <v>172</v>
      </c>
      <c r="N27">
        <f>8451+26216</f>
        <v>34667</v>
      </c>
      <c r="O27">
        <f>48562+46211</f>
        <v>94773</v>
      </c>
      <c r="AD27" s="3"/>
    </row>
    <row r="28" spans="2:44">
      <c r="B28" t="s">
        <v>173</v>
      </c>
      <c r="N28">
        <f>15514+10620</f>
        <v>26134</v>
      </c>
      <c r="O28">
        <f>43134+13512</f>
        <v>56646</v>
      </c>
      <c r="AD28" s="3"/>
    </row>
    <row r="29" spans="2:44">
      <c r="B29" t="s">
        <v>21</v>
      </c>
      <c r="P29">
        <v>2085</v>
      </c>
      <c r="Q29">
        <v>2245</v>
      </c>
      <c r="R29">
        <v>2184</v>
      </c>
      <c r="S29">
        <v>1709</v>
      </c>
      <c r="T29">
        <v>2995</v>
      </c>
      <c r="U29">
        <v>6275</v>
      </c>
      <c r="V29">
        <v>9429</v>
      </c>
      <c r="W29" s="1">
        <f>13559+98</f>
        <v>13657</v>
      </c>
      <c r="X29" s="1">
        <f>11859+202</f>
        <v>12061</v>
      </c>
      <c r="Y29">
        <f>9206+305</f>
        <v>9511</v>
      </c>
      <c r="Z29" s="1">
        <f>2578+136</f>
        <v>2714</v>
      </c>
      <c r="AA29" s="1">
        <v>1932</v>
      </c>
      <c r="AB29">
        <v>2496</v>
      </c>
      <c r="AC29">
        <v>1408</v>
      </c>
      <c r="AD29" s="3">
        <v>666</v>
      </c>
      <c r="AE29">
        <v>740</v>
      </c>
      <c r="AF29">
        <v>13547</v>
      </c>
      <c r="AG29">
        <v>494</v>
      </c>
      <c r="AH29">
        <v>30</v>
      </c>
      <c r="AI29">
        <v>6</v>
      </c>
      <c r="AJ29">
        <v>9</v>
      </c>
      <c r="AK29">
        <v>66</v>
      </c>
      <c r="AL29">
        <v>24</v>
      </c>
      <c r="AM29">
        <v>39096</v>
      </c>
      <c r="AN29">
        <v>21202</v>
      </c>
      <c r="AQ29">
        <v>12610</v>
      </c>
      <c r="AR29">
        <v>56814</v>
      </c>
    </row>
    <row r="30" spans="2:44">
      <c r="B30" t="s">
        <v>22</v>
      </c>
      <c r="P30">
        <v>1343</v>
      </c>
      <c r="Q30">
        <v>382</v>
      </c>
      <c r="R30">
        <v>20</v>
      </c>
      <c r="S30">
        <v>1875</v>
      </c>
      <c r="T30">
        <v>272</v>
      </c>
      <c r="U30">
        <v>1146</v>
      </c>
      <c r="V30">
        <v>550</v>
      </c>
      <c r="W30" s="1">
        <f>2494+10</f>
        <v>2504</v>
      </c>
      <c r="X30" s="1">
        <f>27769+5</f>
        <v>27774</v>
      </c>
      <c r="Y30">
        <v>617</v>
      </c>
      <c r="Z30" s="1">
        <v>729</v>
      </c>
      <c r="AA30" s="1">
        <v>376</v>
      </c>
      <c r="AB30">
        <v>1616</v>
      </c>
      <c r="AC30">
        <v>4475</v>
      </c>
      <c r="AD30" s="3">
        <v>7979</v>
      </c>
      <c r="AE30">
        <v>6307</v>
      </c>
      <c r="AF30">
        <v>17140</v>
      </c>
      <c r="AG30">
        <v>9543</v>
      </c>
      <c r="AH30">
        <v>1758</v>
      </c>
      <c r="AO30">
        <v>23426</v>
      </c>
      <c r="AP30">
        <v>3</v>
      </c>
      <c r="AQ30">
        <v>72</v>
      </c>
      <c r="AR30">
        <v>345</v>
      </c>
    </row>
    <row r="31" spans="2:44">
      <c r="B31" t="s">
        <v>23</v>
      </c>
      <c r="P31">
        <v>78205</v>
      </c>
      <c r="Q31">
        <v>69275</v>
      </c>
      <c r="R31">
        <v>70741</v>
      </c>
      <c r="S31">
        <v>81081</v>
      </c>
      <c r="T31">
        <v>32768</v>
      </c>
      <c r="U31">
        <v>47284</v>
      </c>
      <c r="V31">
        <v>118686</v>
      </c>
      <c r="W31" s="1">
        <f>103454+34839</f>
        <v>138293</v>
      </c>
      <c r="X31" s="1">
        <f>90269+32223</f>
        <v>122492</v>
      </c>
      <c r="AD31" s="3"/>
    </row>
    <row r="32" spans="2:44">
      <c r="B32" t="s">
        <v>24</v>
      </c>
      <c r="P32">
        <v>1129</v>
      </c>
      <c r="Q32">
        <v>1805</v>
      </c>
      <c r="R32">
        <v>1029</v>
      </c>
      <c r="S32">
        <v>404</v>
      </c>
      <c r="T32">
        <v>1705</v>
      </c>
      <c r="U32">
        <v>1211</v>
      </c>
      <c r="V32">
        <v>1366</v>
      </c>
      <c r="W32" s="1">
        <f>102+1529</f>
        <v>1631</v>
      </c>
      <c r="X32" s="1">
        <f>68+1302</f>
        <v>1370</v>
      </c>
      <c r="Y32">
        <f>190+2206</f>
        <v>2396</v>
      </c>
      <c r="Z32" s="1">
        <f>27+1053</f>
        <v>1080</v>
      </c>
      <c r="AA32" s="1">
        <v>18381</v>
      </c>
      <c r="AB32">
        <v>2334</v>
      </c>
      <c r="AC32">
        <v>15816</v>
      </c>
      <c r="AD32" s="3">
        <v>329</v>
      </c>
      <c r="AE32">
        <v>349</v>
      </c>
      <c r="AF32">
        <v>843</v>
      </c>
      <c r="AG32">
        <v>620</v>
      </c>
      <c r="AH32">
        <v>231</v>
      </c>
      <c r="AI32">
        <v>144</v>
      </c>
      <c r="AJ32">
        <v>149</v>
      </c>
      <c r="AK32">
        <v>1</v>
      </c>
      <c r="AN32">
        <v>1537</v>
      </c>
      <c r="AQ32">
        <v>1169</v>
      </c>
      <c r="AR32">
        <v>40</v>
      </c>
    </row>
    <row r="33" spans="2:44">
      <c r="B33" t="s">
        <v>25</v>
      </c>
      <c r="N33">
        <v>5396</v>
      </c>
      <c r="O33">
        <f>302986+44</f>
        <v>303030</v>
      </c>
      <c r="P33">
        <v>150165</v>
      </c>
      <c r="Q33">
        <v>76051</v>
      </c>
      <c r="R33">
        <v>215418</v>
      </c>
      <c r="S33">
        <v>204554</v>
      </c>
      <c r="T33">
        <v>226667</v>
      </c>
      <c r="U33">
        <v>156411</v>
      </c>
      <c r="V33">
        <v>284644</v>
      </c>
      <c r="W33" s="1">
        <f>252354+3709</f>
        <v>256063</v>
      </c>
      <c r="X33" s="1">
        <f>283043+4876</f>
        <v>287919</v>
      </c>
      <c r="Y33">
        <f>219529+4376</f>
        <v>223905</v>
      </c>
      <c r="Z33" s="1">
        <f>291917+2970</f>
        <v>294887</v>
      </c>
      <c r="AA33" s="1">
        <v>155693</v>
      </c>
      <c r="AB33">
        <v>146465</v>
      </c>
      <c r="AC33">
        <v>223161</v>
      </c>
      <c r="AD33" s="3">
        <v>290612</v>
      </c>
      <c r="AE33">
        <v>380922</v>
      </c>
      <c r="AF33">
        <v>425325</v>
      </c>
      <c r="AG33">
        <v>262425</v>
      </c>
      <c r="AQ33">
        <v>951613</v>
      </c>
      <c r="AR33">
        <v>1318851</v>
      </c>
    </row>
    <row r="34" spans="2:44">
      <c r="B34" t="s">
        <v>26</v>
      </c>
      <c r="N34">
        <f>188919+18100</f>
        <v>207019</v>
      </c>
      <c r="O34">
        <f>305911+18349</f>
        <v>324260</v>
      </c>
      <c r="P34">
        <v>190473</v>
      </c>
      <c r="Q34">
        <v>291348</v>
      </c>
      <c r="R34">
        <v>526155</v>
      </c>
      <c r="S34">
        <v>284890</v>
      </c>
      <c r="T34">
        <v>223049</v>
      </c>
      <c r="U34">
        <v>210757</v>
      </c>
      <c r="V34">
        <v>243532</v>
      </c>
      <c r="W34" s="1">
        <f>376249+5275</f>
        <v>381524</v>
      </c>
      <c r="X34" s="1">
        <f>457029+4300</f>
        <v>461329</v>
      </c>
      <c r="AD34" s="3"/>
    </row>
    <row r="35" spans="2:44">
      <c r="B35" t="s">
        <v>94</v>
      </c>
      <c r="Y35">
        <f>252841+4394</f>
        <v>257235</v>
      </c>
      <c r="Z35" s="1">
        <f>208384+2100</f>
        <v>210484</v>
      </c>
      <c r="AA35" s="1">
        <v>218616</v>
      </c>
      <c r="AB35">
        <v>229206</v>
      </c>
      <c r="AC35">
        <v>314895</v>
      </c>
      <c r="AD35" s="3">
        <v>414190</v>
      </c>
      <c r="AE35">
        <v>485434</v>
      </c>
      <c r="AF35">
        <v>799891</v>
      </c>
      <c r="AG35">
        <v>464746</v>
      </c>
      <c r="AH35">
        <v>619984</v>
      </c>
      <c r="AI35">
        <v>381876</v>
      </c>
      <c r="AJ35">
        <v>962</v>
      </c>
      <c r="AK35">
        <v>173</v>
      </c>
      <c r="AL35">
        <v>232</v>
      </c>
      <c r="AN35">
        <v>548027</v>
      </c>
      <c r="AO35">
        <v>1172873</v>
      </c>
      <c r="AP35">
        <v>1677832</v>
      </c>
      <c r="AQ35">
        <v>1349767</v>
      </c>
      <c r="AR35">
        <v>1579584</v>
      </c>
    </row>
    <row r="36" spans="2:44">
      <c r="B36" t="s">
        <v>107</v>
      </c>
      <c r="X36" s="1">
        <f>683+461</f>
        <v>1144</v>
      </c>
      <c r="Y36">
        <v>845</v>
      </c>
      <c r="Z36" s="1">
        <f>50+1199</f>
        <v>1249</v>
      </c>
      <c r="AA36" s="1">
        <v>870</v>
      </c>
      <c r="AB36">
        <v>1069</v>
      </c>
      <c r="AC36">
        <v>850</v>
      </c>
      <c r="AD36" s="3">
        <v>341</v>
      </c>
      <c r="AE36">
        <v>510</v>
      </c>
      <c r="AF36">
        <v>415</v>
      </c>
      <c r="AG36">
        <v>505</v>
      </c>
      <c r="AH36">
        <v>321</v>
      </c>
      <c r="AI36">
        <v>385</v>
      </c>
      <c r="AJ36">
        <v>1266</v>
      </c>
      <c r="AK36">
        <v>1093</v>
      </c>
      <c r="AL36">
        <v>2420</v>
      </c>
      <c r="AM36">
        <v>2307</v>
      </c>
      <c r="AN36">
        <v>193</v>
      </c>
      <c r="AQ36">
        <v>355</v>
      </c>
      <c r="AR36">
        <v>2087</v>
      </c>
    </row>
    <row r="37" spans="2:44">
      <c r="B37" t="s">
        <v>27</v>
      </c>
      <c r="P37">
        <v>986</v>
      </c>
      <c r="Q37">
        <v>2227</v>
      </c>
      <c r="R37">
        <v>1204</v>
      </c>
      <c r="S37">
        <v>731</v>
      </c>
      <c r="T37">
        <v>993</v>
      </c>
      <c r="U37">
        <v>1193</v>
      </c>
      <c r="V37">
        <v>392</v>
      </c>
      <c r="W37" s="1">
        <f>55+673</f>
        <v>728</v>
      </c>
      <c r="AD37" s="3"/>
    </row>
    <row r="38" spans="2:44">
      <c r="B38" t="s">
        <v>28</v>
      </c>
      <c r="S38">
        <v>4</v>
      </c>
      <c r="T38">
        <v>1</v>
      </c>
      <c r="U38">
        <v>4</v>
      </c>
      <c r="V38">
        <v>40</v>
      </c>
      <c r="AD38" s="3"/>
    </row>
    <row r="39" spans="2:44">
      <c r="B39" t="s">
        <v>29</v>
      </c>
      <c r="P39">
        <v>197</v>
      </c>
      <c r="Q39">
        <v>681</v>
      </c>
      <c r="R39">
        <v>100</v>
      </c>
      <c r="S39">
        <v>470</v>
      </c>
      <c r="T39">
        <v>112</v>
      </c>
      <c r="U39">
        <v>69</v>
      </c>
      <c r="V39">
        <v>147</v>
      </c>
      <c r="W39" s="1">
        <v>121</v>
      </c>
      <c r="X39" s="1">
        <v>126</v>
      </c>
      <c r="Y39">
        <v>43</v>
      </c>
      <c r="Z39" s="1">
        <v>19</v>
      </c>
      <c r="AA39" s="1">
        <v>101</v>
      </c>
      <c r="AB39">
        <v>121</v>
      </c>
      <c r="AC39">
        <v>101</v>
      </c>
      <c r="AD39" s="3">
        <v>69</v>
      </c>
      <c r="AE39">
        <v>3834</v>
      </c>
      <c r="AF39">
        <v>158</v>
      </c>
      <c r="AG39">
        <v>374</v>
      </c>
      <c r="AH39">
        <v>2353</v>
      </c>
      <c r="AI39">
        <v>8</v>
      </c>
      <c r="AM39">
        <v>20</v>
      </c>
      <c r="AN39">
        <v>2</v>
      </c>
      <c r="AQ39">
        <v>6047</v>
      </c>
      <c r="AR39">
        <v>81536</v>
      </c>
    </row>
    <row r="40" spans="2:44">
      <c r="B40" t="s">
        <v>30</v>
      </c>
      <c r="P40">
        <v>575</v>
      </c>
      <c r="Q40">
        <v>6704</v>
      </c>
      <c r="R40">
        <v>8655</v>
      </c>
      <c r="S40">
        <v>14587</v>
      </c>
      <c r="T40">
        <v>29521</v>
      </c>
      <c r="U40">
        <v>15691</v>
      </c>
      <c r="V40">
        <v>11538</v>
      </c>
      <c r="W40" s="1">
        <v>12877</v>
      </c>
      <c r="X40" s="1">
        <v>19452</v>
      </c>
      <c r="Y40">
        <v>1105</v>
      </c>
      <c r="Z40" s="1">
        <v>3407</v>
      </c>
      <c r="AA40" s="1">
        <v>14647</v>
      </c>
      <c r="AB40">
        <v>11733</v>
      </c>
      <c r="AC40">
        <v>19324</v>
      </c>
      <c r="AD40" s="3">
        <v>35563</v>
      </c>
      <c r="AE40">
        <v>25512</v>
      </c>
      <c r="AF40">
        <v>21135</v>
      </c>
      <c r="AG40">
        <v>28190</v>
      </c>
      <c r="AH40">
        <v>25687</v>
      </c>
      <c r="AI40">
        <v>74320</v>
      </c>
      <c r="AO40">
        <v>23</v>
      </c>
      <c r="AP40">
        <v>15531</v>
      </c>
      <c r="AQ40">
        <v>208662</v>
      </c>
      <c r="AR40">
        <v>105580</v>
      </c>
    </row>
    <row r="41" spans="2:44">
      <c r="B41" t="s">
        <v>31</v>
      </c>
      <c r="P41">
        <v>703</v>
      </c>
      <c r="Q41">
        <v>119</v>
      </c>
      <c r="R41">
        <v>160</v>
      </c>
      <c r="S41">
        <v>7</v>
      </c>
      <c r="T41">
        <v>61</v>
      </c>
      <c r="U41">
        <v>75</v>
      </c>
      <c r="V41">
        <v>34</v>
      </c>
      <c r="W41" s="1">
        <v>41</v>
      </c>
      <c r="X41" s="1">
        <v>15</v>
      </c>
      <c r="Y41">
        <v>3</v>
      </c>
      <c r="AB41">
        <v>4</v>
      </c>
      <c r="AC41">
        <v>3640</v>
      </c>
      <c r="AD41" s="3">
        <v>25684</v>
      </c>
      <c r="AE41">
        <v>43000</v>
      </c>
      <c r="AF41">
        <v>128164</v>
      </c>
      <c r="AG41">
        <v>147512</v>
      </c>
      <c r="AH41">
        <v>49553</v>
      </c>
      <c r="AI41">
        <v>2</v>
      </c>
      <c r="AK41">
        <v>19</v>
      </c>
      <c r="AN41">
        <v>4</v>
      </c>
      <c r="AQ41">
        <v>8</v>
      </c>
      <c r="AR41">
        <v>3833</v>
      </c>
    </row>
    <row r="42" spans="2:44">
      <c r="B42" t="s">
        <v>32</v>
      </c>
      <c r="N42">
        <f>1554+24327</f>
        <v>25881</v>
      </c>
      <c r="O42">
        <f>2002+17905</f>
        <v>19907</v>
      </c>
      <c r="P42">
        <v>69162</v>
      </c>
      <c r="Q42">
        <v>29368</v>
      </c>
      <c r="R42">
        <v>46757</v>
      </c>
      <c r="S42">
        <v>26038</v>
      </c>
      <c r="T42">
        <v>16985</v>
      </c>
      <c r="U42">
        <v>32889</v>
      </c>
      <c r="V42">
        <v>21032</v>
      </c>
      <c r="W42" s="1">
        <f>11955+5119</f>
        <v>17074</v>
      </c>
      <c r="X42" s="1">
        <f>82473+4641</f>
        <v>87114</v>
      </c>
      <c r="Y42">
        <f>106827+2786</f>
        <v>109613</v>
      </c>
      <c r="Z42" s="1">
        <f>178331+2321</f>
        <v>180652</v>
      </c>
      <c r="AA42" s="1">
        <v>180406</v>
      </c>
      <c r="AB42">
        <v>152893</v>
      </c>
      <c r="AC42">
        <v>404831</v>
      </c>
      <c r="AD42" s="3">
        <v>281742</v>
      </c>
      <c r="AE42">
        <v>377895</v>
      </c>
      <c r="AF42">
        <v>207320</v>
      </c>
      <c r="AG42">
        <v>200130</v>
      </c>
      <c r="AH42">
        <v>466413</v>
      </c>
      <c r="AI42">
        <v>378699</v>
      </c>
      <c r="AJ42">
        <v>67859</v>
      </c>
      <c r="AQ42">
        <v>464</v>
      </c>
      <c r="AR42">
        <v>48848</v>
      </c>
    </row>
    <row r="43" spans="2:44">
      <c r="B43" t="s">
        <v>33</v>
      </c>
      <c r="P43">
        <v>414</v>
      </c>
      <c r="Q43">
        <v>1037</v>
      </c>
      <c r="R43">
        <v>389</v>
      </c>
      <c r="S43">
        <v>17</v>
      </c>
      <c r="T43">
        <v>22</v>
      </c>
      <c r="U43">
        <v>81</v>
      </c>
      <c r="V43">
        <v>7</v>
      </c>
      <c r="W43" s="1">
        <v>31</v>
      </c>
      <c r="X43" s="1">
        <f>76+51</f>
        <v>127</v>
      </c>
      <c r="Y43">
        <v>31</v>
      </c>
      <c r="Z43" s="1">
        <v>5</v>
      </c>
      <c r="AA43" s="1">
        <v>9</v>
      </c>
      <c r="AD43" s="3">
        <v>1</v>
      </c>
      <c r="AE43">
        <v>6</v>
      </c>
      <c r="AF43">
        <v>10</v>
      </c>
      <c r="AG43">
        <v>61</v>
      </c>
      <c r="AH43">
        <v>1</v>
      </c>
      <c r="AQ43">
        <v>12</v>
      </c>
    </row>
    <row r="44" spans="2:44">
      <c r="B44" t="s">
        <v>84</v>
      </c>
      <c r="P44">
        <v>32</v>
      </c>
      <c r="Q44">
        <v>81</v>
      </c>
      <c r="R44">
        <v>22</v>
      </c>
      <c r="S44">
        <v>37</v>
      </c>
      <c r="T44">
        <v>6</v>
      </c>
      <c r="U44">
        <v>13</v>
      </c>
      <c r="V44">
        <v>12</v>
      </c>
      <c r="AD44" s="3"/>
    </row>
    <row r="45" spans="2:44">
      <c r="B45" t="s">
        <v>34</v>
      </c>
      <c r="P45">
        <v>61</v>
      </c>
      <c r="Q45">
        <v>182</v>
      </c>
      <c r="R45">
        <v>115</v>
      </c>
      <c r="S45">
        <v>1186</v>
      </c>
      <c r="T45">
        <v>4598</v>
      </c>
      <c r="U45">
        <v>2815</v>
      </c>
      <c r="V45">
        <v>3324</v>
      </c>
      <c r="W45" s="1">
        <v>1886</v>
      </c>
      <c r="X45" s="1">
        <v>568</v>
      </c>
      <c r="Y45">
        <v>84</v>
      </c>
      <c r="Z45" s="1">
        <v>4119</v>
      </c>
      <c r="AA45" s="1">
        <v>232</v>
      </c>
      <c r="AB45">
        <v>16363</v>
      </c>
      <c r="AC45">
        <v>25072</v>
      </c>
      <c r="AD45" s="3">
        <v>35027</v>
      </c>
      <c r="AE45">
        <v>3333</v>
      </c>
      <c r="AF45">
        <v>468</v>
      </c>
      <c r="AG45">
        <v>1994</v>
      </c>
      <c r="AH45">
        <v>4157</v>
      </c>
      <c r="AJ45">
        <v>8</v>
      </c>
      <c r="AQ45">
        <v>63383</v>
      </c>
      <c r="AR45">
        <v>6453</v>
      </c>
    </row>
    <row r="46" spans="2:44">
      <c r="B46" t="s">
        <v>35</v>
      </c>
      <c r="P46">
        <v>259134</v>
      </c>
      <c r="Q46">
        <v>246212</v>
      </c>
      <c r="R46">
        <v>740973</v>
      </c>
      <c r="S46">
        <v>1119004</v>
      </c>
      <c r="T46">
        <v>1057207</v>
      </c>
      <c r="U46">
        <v>616153</v>
      </c>
      <c r="V46">
        <v>1052994</v>
      </c>
      <c r="W46" s="1">
        <f>948343+251</f>
        <v>948594</v>
      </c>
      <c r="X46" s="1">
        <f>814735+196</f>
        <v>814931</v>
      </c>
      <c r="Y46">
        <f>507666+329</f>
        <v>507995</v>
      </c>
      <c r="Z46" s="1">
        <f>433555+178</f>
        <v>433733</v>
      </c>
      <c r="AA46" s="1">
        <v>496852</v>
      </c>
      <c r="AB46">
        <v>489229</v>
      </c>
      <c r="AC46">
        <v>728966</v>
      </c>
      <c r="AD46" s="3">
        <v>997567</v>
      </c>
      <c r="AE46">
        <v>1101021</v>
      </c>
      <c r="AF46">
        <v>1262188</v>
      </c>
      <c r="AG46">
        <v>971312</v>
      </c>
      <c r="AH46">
        <v>223678</v>
      </c>
      <c r="AN46">
        <v>97846</v>
      </c>
      <c r="AQ46">
        <v>3414252</v>
      </c>
      <c r="AR46">
        <v>5775403</v>
      </c>
    </row>
    <row r="47" spans="2:44">
      <c r="B47" t="s">
        <v>36</v>
      </c>
      <c r="P47">
        <v>7116</v>
      </c>
      <c r="Q47">
        <v>56183</v>
      </c>
      <c r="R47">
        <v>101929</v>
      </c>
      <c r="S47">
        <v>54335</v>
      </c>
      <c r="T47">
        <v>34001</v>
      </c>
      <c r="U47">
        <v>56704</v>
      </c>
      <c r="V47">
        <v>118629</v>
      </c>
      <c r="W47" s="1">
        <f>164705+5208</f>
        <v>169913</v>
      </c>
      <c r="X47" s="1">
        <f>127595+9750</f>
        <v>137345</v>
      </c>
      <c r="Y47">
        <f>100665+5940</f>
        <v>106605</v>
      </c>
      <c r="Z47" s="1">
        <f>33186+4090</f>
        <v>37276</v>
      </c>
      <c r="AA47" s="1">
        <v>35033</v>
      </c>
      <c r="AB47">
        <v>28528</v>
      </c>
      <c r="AC47">
        <v>44360</v>
      </c>
      <c r="AD47" s="3">
        <v>38293</v>
      </c>
      <c r="AE47">
        <v>44524</v>
      </c>
      <c r="AF47">
        <v>29942</v>
      </c>
      <c r="AG47">
        <v>79984</v>
      </c>
      <c r="AH47">
        <v>151209</v>
      </c>
      <c r="AI47">
        <v>37517</v>
      </c>
      <c r="AN47">
        <v>16633</v>
      </c>
      <c r="AQ47">
        <v>154228</v>
      </c>
      <c r="AR47">
        <v>472910</v>
      </c>
    </row>
    <row r="48" spans="2:44">
      <c r="B48" t="s">
        <v>37</v>
      </c>
      <c r="P48">
        <v>91</v>
      </c>
      <c r="Q48">
        <v>15</v>
      </c>
      <c r="R48">
        <v>4</v>
      </c>
      <c r="S48">
        <v>8</v>
      </c>
      <c r="T48">
        <v>1</v>
      </c>
      <c r="V48">
        <v>20</v>
      </c>
      <c r="X48" s="1">
        <v>34</v>
      </c>
      <c r="AD48" s="3"/>
    </row>
    <row r="49" spans="2:44">
      <c r="B49" t="s">
        <v>95</v>
      </c>
      <c r="Y49">
        <v>29883</v>
      </c>
      <c r="Z49" s="1">
        <v>10319</v>
      </c>
      <c r="AA49" s="1">
        <v>15883</v>
      </c>
      <c r="AB49">
        <v>26634</v>
      </c>
      <c r="AC49">
        <v>89868</v>
      </c>
      <c r="AD49" s="3">
        <v>95196</v>
      </c>
      <c r="AE49">
        <v>45120</v>
      </c>
      <c r="AF49">
        <v>107492</v>
      </c>
      <c r="AG49">
        <v>126841</v>
      </c>
      <c r="AH49">
        <v>125890</v>
      </c>
      <c r="AI49">
        <v>16483</v>
      </c>
      <c r="AR49">
        <v>5</v>
      </c>
    </row>
    <row r="50" spans="2:44">
      <c r="B50" t="s">
        <v>38</v>
      </c>
      <c r="P50">
        <v>20</v>
      </c>
      <c r="Q50">
        <v>7</v>
      </c>
      <c r="R50">
        <v>16</v>
      </c>
      <c r="S50">
        <v>14</v>
      </c>
      <c r="U50">
        <v>20</v>
      </c>
      <c r="V50">
        <v>28</v>
      </c>
      <c r="W50" s="1">
        <v>430</v>
      </c>
      <c r="X50" s="1">
        <v>715</v>
      </c>
      <c r="Y50">
        <v>1570</v>
      </c>
      <c r="Z50" s="1">
        <v>1307</v>
      </c>
      <c r="AA50" s="1">
        <v>1272</v>
      </c>
      <c r="AB50">
        <v>1068</v>
      </c>
      <c r="AC50">
        <v>765</v>
      </c>
      <c r="AD50" s="3">
        <v>4838</v>
      </c>
      <c r="AE50">
        <v>5528</v>
      </c>
      <c r="AF50">
        <v>15234</v>
      </c>
      <c r="AG50">
        <v>18756</v>
      </c>
      <c r="AH50">
        <v>18030</v>
      </c>
      <c r="AQ50">
        <v>143937</v>
      </c>
      <c r="AR50">
        <v>579076</v>
      </c>
    </row>
    <row r="51" spans="2:44">
      <c r="B51" t="s">
        <v>39</v>
      </c>
      <c r="N51">
        <f>5804907+127749</f>
        <v>5932656</v>
      </c>
      <c r="O51">
        <f>8030485+44724</f>
        <v>8075209</v>
      </c>
      <c r="P51">
        <v>2832942</v>
      </c>
      <c r="Q51">
        <v>4896578</v>
      </c>
      <c r="R51">
        <v>6686681</v>
      </c>
      <c r="S51">
        <v>8614073</v>
      </c>
      <c r="T51">
        <v>7461940</v>
      </c>
      <c r="U51">
        <v>4950774</v>
      </c>
      <c r="V51">
        <v>4903365</v>
      </c>
      <c r="W51" s="1">
        <f>6782232+3574</f>
        <v>6785806</v>
      </c>
      <c r="X51" s="1">
        <f>6427418+3503</f>
        <v>6430921</v>
      </c>
      <c r="Y51">
        <f>4593808+5291</f>
        <v>4599099</v>
      </c>
      <c r="Z51" s="1">
        <f>3570144+4161</f>
        <v>3574305</v>
      </c>
      <c r="AA51" s="1">
        <v>2803337</v>
      </c>
      <c r="AB51">
        <v>3512360</v>
      </c>
      <c r="AC51">
        <v>3006592</v>
      </c>
      <c r="AD51" s="3">
        <v>3776515</v>
      </c>
      <c r="AE51">
        <v>3298244</v>
      </c>
      <c r="AF51">
        <v>4244802</v>
      </c>
      <c r="AG51">
        <v>2400362</v>
      </c>
      <c r="AH51">
        <v>3582438</v>
      </c>
      <c r="AI51">
        <v>4353188</v>
      </c>
      <c r="AJ51">
        <v>2001</v>
      </c>
      <c r="AK51">
        <v>1</v>
      </c>
      <c r="AL51">
        <v>29</v>
      </c>
      <c r="AM51">
        <v>1078</v>
      </c>
      <c r="AN51">
        <v>7117865</v>
      </c>
      <c r="AQ51">
        <v>14183471</v>
      </c>
      <c r="AR51">
        <v>11245894</v>
      </c>
    </row>
    <row r="52" spans="2:44">
      <c r="B52" t="s">
        <v>40</v>
      </c>
      <c r="P52">
        <v>7770</v>
      </c>
      <c r="Q52">
        <v>17947</v>
      </c>
      <c r="R52">
        <v>3912</v>
      </c>
      <c r="S52">
        <v>1899</v>
      </c>
      <c r="T52">
        <v>10979</v>
      </c>
      <c r="U52">
        <v>835</v>
      </c>
      <c r="V52">
        <v>2361</v>
      </c>
      <c r="W52" s="1">
        <v>6530</v>
      </c>
      <c r="X52" s="1">
        <v>4695</v>
      </c>
      <c r="Y52">
        <v>2171</v>
      </c>
      <c r="Z52" s="1">
        <v>743</v>
      </c>
      <c r="AA52" s="1">
        <v>18356</v>
      </c>
      <c r="AB52">
        <v>4147</v>
      </c>
      <c r="AC52">
        <v>2715</v>
      </c>
      <c r="AD52" s="3">
        <v>5756</v>
      </c>
      <c r="AE52">
        <v>5519</v>
      </c>
      <c r="AF52">
        <v>14309</v>
      </c>
      <c r="AG52">
        <v>6084</v>
      </c>
      <c r="AH52">
        <v>9036</v>
      </c>
      <c r="AI52">
        <v>52680</v>
      </c>
      <c r="AK52">
        <v>1</v>
      </c>
      <c r="AM52">
        <v>43</v>
      </c>
      <c r="AN52">
        <v>3635</v>
      </c>
      <c r="AQ52">
        <v>3030</v>
      </c>
      <c r="AR52">
        <v>2538</v>
      </c>
    </row>
    <row r="53" spans="2:44">
      <c r="B53" t="s">
        <v>41</v>
      </c>
      <c r="P53">
        <v>1683</v>
      </c>
      <c r="Q53">
        <v>15446</v>
      </c>
      <c r="R53">
        <v>84464</v>
      </c>
      <c r="S53">
        <v>11566</v>
      </c>
      <c r="T53">
        <v>6561</v>
      </c>
      <c r="U53">
        <v>10844</v>
      </c>
      <c r="V53">
        <v>18431</v>
      </c>
      <c r="W53" s="1">
        <f>9684+76</f>
        <v>9760</v>
      </c>
      <c r="X53" s="1">
        <f>20440+67</f>
        <v>20507</v>
      </c>
      <c r="Y53">
        <v>2888</v>
      </c>
      <c r="Z53" s="1">
        <f>13899+101</f>
        <v>14000</v>
      </c>
      <c r="AA53" s="1">
        <v>3896</v>
      </c>
      <c r="AB53">
        <v>5785</v>
      </c>
      <c r="AC53">
        <v>8988</v>
      </c>
      <c r="AD53" s="3">
        <v>6543</v>
      </c>
      <c r="AE53">
        <v>26654</v>
      </c>
      <c r="AF53">
        <v>87953</v>
      </c>
      <c r="AG53">
        <v>33957</v>
      </c>
      <c r="AH53">
        <v>16673</v>
      </c>
      <c r="AI53">
        <v>120986</v>
      </c>
      <c r="AM53">
        <v>532</v>
      </c>
      <c r="AQ53">
        <v>28793</v>
      </c>
      <c r="AR53">
        <v>7182</v>
      </c>
    </row>
    <row r="54" spans="2:44">
      <c r="B54" t="s">
        <v>42</v>
      </c>
      <c r="P54">
        <v>4022</v>
      </c>
      <c r="Q54">
        <v>53843</v>
      </c>
      <c r="R54">
        <v>126916</v>
      </c>
      <c r="S54">
        <v>24618</v>
      </c>
      <c r="T54">
        <v>3947</v>
      </c>
      <c r="U54">
        <v>11933</v>
      </c>
      <c r="V54">
        <v>2980</v>
      </c>
      <c r="W54" s="1">
        <v>7065</v>
      </c>
      <c r="X54" s="1">
        <v>6434</v>
      </c>
      <c r="Y54">
        <v>4724</v>
      </c>
      <c r="Z54" s="1">
        <v>3568</v>
      </c>
      <c r="AA54" s="1">
        <v>4344</v>
      </c>
      <c r="AB54">
        <v>23256</v>
      </c>
      <c r="AC54">
        <v>23690</v>
      </c>
      <c r="AD54" s="3">
        <v>8893</v>
      </c>
      <c r="AE54">
        <v>38678</v>
      </c>
      <c r="AF54">
        <v>74328</v>
      </c>
      <c r="AG54">
        <v>14575</v>
      </c>
      <c r="AH54">
        <v>7206</v>
      </c>
      <c r="AI54">
        <v>15574</v>
      </c>
      <c r="AM54">
        <v>1794</v>
      </c>
      <c r="AN54">
        <v>229</v>
      </c>
      <c r="AQ54">
        <v>8792</v>
      </c>
      <c r="AR54">
        <v>1175</v>
      </c>
    </row>
    <row r="55" spans="2:44">
      <c r="B55" t="s">
        <v>142</v>
      </c>
      <c r="X55" s="1">
        <f>30999+101</f>
        <v>31100</v>
      </c>
      <c r="Y55">
        <f>19326+38</f>
        <v>19364</v>
      </c>
      <c r="Z55" s="1">
        <f>1751+51</f>
        <v>1802</v>
      </c>
      <c r="AA55" s="1">
        <v>2393</v>
      </c>
      <c r="AB55">
        <v>10672</v>
      </c>
      <c r="AC55">
        <v>31346</v>
      </c>
      <c r="AD55" s="3">
        <v>8254</v>
      </c>
      <c r="AE55">
        <v>22523</v>
      </c>
      <c r="AF55">
        <v>29860</v>
      </c>
      <c r="AG55">
        <v>26340</v>
      </c>
      <c r="AH55">
        <v>47074</v>
      </c>
      <c r="AI55">
        <v>14253</v>
      </c>
      <c r="AQ55">
        <v>41459</v>
      </c>
      <c r="AR55">
        <v>82437</v>
      </c>
    </row>
    <row r="56" spans="2:44">
      <c r="B56" t="s">
        <v>43</v>
      </c>
      <c r="P56">
        <v>749</v>
      </c>
      <c r="Q56">
        <v>620</v>
      </c>
      <c r="R56">
        <v>728</v>
      </c>
      <c r="S56">
        <v>882</v>
      </c>
      <c r="T56">
        <v>414</v>
      </c>
      <c r="U56">
        <v>431</v>
      </c>
      <c r="V56">
        <v>576</v>
      </c>
      <c r="W56" s="1">
        <f>10433+111</f>
        <v>10544</v>
      </c>
      <c r="AD56" s="3"/>
    </row>
    <row r="57" spans="2:44">
      <c r="B57" t="s">
        <v>44</v>
      </c>
      <c r="P57">
        <v>1772</v>
      </c>
      <c r="Q57">
        <v>2018</v>
      </c>
      <c r="R57">
        <v>521</v>
      </c>
      <c r="S57">
        <v>1168</v>
      </c>
      <c r="T57">
        <v>1749</v>
      </c>
      <c r="U57">
        <v>726</v>
      </c>
      <c r="V57">
        <v>3507</v>
      </c>
      <c r="W57" s="1">
        <f>4073+372</f>
        <v>4445</v>
      </c>
      <c r="X57" s="1">
        <f>4846+8</f>
        <v>4854</v>
      </c>
      <c r="AD57" s="3"/>
    </row>
    <row r="58" spans="2:44">
      <c r="B58" t="s">
        <v>108</v>
      </c>
      <c r="Y58">
        <v>10460</v>
      </c>
      <c r="Z58" s="1">
        <v>6283</v>
      </c>
      <c r="AA58" s="1">
        <v>3159</v>
      </c>
      <c r="AB58">
        <v>2391</v>
      </c>
      <c r="AC58">
        <v>1765</v>
      </c>
      <c r="AD58" s="3">
        <v>3252</v>
      </c>
      <c r="AE58">
        <v>3715</v>
      </c>
      <c r="AF58">
        <v>5767</v>
      </c>
      <c r="AG58">
        <v>1945</v>
      </c>
      <c r="AH58">
        <v>2692</v>
      </c>
      <c r="AI58">
        <v>1683</v>
      </c>
      <c r="AL58">
        <v>1596</v>
      </c>
      <c r="AN58">
        <v>2141</v>
      </c>
      <c r="AQ58">
        <v>8379</v>
      </c>
      <c r="AR58">
        <v>9913</v>
      </c>
    </row>
    <row r="59" spans="2:44">
      <c r="B59" t="s">
        <v>110</v>
      </c>
      <c r="AA59" s="1">
        <v>1166</v>
      </c>
      <c r="AB59" s="2">
        <v>1684</v>
      </c>
      <c r="AC59">
        <v>2376</v>
      </c>
      <c r="AD59" s="3">
        <v>833</v>
      </c>
      <c r="AE59">
        <v>1611</v>
      </c>
      <c r="AF59">
        <v>550</v>
      </c>
      <c r="AG59">
        <v>178</v>
      </c>
      <c r="AH59">
        <v>1001</v>
      </c>
      <c r="AI59">
        <v>466</v>
      </c>
      <c r="AN59">
        <v>9463</v>
      </c>
      <c r="AQ59">
        <v>2</v>
      </c>
    </row>
    <row r="60" spans="2:44">
      <c r="B60" t="s">
        <v>91</v>
      </c>
      <c r="P60">
        <v>1</v>
      </c>
      <c r="Q60">
        <v>3</v>
      </c>
      <c r="W60" s="1">
        <v>9</v>
      </c>
      <c r="AD60" s="3"/>
    </row>
    <row r="61" spans="2:44">
      <c r="B61" t="s">
        <v>45</v>
      </c>
      <c r="N61">
        <f>242783+778</f>
        <v>243561</v>
      </c>
      <c r="O61">
        <f>1292660+1713</f>
        <v>1294373</v>
      </c>
      <c r="P61">
        <v>1486951</v>
      </c>
      <c r="Q61">
        <v>1909543</v>
      </c>
      <c r="R61">
        <v>2490549</v>
      </c>
      <c r="S61">
        <v>3971656</v>
      </c>
      <c r="T61">
        <v>3545752</v>
      </c>
      <c r="U61">
        <v>1892811</v>
      </c>
      <c r="V61">
        <v>3139386</v>
      </c>
      <c r="W61" s="1">
        <f>3339402+6278</f>
        <v>3345680</v>
      </c>
      <c r="X61" s="1">
        <f>3023164+4541</f>
        <v>3027705</v>
      </c>
      <c r="Y61">
        <f>2501253+6493</f>
        <v>2507746</v>
      </c>
      <c r="Z61" s="1">
        <f>2540038+8262</f>
        <v>2548300</v>
      </c>
      <c r="AA61" s="1">
        <v>2642205</v>
      </c>
      <c r="AB61">
        <v>2289958</v>
      </c>
      <c r="AC61">
        <v>2830126</v>
      </c>
      <c r="AD61" s="3">
        <v>2795837</v>
      </c>
      <c r="AE61">
        <v>2293847</v>
      </c>
      <c r="AF61">
        <v>3309650</v>
      </c>
      <c r="AG61">
        <v>3357920</v>
      </c>
      <c r="AH61">
        <v>2214374</v>
      </c>
      <c r="AI61">
        <v>2</v>
      </c>
      <c r="AJ61">
        <v>8270</v>
      </c>
      <c r="AK61">
        <v>30551</v>
      </c>
      <c r="AL61">
        <v>104188</v>
      </c>
      <c r="AM61">
        <v>81116</v>
      </c>
      <c r="AQ61">
        <v>1752880</v>
      </c>
      <c r="AR61">
        <v>5426616</v>
      </c>
    </row>
    <row r="62" spans="2:44">
      <c r="B62" t="s">
        <v>46</v>
      </c>
      <c r="N62">
        <f>695417+1174</f>
        <v>696591</v>
      </c>
      <c r="O62">
        <f>411568+1468</f>
        <v>413036</v>
      </c>
      <c r="P62">
        <v>377309</v>
      </c>
      <c r="Q62">
        <v>188356</v>
      </c>
      <c r="R62">
        <v>164318</v>
      </c>
      <c r="S62">
        <v>391339</v>
      </c>
      <c r="T62">
        <v>286645</v>
      </c>
      <c r="U62">
        <v>187900</v>
      </c>
      <c r="V62">
        <v>373971</v>
      </c>
      <c r="W62" s="1">
        <f>564299+148</f>
        <v>564447</v>
      </c>
      <c r="X62" s="1">
        <f>535045+455</f>
        <v>535500</v>
      </c>
      <c r="Y62">
        <f>264730+229</f>
        <v>264959</v>
      </c>
      <c r="Z62" s="1">
        <f>219463+308</f>
        <v>219771</v>
      </c>
      <c r="AA62" s="1">
        <v>215941</v>
      </c>
      <c r="AB62">
        <v>267298</v>
      </c>
      <c r="AC62">
        <v>245083</v>
      </c>
      <c r="AD62" s="3">
        <v>360951</v>
      </c>
      <c r="AE62">
        <v>376315</v>
      </c>
      <c r="AF62">
        <v>468352</v>
      </c>
      <c r="AG62">
        <v>331804</v>
      </c>
      <c r="AH62">
        <v>472071</v>
      </c>
      <c r="AI62">
        <v>427041</v>
      </c>
      <c r="AJ62">
        <v>594491</v>
      </c>
      <c r="AK62">
        <v>535</v>
      </c>
      <c r="AM62">
        <v>1</v>
      </c>
      <c r="AN62">
        <v>117073</v>
      </c>
      <c r="AQ62">
        <v>1019936</v>
      </c>
      <c r="AR62">
        <v>347996</v>
      </c>
    </row>
    <row r="63" spans="2:44">
      <c r="B63" t="s">
        <v>47</v>
      </c>
      <c r="P63">
        <v>38469</v>
      </c>
      <c r="Q63">
        <v>19475</v>
      </c>
      <c r="R63">
        <v>9014</v>
      </c>
      <c r="S63">
        <v>13589</v>
      </c>
      <c r="T63">
        <v>12157</v>
      </c>
      <c r="U63">
        <v>10825</v>
      </c>
      <c r="V63">
        <v>15857</v>
      </c>
      <c r="W63" s="1">
        <f>17449+63</f>
        <v>17512</v>
      </c>
      <c r="X63" s="1">
        <f>16342+5</f>
        <v>16347</v>
      </c>
      <c r="AD63" s="3"/>
    </row>
    <row r="64" spans="2:44">
      <c r="B64" t="s">
        <v>48</v>
      </c>
      <c r="P64">
        <v>36</v>
      </c>
      <c r="Q64">
        <v>283</v>
      </c>
      <c r="R64">
        <v>223</v>
      </c>
      <c r="S64">
        <v>251</v>
      </c>
      <c r="T64">
        <v>277</v>
      </c>
      <c r="U64">
        <v>341</v>
      </c>
      <c r="V64">
        <v>292</v>
      </c>
      <c r="W64" s="1">
        <v>140</v>
      </c>
      <c r="X64" s="1">
        <v>145</v>
      </c>
      <c r="Y64">
        <v>17</v>
      </c>
      <c r="Z64" s="1">
        <v>3</v>
      </c>
      <c r="AC64">
        <v>1</v>
      </c>
      <c r="AD64" s="3">
        <v>2</v>
      </c>
      <c r="AH64">
        <v>5</v>
      </c>
      <c r="AI64">
        <v>2</v>
      </c>
      <c r="AN64">
        <v>1</v>
      </c>
      <c r="AQ64">
        <v>20</v>
      </c>
    </row>
    <row r="65" spans="2:44">
      <c r="B65" t="s">
        <v>49</v>
      </c>
      <c r="N65">
        <f>117326+159886</f>
        <v>277212</v>
      </c>
      <c r="O65">
        <f>79825+252961</f>
        <v>332786</v>
      </c>
      <c r="P65">
        <v>169689</v>
      </c>
      <c r="Q65">
        <v>265096</v>
      </c>
      <c r="R65">
        <v>260310</v>
      </c>
      <c r="S65">
        <v>433294</v>
      </c>
      <c r="T65">
        <v>341163</v>
      </c>
      <c r="U65">
        <v>303624</v>
      </c>
      <c r="V65">
        <v>440825</v>
      </c>
      <c r="W65" s="1">
        <f>274945+70860</f>
        <v>345805</v>
      </c>
      <c r="X65" s="1">
        <f>201821+86389</f>
        <v>288210</v>
      </c>
      <c r="Y65">
        <f>103714+72414</f>
        <v>176128</v>
      </c>
      <c r="Z65" s="1">
        <f>70359+88986</f>
        <v>159345</v>
      </c>
      <c r="AA65" s="1">
        <v>280625</v>
      </c>
      <c r="AB65">
        <v>302400</v>
      </c>
      <c r="AC65">
        <v>292485</v>
      </c>
      <c r="AD65" s="3">
        <v>297013</v>
      </c>
      <c r="AE65">
        <v>433648</v>
      </c>
      <c r="AF65">
        <v>495139</v>
      </c>
      <c r="AG65">
        <v>345915</v>
      </c>
      <c r="AH65">
        <v>446675</v>
      </c>
      <c r="AI65">
        <v>137729</v>
      </c>
      <c r="AL65">
        <v>27</v>
      </c>
      <c r="AM65">
        <v>1</v>
      </c>
      <c r="AN65">
        <v>2</v>
      </c>
      <c r="AQ65">
        <v>3404458</v>
      </c>
      <c r="AR65">
        <v>3484664</v>
      </c>
    </row>
    <row r="66" spans="2:44">
      <c r="B66" t="s">
        <v>118</v>
      </c>
      <c r="X66" s="1">
        <v>50</v>
      </c>
      <c r="Y66">
        <v>93</v>
      </c>
      <c r="Z66" s="1">
        <f>54+36</f>
        <v>90</v>
      </c>
      <c r="AA66" s="1">
        <v>36</v>
      </c>
      <c r="AB66">
        <v>62</v>
      </c>
      <c r="AC66">
        <v>168</v>
      </c>
      <c r="AD66" s="3">
        <v>234</v>
      </c>
      <c r="AE66">
        <v>194</v>
      </c>
      <c r="AF66">
        <v>334</v>
      </c>
      <c r="AG66">
        <v>633</v>
      </c>
      <c r="AH66">
        <v>979</v>
      </c>
      <c r="AI66">
        <v>140</v>
      </c>
      <c r="AQ66">
        <v>5</v>
      </c>
    </row>
    <row r="67" spans="2:44">
      <c r="B67" t="s">
        <v>50</v>
      </c>
      <c r="P67">
        <v>156470</v>
      </c>
      <c r="Q67">
        <v>125160</v>
      </c>
      <c r="R67">
        <v>88740</v>
      </c>
      <c r="S67">
        <v>87195</v>
      </c>
      <c r="T67">
        <v>123866</v>
      </c>
      <c r="U67">
        <v>126187</v>
      </c>
      <c r="V67">
        <v>113443</v>
      </c>
      <c r="W67" s="1">
        <f>28805+106924</f>
        <v>135729</v>
      </c>
      <c r="AD67" s="3"/>
    </row>
    <row r="68" spans="2:44">
      <c r="B68" t="s">
        <v>92</v>
      </c>
      <c r="P68">
        <v>2</v>
      </c>
      <c r="Q68">
        <v>32</v>
      </c>
      <c r="AD68" s="3"/>
    </row>
    <row r="69" spans="2:44">
      <c r="B69" t="s">
        <v>101</v>
      </c>
      <c r="X69" s="1">
        <f>53016+95411</f>
        <v>148427</v>
      </c>
      <c r="Y69">
        <f>66382+87205</f>
        <v>153587</v>
      </c>
      <c r="Z69" s="1">
        <f>27867+59430</f>
        <v>87297</v>
      </c>
      <c r="AA69" s="1">
        <v>59360</v>
      </c>
      <c r="AB69">
        <v>51910</v>
      </c>
      <c r="AC69">
        <v>51482</v>
      </c>
      <c r="AD69" s="3">
        <v>41191</v>
      </c>
      <c r="AE69">
        <v>32243</v>
      </c>
      <c r="AF69">
        <v>35901</v>
      </c>
      <c r="AG69">
        <v>35218</v>
      </c>
      <c r="AH69">
        <v>89173</v>
      </c>
      <c r="AI69">
        <v>25085</v>
      </c>
      <c r="AJ69">
        <v>30867</v>
      </c>
      <c r="AK69">
        <v>687</v>
      </c>
      <c r="AN69">
        <v>470</v>
      </c>
      <c r="AQ69">
        <v>29708</v>
      </c>
      <c r="AR69">
        <v>133804</v>
      </c>
    </row>
    <row r="70" spans="2:44">
      <c r="B70" t="s">
        <v>51</v>
      </c>
      <c r="Q70">
        <v>15</v>
      </c>
      <c r="R70">
        <v>30</v>
      </c>
      <c r="S70">
        <v>20</v>
      </c>
      <c r="U70">
        <v>5</v>
      </c>
      <c r="V70">
        <v>54</v>
      </c>
      <c r="W70" s="1">
        <v>129</v>
      </c>
      <c r="AD70" s="3"/>
    </row>
    <row r="71" spans="2:44">
      <c r="B71" t="s">
        <v>103</v>
      </c>
      <c r="Y71">
        <f>66942+39360</f>
        <v>106302</v>
      </c>
      <c r="Z71" s="1">
        <f>31674+16604</f>
        <v>48278</v>
      </c>
      <c r="AA71" s="1">
        <v>36065</v>
      </c>
      <c r="AB71">
        <v>41849</v>
      </c>
      <c r="AC71">
        <v>43224</v>
      </c>
      <c r="AD71" s="3">
        <v>92038</v>
      </c>
      <c r="AE71">
        <v>82546</v>
      </c>
      <c r="AF71">
        <v>100067</v>
      </c>
      <c r="AG71">
        <v>117717</v>
      </c>
      <c r="AH71">
        <v>87644</v>
      </c>
      <c r="AI71">
        <v>94761</v>
      </c>
    </row>
    <row r="72" spans="2:44">
      <c r="B72" t="s">
        <v>93</v>
      </c>
      <c r="Q72">
        <v>1</v>
      </c>
      <c r="AD72" s="3"/>
    </row>
    <row r="73" spans="2:44">
      <c r="B73" t="s">
        <v>52</v>
      </c>
      <c r="P73">
        <v>54</v>
      </c>
      <c r="Q73">
        <v>122</v>
      </c>
      <c r="R73">
        <v>78</v>
      </c>
      <c r="S73">
        <v>1758</v>
      </c>
      <c r="T73">
        <v>33809</v>
      </c>
      <c r="U73">
        <v>42490</v>
      </c>
      <c r="V73">
        <v>48935</v>
      </c>
      <c r="W73" s="1">
        <f>30174+13995</f>
        <v>44169</v>
      </c>
      <c r="X73" s="1">
        <f>58876+21608</f>
        <v>80484</v>
      </c>
      <c r="Y73">
        <f>30154+10070</f>
        <v>40224</v>
      </c>
      <c r="Z73" s="1">
        <f>35550+4193</f>
        <v>39743</v>
      </c>
      <c r="AA73" s="1">
        <v>269414</v>
      </c>
      <c r="AB73">
        <v>68025</v>
      </c>
      <c r="AC73">
        <v>177755</v>
      </c>
      <c r="AD73" s="3">
        <v>304234</v>
      </c>
      <c r="AE73">
        <v>223401</v>
      </c>
      <c r="AF73">
        <v>250086</v>
      </c>
      <c r="AG73">
        <v>238970</v>
      </c>
      <c r="AH73">
        <v>280544</v>
      </c>
      <c r="AI73">
        <v>191576</v>
      </c>
      <c r="AJ73">
        <v>14</v>
      </c>
      <c r="AL73">
        <v>1</v>
      </c>
      <c r="AQ73">
        <v>1038012</v>
      </c>
      <c r="AR73">
        <v>1217368</v>
      </c>
    </row>
    <row r="74" spans="2:44">
      <c r="B74" t="s">
        <v>141</v>
      </c>
      <c r="AA74" s="1">
        <v>3074</v>
      </c>
      <c r="AB74">
        <v>4175</v>
      </c>
      <c r="AC74">
        <v>9997</v>
      </c>
      <c r="AD74" s="3">
        <v>12033</v>
      </c>
      <c r="AE74">
        <v>3532</v>
      </c>
      <c r="AF74">
        <v>9202</v>
      </c>
      <c r="AG74">
        <v>9976</v>
      </c>
      <c r="AH74">
        <v>12701</v>
      </c>
      <c r="AI74">
        <v>10651</v>
      </c>
      <c r="AJ74">
        <v>680</v>
      </c>
      <c r="AK74">
        <v>384</v>
      </c>
      <c r="AL74">
        <v>1072</v>
      </c>
      <c r="AM74">
        <v>181</v>
      </c>
      <c r="AN74">
        <v>873</v>
      </c>
      <c r="AQ74">
        <v>28475</v>
      </c>
      <c r="AR74">
        <v>51076</v>
      </c>
    </row>
    <row r="75" spans="2:44">
      <c r="B75" t="s">
        <v>53</v>
      </c>
      <c r="N75">
        <f>3479126+20388</f>
        <v>3499514</v>
      </c>
      <c r="O75">
        <f>3300657+2757</f>
        <v>3303414</v>
      </c>
      <c r="P75">
        <v>1145142</v>
      </c>
      <c r="Q75">
        <v>2613658</v>
      </c>
      <c r="R75">
        <v>3649456</v>
      </c>
      <c r="S75">
        <v>4069082</v>
      </c>
      <c r="T75">
        <v>3613795</v>
      </c>
      <c r="U75">
        <v>2381429</v>
      </c>
      <c r="V75">
        <v>2702400</v>
      </c>
      <c r="W75" s="1">
        <f>3735046+10556</f>
        <v>3745602</v>
      </c>
      <c r="X75" s="1">
        <f>3499769+12639</f>
        <v>3512408</v>
      </c>
      <c r="Y75">
        <f>1954567+11841</f>
        <v>1966408</v>
      </c>
      <c r="Z75" s="1">
        <f>1667903+8840</f>
        <v>1676743</v>
      </c>
      <c r="AA75" s="1">
        <v>2175581</v>
      </c>
      <c r="AB75">
        <v>2126351</v>
      </c>
      <c r="AC75">
        <v>2528656</v>
      </c>
      <c r="AD75" s="3">
        <v>2258140</v>
      </c>
      <c r="AE75">
        <v>943163</v>
      </c>
      <c r="AF75">
        <v>2391541</v>
      </c>
      <c r="AG75">
        <v>1744693</v>
      </c>
      <c r="AH75">
        <v>1517388</v>
      </c>
      <c r="AI75">
        <v>1114664</v>
      </c>
      <c r="AJ75">
        <v>213</v>
      </c>
      <c r="AK75">
        <v>2202</v>
      </c>
      <c r="AL75">
        <v>1034</v>
      </c>
      <c r="AM75">
        <v>17617</v>
      </c>
      <c r="AN75">
        <v>152851</v>
      </c>
      <c r="AQ75">
        <v>5295292</v>
      </c>
      <c r="AR75">
        <v>10415515</v>
      </c>
    </row>
    <row r="76" spans="2:44">
      <c r="B76" t="s">
        <v>54</v>
      </c>
      <c r="P76">
        <v>4059</v>
      </c>
      <c r="Q76">
        <v>2890</v>
      </c>
      <c r="R76">
        <v>4894</v>
      </c>
      <c r="S76">
        <v>3546</v>
      </c>
      <c r="T76">
        <v>10415</v>
      </c>
      <c r="U76">
        <v>5243</v>
      </c>
      <c r="V76">
        <v>30683</v>
      </c>
      <c r="W76" s="1">
        <f>18197+14</f>
        <v>18211</v>
      </c>
      <c r="X76" s="1">
        <f>9112+461</f>
        <v>9573</v>
      </c>
      <c r="Y76">
        <v>3391</v>
      </c>
      <c r="Z76" s="1">
        <v>2782</v>
      </c>
      <c r="AA76" s="1">
        <v>5834</v>
      </c>
      <c r="AB76">
        <v>4377</v>
      </c>
      <c r="AC76">
        <v>13357</v>
      </c>
      <c r="AD76" s="3">
        <v>145359</v>
      </c>
      <c r="AE76">
        <v>46717</v>
      </c>
      <c r="AF76">
        <v>70909</v>
      </c>
      <c r="AG76">
        <v>41399</v>
      </c>
      <c r="AH76">
        <v>845</v>
      </c>
      <c r="AI76">
        <v>7615</v>
      </c>
      <c r="AJ76">
        <v>2986</v>
      </c>
      <c r="AK76">
        <v>7371</v>
      </c>
      <c r="AL76">
        <v>24609</v>
      </c>
      <c r="AM76">
        <v>65955</v>
      </c>
      <c r="AN76">
        <v>40047</v>
      </c>
      <c r="AQ76">
        <v>2665</v>
      </c>
      <c r="AR76">
        <v>10977</v>
      </c>
    </row>
    <row r="77" spans="2:44">
      <c r="B77" t="s">
        <v>55</v>
      </c>
      <c r="P77">
        <v>23245</v>
      </c>
      <c r="Q77">
        <v>13695</v>
      </c>
      <c r="R77">
        <v>20145</v>
      </c>
      <c r="S77">
        <v>59199</v>
      </c>
      <c r="T77">
        <v>42644</v>
      </c>
      <c r="U77">
        <v>18456</v>
      </c>
      <c r="V77">
        <v>31927</v>
      </c>
      <c r="W77" s="1">
        <f>31114+27</f>
        <v>31141</v>
      </c>
      <c r="X77" s="1">
        <f>16451+45</f>
        <v>16496</v>
      </c>
      <c r="Y77">
        <v>11301</v>
      </c>
      <c r="Z77" s="1">
        <v>12421</v>
      </c>
      <c r="AA77" s="1">
        <v>17327</v>
      </c>
      <c r="AB77">
        <v>22276</v>
      </c>
      <c r="AC77">
        <v>37872</v>
      </c>
      <c r="AD77" s="3">
        <v>43891</v>
      </c>
      <c r="AE77">
        <v>6538</v>
      </c>
      <c r="AF77">
        <v>13425</v>
      </c>
      <c r="AG77">
        <v>7123</v>
      </c>
      <c r="AH77">
        <v>5558</v>
      </c>
      <c r="AI77">
        <v>6616</v>
      </c>
      <c r="AM77">
        <v>47699</v>
      </c>
      <c r="AN77">
        <v>84632</v>
      </c>
      <c r="AQ77">
        <v>711928</v>
      </c>
      <c r="AR77">
        <v>681107</v>
      </c>
    </row>
    <row r="78" spans="2:44">
      <c r="B78" t="s">
        <v>109</v>
      </c>
      <c r="X78" s="1">
        <v>5046</v>
      </c>
      <c r="Y78">
        <v>1837</v>
      </c>
      <c r="Z78" s="1">
        <v>1917</v>
      </c>
      <c r="AA78" s="1">
        <v>4049</v>
      </c>
      <c r="AB78">
        <v>3447</v>
      </c>
      <c r="AC78">
        <v>6828</v>
      </c>
      <c r="AD78" s="3">
        <v>11492</v>
      </c>
      <c r="AE78">
        <v>10130</v>
      </c>
      <c r="AF78">
        <v>1704</v>
      </c>
      <c r="AG78">
        <v>8539</v>
      </c>
      <c r="AH78">
        <v>802</v>
      </c>
      <c r="AI78">
        <v>1391</v>
      </c>
      <c r="AK78">
        <v>5</v>
      </c>
      <c r="AQ78">
        <v>381</v>
      </c>
      <c r="AR78">
        <v>227</v>
      </c>
    </row>
    <row r="79" spans="2:44">
      <c r="B79" t="s">
        <v>97</v>
      </c>
      <c r="Y79">
        <f>23526+40</f>
        <v>23566</v>
      </c>
      <c r="Z79" s="1">
        <v>14490</v>
      </c>
      <c r="AA79" s="1">
        <v>15254</v>
      </c>
      <c r="AB79">
        <v>25641</v>
      </c>
      <c r="AC79">
        <v>30498</v>
      </c>
      <c r="AD79" s="3">
        <v>28457</v>
      </c>
      <c r="AE79">
        <v>8259</v>
      </c>
      <c r="AF79">
        <v>10764</v>
      </c>
      <c r="AG79">
        <v>17459</v>
      </c>
      <c r="AH79">
        <v>5796</v>
      </c>
      <c r="AI79">
        <v>3000</v>
      </c>
      <c r="AN79">
        <v>102</v>
      </c>
      <c r="AQ79">
        <v>15153</v>
      </c>
      <c r="AR79">
        <v>7775</v>
      </c>
    </row>
    <row r="80" spans="2:44">
      <c r="B80" t="s">
        <v>56</v>
      </c>
      <c r="P80">
        <v>1126</v>
      </c>
      <c r="Q80">
        <v>428</v>
      </c>
      <c r="R80">
        <v>410</v>
      </c>
      <c r="S80">
        <v>497</v>
      </c>
      <c r="T80">
        <v>1634</v>
      </c>
      <c r="U80">
        <v>3075</v>
      </c>
      <c r="V80">
        <v>2760</v>
      </c>
      <c r="W80" s="1">
        <f>3544+78</f>
        <v>3622</v>
      </c>
      <c r="AD80" s="3"/>
    </row>
    <row r="81" spans="2:44">
      <c r="B81" t="s">
        <v>119</v>
      </c>
      <c r="Y81">
        <v>100</v>
      </c>
      <c r="Z81" s="1">
        <v>17</v>
      </c>
      <c r="AA81" s="1">
        <v>2</v>
      </c>
      <c r="AB81">
        <v>29</v>
      </c>
      <c r="AC81">
        <v>15</v>
      </c>
      <c r="AD81" s="3">
        <v>102</v>
      </c>
      <c r="AE81">
        <v>260</v>
      </c>
      <c r="AF81">
        <v>931</v>
      </c>
      <c r="AG81">
        <v>207</v>
      </c>
      <c r="AH81">
        <v>256</v>
      </c>
      <c r="AI81">
        <v>163</v>
      </c>
      <c r="AJ81">
        <v>6</v>
      </c>
      <c r="AM81">
        <v>1</v>
      </c>
      <c r="AN81">
        <v>2</v>
      </c>
      <c r="AQ81">
        <v>2196</v>
      </c>
      <c r="AR81">
        <v>2</v>
      </c>
    </row>
    <row r="82" spans="2:44">
      <c r="B82" t="s">
        <v>57</v>
      </c>
      <c r="N82">
        <f>1858104+6188</f>
        <v>1864292</v>
      </c>
      <c r="O82">
        <f>1225795+10968</f>
        <v>1236763</v>
      </c>
      <c r="P82">
        <v>1150239</v>
      </c>
      <c r="Q82">
        <v>1101447</v>
      </c>
      <c r="R82">
        <v>1957333</v>
      </c>
      <c r="S82">
        <v>1509480</v>
      </c>
      <c r="T82">
        <v>2166888</v>
      </c>
      <c r="U82">
        <v>1623216</v>
      </c>
      <c r="V82">
        <v>1709217</v>
      </c>
      <c r="W82" s="1">
        <f>1790752+2166</f>
        <v>1792918</v>
      </c>
      <c r="X82" s="1">
        <f>1782862+2796</f>
        <v>1785658</v>
      </c>
      <c r="Y82">
        <f>940434+1429</f>
        <v>941863</v>
      </c>
      <c r="Z82" s="1">
        <f>1328201+216</f>
        <v>1328417</v>
      </c>
      <c r="AA82" s="1">
        <v>1286157</v>
      </c>
      <c r="AB82">
        <v>1409552</v>
      </c>
      <c r="AC82">
        <v>2751715</v>
      </c>
      <c r="AD82" s="3">
        <v>1837502</v>
      </c>
      <c r="AE82">
        <v>2541379</v>
      </c>
      <c r="AF82">
        <v>2468007</v>
      </c>
      <c r="AG82">
        <v>1840640</v>
      </c>
      <c r="AH82">
        <v>2427867</v>
      </c>
      <c r="AI82">
        <v>1565073</v>
      </c>
      <c r="AJ82">
        <v>816363</v>
      </c>
      <c r="AN82">
        <v>91</v>
      </c>
      <c r="AQ82">
        <v>5798704</v>
      </c>
      <c r="AR82">
        <v>3216281</v>
      </c>
    </row>
    <row r="83" spans="2:44">
      <c r="B83" t="s">
        <v>98</v>
      </c>
      <c r="Y83">
        <v>3549</v>
      </c>
      <c r="Z83" s="1">
        <v>1651</v>
      </c>
      <c r="AB83">
        <v>523</v>
      </c>
      <c r="AC83">
        <v>998</v>
      </c>
      <c r="AD83" s="3">
        <v>10</v>
      </c>
      <c r="AE83">
        <v>9345</v>
      </c>
      <c r="AF83">
        <v>16644</v>
      </c>
      <c r="AG83">
        <v>15103</v>
      </c>
      <c r="AH83">
        <v>5647</v>
      </c>
      <c r="AI83">
        <v>2687</v>
      </c>
    </row>
    <row r="84" spans="2:44">
      <c r="B84" t="s">
        <v>138</v>
      </c>
      <c r="AD84" s="3"/>
      <c r="AQ84">
        <v>799589</v>
      </c>
      <c r="AR84">
        <v>616460</v>
      </c>
    </row>
    <row r="85" spans="2:44">
      <c r="B85" t="s">
        <v>99</v>
      </c>
      <c r="Y85">
        <v>6</v>
      </c>
      <c r="Z85" s="1">
        <v>958</v>
      </c>
      <c r="AA85" s="1">
        <v>10</v>
      </c>
      <c r="AB85">
        <v>3</v>
      </c>
      <c r="AC85">
        <v>771</v>
      </c>
      <c r="AD85" s="3">
        <v>548</v>
      </c>
      <c r="AE85">
        <v>5222</v>
      </c>
      <c r="AH85">
        <v>5</v>
      </c>
    </row>
    <row r="86" spans="2:44">
      <c r="B86" t="s">
        <v>58</v>
      </c>
      <c r="P86">
        <v>17683</v>
      </c>
      <c r="Q86">
        <v>29614</v>
      </c>
      <c r="R86">
        <v>171484</v>
      </c>
      <c r="S86">
        <v>194804</v>
      </c>
      <c r="T86">
        <v>88872</v>
      </c>
      <c r="U86">
        <v>47419</v>
      </c>
      <c r="V86">
        <v>14039</v>
      </c>
      <c r="W86" s="1">
        <f>11105+918</f>
        <v>12023</v>
      </c>
      <c r="X86" s="1">
        <f>12852+427</f>
        <v>13279</v>
      </c>
      <c r="Y86">
        <f>8581+292</f>
        <v>8873</v>
      </c>
      <c r="Z86" s="1">
        <f>7969+192</f>
        <v>8161</v>
      </c>
      <c r="AA86" s="1">
        <v>11509</v>
      </c>
      <c r="AB86">
        <v>118026</v>
      </c>
      <c r="AC86">
        <v>131146</v>
      </c>
      <c r="AD86" s="3">
        <v>150851</v>
      </c>
      <c r="AE86">
        <v>92647</v>
      </c>
      <c r="AF86">
        <v>135113</v>
      </c>
      <c r="AG86">
        <v>71377</v>
      </c>
      <c r="AH86">
        <v>146862</v>
      </c>
      <c r="AI86">
        <v>266508</v>
      </c>
      <c r="AJ86">
        <v>11747</v>
      </c>
      <c r="AK86">
        <v>33966</v>
      </c>
      <c r="AL86">
        <v>33865</v>
      </c>
      <c r="AM86">
        <v>120238</v>
      </c>
      <c r="AN86">
        <v>203720</v>
      </c>
      <c r="AQ86">
        <v>307284</v>
      </c>
      <c r="AR86">
        <v>89497</v>
      </c>
    </row>
    <row r="87" spans="2:44">
      <c r="B87" t="s">
        <v>59</v>
      </c>
      <c r="P87">
        <v>431</v>
      </c>
      <c r="Q87">
        <v>397</v>
      </c>
      <c r="R87">
        <v>269</v>
      </c>
      <c r="S87">
        <v>118</v>
      </c>
      <c r="T87">
        <v>109</v>
      </c>
      <c r="U87">
        <v>142</v>
      </c>
      <c r="V87">
        <v>161</v>
      </c>
      <c r="W87" s="1">
        <v>59</v>
      </c>
      <c r="X87" s="1">
        <v>42</v>
      </c>
      <c r="Y87">
        <v>1354</v>
      </c>
      <c r="Z87" s="1">
        <v>1058</v>
      </c>
      <c r="AA87" s="1">
        <v>3885</v>
      </c>
      <c r="AB87">
        <v>8998</v>
      </c>
      <c r="AC87">
        <v>553</v>
      </c>
      <c r="AD87" s="3">
        <v>2471</v>
      </c>
      <c r="AE87">
        <v>4632</v>
      </c>
      <c r="AF87">
        <v>16623</v>
      </c>
      <c r="AG87">
        <v>13913</v>
      </c>
      <c r="AH87">
        <v>61206</v>
      </c>
      <c r="AI87">
        <v>5870</v>
      </c>
      <c r="AJ87">
        <v>23793</v>
      </c>
      <c r="AL87">
        <v>14458</v>
      </c>
      <c r="AQ87">
        <v>58166</v>
      </c>
      <c r="AR87">
        <v>47212</v>
      </c>
    </row>
    <row r="88" spans="2:44">
      <c r="B88" t="s">
        <v>60</v>
      </c>
      <c r="P88">
        <v>5245</v>
      </c>
      <c r="Q88">
        <v>2671</v>
      </c>
      <c r="R88">
        <v>943</v>
      </c>
      <c r="S88">
        <v>262</v>
      </c>
      <c r="T88">
        <v>235</v>
      </c>
      <c r="U88">
        <v>114</v>
      </c>
      <c r="V88">
        <v>284</v>
      </c>
      <c r="W88" s="1">
        <f>484+67</f>
        <v>551</v>
      </c>
      <c r="X88" s="1">
        <f>3574+157</f>
        <v>3731</v>
      </c>
      <c r="Y88">
        <f>53+96</f>
        <v>149</v>
      </c>
      <c r="Z88" s="1">
        <f>769+51</f>
        <v>820</v>
      </c>
      <c r="AA88" s="1">
        <v>426</v>
      </c>
      <c r="AB88">
        <v>1036</v>
      </c>
      <c r="AC88">
        <v>7982</v>
      </c>
      <c r="AD88" s="3">
        <v>10247</v>
      </c>
      <c r="AE88">
        <v>12841</v>
      </c>
      <c r="AF88">
        <v>17193</v>
      </c>
      <c r="AG88">
        <v>15990</v>
      </c>
      <c r="AH88">
        <v>27707</v>
      </c>
      <c r="AI88">
        <v>11109</v>
      </c>
      <c r="AQ88">
        <v>144327</v>
      </c>
      <c r="AR88">
        <v>38912</v>
      </c>
    </row>
    <row r="89" spans="2:44">
      <c r="B89" t="s">
        <v>137</v>
      </c>
      <c r="AD89" s="3"/>
      <c r="AQ89">
        <v>319386</v>
      </c>
      <c r="AR89">
        <v>1968681</v>
      </c>
    </row>
    <row r="90" spans="2:44">
      <c r="B90" t="s">
        <v>61</v>
      </c>
      <c r="N90">
        <f>652878+91769</f>
        <v>744647</v>
      </c>
      <c r="O90">
        <f>549019+20707</f>
        <v>569726</v>
      </c>
      <c r="P90">
        <v>944181</v>
      </c>
      <c r="Q90">
        <v>743941</v>
      </c>
      <c r="R90">
        <v>461039</v>
      </c>
      <c r="S90">
        <v>376491</v>
      </c>
      <c r="T90">
        <v>375180</v>
      </c>
      <c r="U90">
        <v>390596</v>
      </c>
      <c r="V90">
        <v>433334</v>
      </c>
      <c r="W90" s="1">
        <f>413580+10197</f>
        <v>423777</v>
      </c>
      <c r="X90" s="1">
        <f>329173+4530</f>
        <v>333703</v>
      </c>
      <c r="Y90">
        <f>313824+4281</f>
        <v>318105</v>
      </c>
      <c r="Z90" s="1">
        <f>267134+2909</f>
        <v>270043</v>
      </c>
      <c r="AA90" s="1">
        <v>357530</v>
      </c>
      <c r="AB90">
        <v>443709</v>
      </c>
      <c r="AC90">
        <v>419992</v>
      </c>
      <c r="AD90" s="3">
        <v>498230</v>
      </c>
      <c r="AE90">
        <v>469872</v>
      </c>
      <c r="AF90">
        <v>546546</v>
      </c>
      <c r="AG90">
        <v>408898</v>
      </c>
      <c r="AH90">
        <v>637769</v>
      </c>
      <c r="AI90">
        <v>1479453</v>
      </c>
      <c r="AJ90">
        <v>1714029</v>
      </c>
      <c r="AK90">
        <v>799250</v>
      </c>
      <c r="AL90">
        <v>831039</v>
      </c>
      <c r="AM90">
        <v>1314294</v>
      </c>
      <c r="AN90">
        <v>1102104</v>
      </c>
      <c r="AQ90">
        <v>263570</v>
      </c>
      <c r="AR90">
        <v>1329627</v>
      </c>
    </row>
    <row r="91" spans="2:44">
      <c r="B91" t="s">
        <v>62</v>
      </c>
      <c r="P91">
        <v>361</v>
      </c>
      <c r="Q91">
        <v>595</v>
      </c>
      <c r="R91">
        <v>640</v>
      </c>
      <c r="S91">
        <v>354</v>
      </c>
      <c r="T91">
        <v>586</v>
      </c>
      <c r="U91">
        <v>844</v>
      </c>
      <c r="V91">
        <v>588</v>
      </c>
      <c r="W91" s="1">
        <v>753</v>
      </c>
      <c r="X91" s="1">
        <v>1038</v>
      </c>
      <c r="Y91">
        <v>716</v>
      </c>
      <c r="Z91" s="1">
        <v>468</v>
      </c>
      <c r="AA91" s="1">
        <v>275</v>
      </c>
      <c r="AB91">
        <v>162</v>
      </c>
      <c r="AC91">
        <v>140</v>
      </c>
      <c r="AD91" s="3">
        <v>404</v>
      </c>
      <c r="AE91">
        <v>496</v>
      </c>
      <c r="AF91">
        <v>903</v>
      </c>
      <c r="AG91">
        <v>1532</v>
      </c>
      <c r="AH91">
        <v>2332</v>
      </c>
      <c r="AI91">
        <v>1328</v>
      </c>
      <c r="AQ91">
        <v>5</v>
      </c>
      <c r="AR91">
        <v>13</v>
      </c>
    </row>
    <row r="92" spans="2:44">
      <c r="B92" t="s">
        <v>85</v>
      </c>
      <c r="Q92">
        <v>3</v>
      </c>
      <c r="AD92" s="3"/>
    </row>
    <row r="93" spans="2:44">
      <c r="B93" t="s">
        <v>63</v>
      </c>
      <c r="N93">
        <f>48+286</f>
        <v>334</v>
      </c>
      <c r="O93">
        <f>43267+417</f>
        <v>43684</v>
      </c>
      <c r="P93">
        <v>1109</v>
      </c>
      <c r="Q93">
        <v>347</v>
      </c>
      <c r="R93">
        <v>5301</v>
      </c>
      <c r="S93">
        <v>1682</v>
      </c>
      <c r="T93">
        <v>913</v>
      </c>
      <c r="U93">
        <v>596</v>
      </c>
      <c r="V93">
        <v>935</v>
      </c>
      <c r="W93" s="1">
        <f>448+55</f>
        <v>503</v>
      </c>
      <c r="X93" s="1">
        <f>115+71</f>
        <v>186</v>
      </c>
      <c r="Y93">
        <f>332+19</f>
        <v>351</v>
      </c>
      <c r="Z93" s="1">
        <f>105+12</f>
        <v>117</v>
      </c>
      <c r="AA93" s="1">
        <v>86</v>
      </c>
      <c r="AB93">
        <v>69</v>
      </c>
      <c r="AC93">
        <v>10937</v>
      </c>
      <c r="AD93" s="3">
        <v>1348</v>
      </c>
      <c r="AE93">
        <v>179</v>
      </c>
      <c r="AF93">
        <v>2534</v>
      </c>
      <c r="AG93">
        <v>3520</v>
      </c>
      <c r="AH93">
        <v>187060</v>
      </c>
      <c r="AI93">
        <v>283263</v>
      </c>
      <c r="AJ93">
        <v>1912</v>
      </c>
      <c r="AK93">
        <v>2777</v>
      </c>
      <c r="AL93">
        <v>317717</v>
      </c>
      <c r="AM93">
        <v>5462</v>
      </c>
      <c r="AN93">
        <v>2277</v>
      </c>
      <c r="AQ93">
        <v>12297</v>
      </c>
      <c r="AR93">
        <v>32251</v>
      </c>
    </row>
    <row r="94" spans="2:44">
      <c r="B94" t="s">
        <v>64</v>
      </c>
      <c r="P94">
        <v>455</v>
      </c>
      <c r="Q94">
        <v>1952</v>
      </c>
      <c r="R94">
        <v>1914</v>
      </c>
      <c r="T94">
        <v>14</v>
      </c>
      <c r="V94">
        <v>92</v>
      </c>
      <c r="W94" s="1">
        <v>7</v>
      </c>
      <c r="X94" s="1">
        <v>14</v>
      </c>
      <c r="Y94">
        <v>1</v>
      </c>
      <c r="Z94" s="1">
        <v>14</v>
      </c>
      <c r="AA94" s="1">
        <v>4</v>
      </c>
      <c r="AB94">
        <v>1</v>
      </c>
      <c r="AD94" s="3">
        <v>8</v>
      </c>
      <c r="AF94">
        <v>154</v>
      </c>
      <c r="AH94">
        <v>1</v>
      </c>
      <c r="AM94">
        <v>3</v>
      </c>
      <c r="AR94">
        <v>200</v>
      </c>
    </row>
    <row r="95" spans="2:44">
      <c r="B95" t="s">
        <v>104</v>
      </c>
      <c r="AA95" s="1">
        <v>1338</v>
      </c>
      <c r="AB95">
        <v>6787</v>
      </c>
      <c r="AC95">
        <v>804</v>
      </c>
      <c r="AD95" s="3">
        <v>2159</v>
      </c>
      <c r="AE95">
        <v>3986</v>
      </c>
      <c r="AF95">
        <v>5640</v>
      </c>
      <c r="AG95">
        <v>6015</v>
      </c>
      <c r="AH95">
        <v>17403</v>
      </c>
      <c r="AI95">
        <v>1457</v>
      </c>
      <c r="AJ95">
        <v>2</v>
      </c>
      <c r="AQ95">
        <v>71215</v>
      </c>
      <c r="AR95">
        <v>958350</v>
      </c>
    </row>
    <row r="96" spans="2:44">
      <c r="B96" t="s">
        <v>65</v>
      </c>
      <c r="P96">
        <v>24722</v>
      </c>
      <c r="Q96">
        <v>160842</v>
      </c>
      <c r="R96">
        <v>306302</v>
      </c>
      <c r="S96">
        <v>277517</v>
      </c>
      <c r="T96">
        <v>343284</v>
      </c>
      <c r="U96">
        <v>303797</v>
      </c>
      <c r="V96">
        <v>296298</v>
      </c>
      <c r="W96" s="1">
        <f>453327+20</f>
        <v>453347</v>
      </c>
      <c r="X96" s="1">
        <f>384051+20</f>
        <v>384071</v>
      </c>
      <c r="AD96" s="3"/>
    </row>
    <row r="97" spans="2:44">
      <c r="B97" t="s">
        <v>133</v>
      </c>
      <c r="Y97">
        <f>267618+13</f>
        <v>267631</v>
      </c>
      <c r="Z97" s="1">
        <f>212887+27</f>
        <v>212914</v>
      </c>
      <c r="AA97" s="1">
        <v>233393</v>
      </c>
      <c r="AB97">
        <v>385266</v>
      </c>
      <c r="AC97">
        <v>573467</v>
      </c>
      <c r="AD97" s="3">
        <v>571667</v>
      </c>
      <c r="AE97">
        <v>531803</v>
      </c>
      <c r="AF97">
        <v>553249</v>
      </c>
      <c r="AG97">
        <v>633009</v>
      </c>
      <c r="AH97">
        <v>381435</v>
      </c>
      <c r="AI97">
        <v>160</v>
      </c>
      <c r="AN97">
        <v>144376</v>
      </c>
      <c r="AQ97">
        <v>350220</v>
      </c>
      <c r="AR97">
        <v>3353969</v>
      </c>
    </row>
    <row r="98" spans="2:44">
      <c r="B98" t="s">
        <v>66</v>
      </c>
      <c r="P98">
        <v>83503</v>
      </c>
      <c r="Q98">
        <v>49164</v>
      </c>
      <c r="R98">
        <v>95342</v>
      </c>
      <c r="S98">
        <v>44904</v>
      </c>
      <c r="T98">
        <v>77910</v>
      </c>
      <c r="U98">
        <v>49417</v>
      </c>
      <c r="V98">
        <v>27934</v>
      </c>
      <c r="W98" s="1">
        <v>25735</v>
      </c>
      <c r="X98" s="1">
        <f>41985+28</f>
        <v>42013</v>
      </c>
      <c r="Y98">
        <f>49616+26</f>
        <v>49642</v>
      </c>
      <c r="Z98" s="1">
        <f>20725+16</f>
        <v>20741</v>
      </c>
      <c r="AA98" s="1">
        <v>62497</v>
      </c>
      <c r="AB98">
        <v>69724</v>
      </c>
      <c r="AC98">
        <v>80668</v>
      </c>
      <c r="AD98" s="3">
        <v>137769</v>
      </c>
      <c r="AE98">
        <v>81665</v>
      </c>
      <c r="AF98">
        <v>134165</v>
      </c>
      <c r="AG98">
        <v>153720</v>
      </c>
      <c r="AH98">
        <v>212403</v>
      </c>
      <c r="AI98">
        <v>86680</v>
      </c>
      <c r="AJ98">
        <v>101654</v>
      </c>
      <c r="AK98">
        <v>138984</v>
      </c>
      <c r="AL98">
        <v>56229</v>
      </c>
      <c r="AM98">
        <v>230030</v>
      </c>
      <c r="AN98">
        <v>295904</v>
      </c>
      <c r="AQ98">
        <v>279472</v>
      </c>
      <c r="AR98">
        <v>361625</v>
      </c>
    </row>
    <row r="99" spans="2:44">
      <c r="B99" t="s">
        <v>112</v>
      </c>
      <c r="X99" s="1">
        <f>2601+19</f>
        <v>2620</v>
      </c>
      <c r="Y99">
        <v>3869</v>
      </c>
      <c r="Z99" s="1">
        <v>1176</v>
      </c>
      <c r="AA99" s="1">
        <v>1467</v>
      </c>
      <c r="AB99">
        <v>4009</v>
      </c>
      <c r="AC99">
        <v>4318</v>
      </c>
      <c r="AD99" s="3">
        <v>12207</v>
      </c>
      <c r="AE99">
        <v>3897</v>
      </c>
      <c r="AF99">
        <v>3838</v>
      </c>
      <c r="AG99">
        <v>9111</v>
      </c>
      <c r="AH99">
        <v>12679</v>
      </c>
      <c r="AI99">
        <v>5310</v>
      </c>
      <c r="AJ99">
        <v>421</v>
      </c>
      <c r="AK99">
        <v>2</v>
      </c>
      <c r="AL99">
        <v>5</v>
      </c>
      <c r="AM99">
        <v>1</v>
      </c>
      <c r="AN99">
        <v>987</v>
      </c>
      <c r="AQ99">
        <v>672</v>
      </c>
      <c r="AR99">
        <v>1734</v>
      </c>
    </row>
    <row r="100" spans="2:44">
      <c r="B100" t="s">
        <v>67</v>
      </c>
      <c r="P100">
        <v>844</v>
      </c>
      <c r="Q100">
        <v>2617</v>
      </c>
      <c r="R100">
        <v>836</v>
      </c>
      <c r="S100">
        <v>669</v>
      </c>
      <c r="T100">
        <v>425</v>
      </c>
      <c r="U100">
        <v>590</v>
      </c>
      <c r="V100">
        <v>869</v>
      </c>
      <c r="W100" s="1">
        <f>951+58</f>
        <v>1009</v>
      </c>
      <c r="AD100" s="3"/>
    </row>
    <row r="101" spans="2:44">
      <c r="B101" t="s">
        <v>68</v>
      </c>
      <c r="P101">
        <v>31853</v>
      </c>
      <c r="Q101">
        <v>45571</v>
      </c>
      <c r="R101">
        <v>13694</v>
      </c>
      <c r="S101">
        <v>29009</v>
      </c>
      <c r="T101">
        <v>27042</v>
      </c>
      <c r="U101">
        <v>15247</v>
      </c>
      <c r="V101">
        <v>31317</v>
      </c>
      <c r="W101" s="1">
        <f>43832+141</f>
        <v>43973</v>
      </c>
      <c r="X101" s="1">
        <f>42462+105</f>
        <v>42567</v>
      </c>
      <c r="AD101" s="3"/>
    </row>
    <row r="102" spans="2:44">
      <c r="B102" t="s">
        <v>69</v>
      </c>
      <c r="P102">
        <v>13435</v>
      </c>
      <c r="Q102">
        <v>9624</v>
      </c>
      <c r="R102">
        <v>18339</v>
      </c>
      <c r="S102">
        <v>35638</v>
      </c>
      <c r="T102">
        <v>56469</v>
      </c>
      <c r="U102">
        <v>38266</v>
      </c>
      <c r="V102">
        <v>62562</v>
      </c>
      <c r="W102" s="1">
        <f>177744+40</f>
        <v>177784</v>
      </c>
      <c r="X102" s="1">
        <f>200467+54</f>
        <v>200521</v>
      </c>
      <c r="Y102">
        <v>94343</v>
      </c>
      <c r="Z102" s="1">
        <v>48646</v>
      </c>
      <c r="AA102" s="1">
        <v>83430</v>
      </c>
      <c r="AB102">
        <v>192876</v>
      </c>
      <c r="AC102">
        <v>142566</v>
      </c>
      <c r="AD102" s="3">
        <v>453801</v>
      </c>
      <c r="AE102">
        <v>701538</v>
      </c>
      <c r="AF102">
        <v>1216405</v>
      </c>
      <c r="AG102">
        <v>705066</v>
      </c>
      <c r="AH102">
        <v>527632</v>
      </c>
      <c r="AI102">
        <v>450019</v>
      </c>
      <c r="AQ102">
        <v>229643</v>
      </c>
      <c r="AR102">
        <v>1298647</v>
      </c>
    </row>
    <row r="103" spans="2:44">
      <c r="B103" t="s">
        <v>70</v>
      </c>
      <c r="N103">
        <f>335+8</f>
        <v>343</v>
      </c>
      <c r="O103">
        <f>1950+2</f>
        <v>1952</v>
      </c>
      <c r="Q103">
        <v>998</v>
      </c>
      <c r="R103">
        <v>126923</v>
      </c>
      <c r="S103">
        <v>75473</v>
      </c>
      <c r="T103">
        <v>171478</v>
      </c>
      <c r="U103">
        <v>171130</v>
      </c>
      <c r="V103">
        <v>1742442</v>
      </c>
      <c r="W103" s="1">
        <v>3109706</v>
      </c>
      <c r="X103" s="1">
        <f>2215230+27</f>
        <v>2215257</v>
      </c>
      <c r="Y103">
        <v>1671338</v>
      </c>
      <c r="Z103" s="1">
        <v>1684815</v>
      </c>
      <c r="AA103" s="1">
        <v>120103</v>
      </c>
      <c r="AB103">
        <v>12</v>
      </c>
      <c r="AC103">
        <v>17</v>
      </c>
      <c r="AD103" s="3">
        <v>15</v>
      </c>
      <c r="AE103">
        <v>2704</v>
      </c>
      <c r="AF103">
        <v>9</v>
      </c>
      <c r="AG103">
        <v>2827</v>
      </c>
      <c r="AH103">
        <v>47</v>
      </c>
      <c r="AM103">
        <v>234</v>
      </c>
      <c r="AQ103">
        <v>12065724</v>
      </c>
      <c r="AR103">
        <v>3691710</v>
      </c>
    </row>
    <row r="104" spans="2:44">
      <c r="B104" t="s">
        <v>71</v>
      </c>
      <c r="Q104">
        <v>156</v>
      </c>
      <c r="R104">
        <v>11</v>
      </c>
      <c r="S104">
        <v>6</v>
      </c>
      <c r="T104">
        <v>14</v>
      </c>
      <c r="V104">
        <v>14</v>
      </c>
      <c r="W104" s="1">
        <v>22</v>
      </c>
      <c r="X104" s="1">
        <v>20</v>
      </c>
      <c r="AD104" s="3"/>
    </row>
    <row r="105" spans="2:44">
      <c r="B105" t="s">
        <v>135</v>
      </c>
      <c r="AD105" s="3"/>
      <c r="AJ105">
        <v>56235</v>
      </c>
      <c r="AK105">
        <v>25531</v>
      </c>
      <c r="AL105">
        <v>313077</v>
      </c>
      <c r="AM105">
        <v>252765</v>
      </c>
      <c r="AN105">
        <v>184365</v>
      </c>
      <c r="AQ105">
        <v>623693</v>
      </c>
      <c r="AR105">
        <v>781653</v>
      </c>
    </row>
    <row r="106" spans="2:44">
      <c r="B106" t="s">
        <v>72</v>
      </c>
      <c r="P106">
        <v>2345</v>
      </c>
      <c r="Q106">
        <v>1048</v>
      </c>
      <c r="R106">
        <v>1158</v>
      </c>
      <c r="S106">
        <v>936</v>
      </c>
      <c r="T106">
        <v>1082</v>
      </c>
      <c r="U106">
        <v>1056</v>
      </c>
      <c r="V106">
        <v>1224</v>
      </c>
      <c r="W106" s="1">
        <f>76+673</f>
        <v>749</v>
      </c>
      <c r="X106" s="1">
        <f>11+689</f>
        <v>700</v>
      </c>
      <c r="Y106">
        <f>58+429</f>
        <v>487</v>
      </c>
      <c r="Z106" s="1">
        <f>10+265</f>
        <v>275</v>
      </c>
      <c r="AA106" s="1">
        <v>245</v>
      </c>
      <c r="AB106">
        <v>110</v>
      </c>
      <c r="AC106">
        <v>103</v>
      </c>
      <c r="AD106" s="3">
        <v>134</v>
      </c>
      <c r="AE106">
        <v>119</v>
      </c>
      <c r="AF106">
        <v>85</v>
      </c>
      <c r="AG106">
        <v>258</v>
      </c>
      <c r="AH106">
        <v>76</v>
      </c>
      <c r="AI106">
        <v>543</v>
      </c>
      <c r="AJ106">
        <v>66</v>
      </c>
      <c r="AK106">
        <v>9</v>
      </c>
      <c r="AQ106">
        <v>4907</v>
      </c>
      <c r="AR106">
        <v>46789</v>
      </c>
    </row>
    <row r="107" spans="2:44">
      <c r="B107" t="s">
        <v>73</v>
      </c>
      <c r="N107">
        <f>819169+3258</f>
        <v>822427</v>
      </c>
      <c r="O107">
        <f>1267992+31727</f>
        <v>1299719</v>
      </c>
      <c r="P107">
        <v>815028</v>
      </c>
      <c r="Q107">
        <v>1139558</v>
      </c>
      <c r="R107">
        <v>1543388</v>
      </c>
      <c r="S107">
        <v>1481312</v>
      </c>
      <c r="T107">
        <v>1177821</v>
      </c>
      <c r="U107">
        <v>909069</v>
      </c>
      <c r="V107">
        <v>985511</v>
      </c>
      <c r="W107" s="1">
        <f>1167470+151</f>
        <v>1167621</v>
      </c>
      <c r="X107" s="1">
        <f>1182318+290</f>
        <v>1182608</v>
      </c>
      <c r="Y107">
        <f>1192033+197</f>
        <v>1192230</v>
      </c>
      <c r="Z107" s="1">
        <f>1104366+252</f>
        <v>1104618</v>
      </c>
      <c r="AA107" s="1">
        <v>1019148</v>
      </c>
      <c r="AB107">
        <v>1020532</v>
      </c>
      <c r="AC107">
        <v>1279217</v>
      </c>
      <c r="AD107" s="3">
        <v>1559009</v>
      </c>
      <c r="AE107">
        <v>673342</v>
      </c>
      <c r="AF107">
        <v>65395</v>
      </c>
      <c r="AG107">
        <v>18916</v>
      </c>
      <c r="AH107">
        <v>311895</v>
      </c>
      <c r="AI107">
        <v>475731</v>
      </c>
      <c r="AM107">
        <v>476852</v>
      </c>
      <c r="AN107">
        <v>296644</v>
      </c>
      <c r="AQ107">
        <v>2007258</v>
      </c>
      <c r="AR107">
        <v>1605344</v>
      </c>
    </row>
    <row r="108" spans="2:44">
      <c r="B108" t="s">
        <v>145</v>
      </c>
      <c r="AA108" s="1">
        <v>225</v>
      </c>
      <c r="AB108">
        <v>203</v>
      </c>
      <c r="AC108">
        <v>741</v>
      </c>
      <c r="AD108" s="3">
        <v>1576</v>
      </c>
      <c r="AE108">
        <v>382</v>
      </c>
      <c r="AF108">
        <v>445</v>
      </c>
      <c r="AG108">
        <v>356</v>
      </c>
      <c r="AH108">
        <v>27</v>
      </c>
      <c r="AI108">
        <v>839</v>
      </c>
      <c r="AQ108">
        <v>255</v>
      </c>
      <c r="AR108">
        <v>406</v>
      </c>
    </row>
    <row r="109" spans="2:44">
      <c r="B109" t="s">
        <v>146</v>
      </c>
      <c r="AA109" s="1">
        <v>181</v>
      </c>
      <c r="AB109">
        <v>177</v>
      </c>
      <c r="AC109">
        <v>303</v>
      </c>
      <c r="AD109" s="3">
        <v>484</v>
      </c>
      <c r="AE109">
        <v>233</v>
      </c>
      <c r="AG109">
        <v>22</v>
      </c>
      <c r="AH109">
        <v>1</v>
      </c>
    </row>
    <row r="110" spans="2:44">
      <c r="B110" t="s">
        <v>74</v>
      </c>
      <c r="N110">
        <f>1822+54957</f>
        <v>56779</v>
      </c>
      <c r="O110">
        <f>5597+14125</f>
        <v>19722</v>
      </c>
      <c r="P110">
        <v>7401</v>
      </c>
      <c r="Q110">
        <v>27500</v>
      </c>
      <c r="R110">
        <v>39796</v>
      </c>
      <c r="S110">
        <v>19559</v>
      </c>
      <c r="T110">
        <v>43327</v>
      </c>
      <c r="U110">
        <v>34653</v>
      </c>
      <c r="V110">
        <v>92420</v>
      </c>
      <c r="W110" s="1">
        <f>73358+828</f>
        <v>74186</v>
      </c>
      <c r="X110" s="1">
        <f>51028+1275</f>
        <v>52303</v>
      </c>
      <c r="Y110">
        <f>50258+1343</f>
        <v>51601</v>
      </c>
      <c r="Z110" s="1">
        <f>47680+1490</f>
        <v>49170</v>
      </c>
      <c r="AA110" s="1">
        <v>64500</v>
      </c>
      <c r="AB110">
        <v>98608</v>
      </c>
      <c r="AC110">
        <v>160548</v>
      </c>
      <c r="AD110" s="3">
        <v>236268</v>
      </c>
      <c r="AE110">
        <v>209406</v>
      </c>
      <c r="AF110">
        <v>286336</v>
      </c>
      <c r="AG110">
        <v>252447</v>
      </c>
      <c r="AH110">
        <v>300363</v>
      </c>
      <c r="AI110">
        <v>98633</v>
      </c>
      <c r="AN110">
        <v>12635</v>
      </c>
      <c r="AQ110">
        <v>1517083</v>
      </c>
      <c r="AR110">
        <v>2131392</v>
      </c>
    </row>
    <row r="111" spans="2:44">
      <c r="B111" t="s">
        <v>75</v>
      </c>
      <c r="N111">
        <f>1767141+43955</f>
        <v>1811096</v>
      </c>
      <c r="O111">
        <f>2214135+32702</f>
        <v>2246837</v>
      </c>
      <c r="P111">
        <v>1346187</v>
      </c>
      <c r="Q111">
        <v>1279185</v>
      </c>
      <c r="R111">
        <v>1862018</v>
      </c>
      <c r="S111">
        <v>2299474</v>
      </c>
      <c r="T111">
        <v>2263056</v>
      </c>
      <c r="U111">
        <v>1443906</v>
      </c>
      <c r="V111">
        <v>1893349</v>
      </c>
      <c r="W111" s="1">
        <f>1979506+7298</f>
        <v>1986804</v>
      </c>
      <c r="X111" s="1">
        <f>1951757+9954</f>
        <v>1961711</v>
      </c>
      <c r="Y111">
        <f>1245724+10101</f>
        <v>1255825</v>
      </c>
      <c r="Z111" s="1">
        <f>973844+10349</f>
        <v>984193</v>
      </c>
      <c r="AA111" s="1">
        <v>722560</v>
      </c>
      <c r="AB111">
        <v>658678</v>
      </c>
      <c r="AC111">
        <v>1044950</v>
      </c>
      <c r="AD111" s="3">
        <v>1006751</v>
      </c>
      <c r="AE111">
        <v>981871</v>
      </c>
      <c r="AF111">
        <v>1335046</v>
      </c>
      <c r="AG111">
        <v>1077622</v>
      </c>
      <c r="AH111">
        <v>1390353</v>
      </c>
      <c r="AI111">
        <v>474825</v>
      </c>
      <c r="AJ111">
        <v>97584</v>
      </c>
      <c r="AK111">
        <v>6909</v>
      </c>
      <c r="AL111">
        <v>847</v>
      </c>
      <c r="AM111">
        <v>2458</v>
      </c>
      <c r="AN111">
        <v>457797</v>
      </c>
      <c r="AQ111">
        <v>1791739</v>
      </c>
      <c r="AR111">
        <v>2133189</v>
      </c>
    </row>
    <row r="112" spans="2:44">
      <c r="B112" t="s">
        <v>76</v>
      </c>
      <c r="N112">
        <f>685703+11672</f>
        <v>697375</v>
      </c>
      <c r="O112">
        <f>520276+8488</f>
        <v>528764</v>
      </c>
      <c r="P112">
        <v>525940</v>
      </c>
      <c r="Q112">
        <v>411320</v>
      </c>
      <c r="R112">
        <v>303352</v>
      </c>
      <c r="S112">
        <v>332702</v>
      </c>
      <c r="T112">
        <v>285796</v>
      </c>
      <c r="U112">
        <v>271280</v>
      </c>
      <c r="V112">
        <v>325156</v>
      </c>
      <c r="W112" s="1">
        <f>420354+517</f>
        <v>420871</v>
      </c>
      <c r="X112" s="1">
        <f>362979+407</f>
        <v>363386</v>
      </c>
      <c r="Y112">
        <f>303171+553</f>
        <v>303724</v>
      </c>
      <c r="Z112" s="1">
        <f>251841+156</f>
        <v>251997</v>
      </c>
      <c r="AA112" s="1">
        <v>287639</v>
      </c>
      <c r="AB112">
        <v>309109</v>
      </c>
      <c r="AC112">
        <v>203557</v>
      </c>
      <c r="AD112" s="3">
        <v>290242</v>
      </c>
      <c r="AE112">
        <v>239354</v>
      </c>
      <c r="AF112">
        <v>219120</v>
      </c>
      <c r="AG112">
        <v>251162</v>
      </c>
      <c r="AH112">
        <v>253601</v>
      </c>
      <c r="AI112">
        <v>251714</v>
      </c>
      <c r="AJ112">
        <v>259755</v>
      </c>
      <c r="AK112">
        <v>305100</v>
      </c>
      <c r="AL112">
        <v>760749</v>
      </c>
      <c r="AM112">
        <v>171100</v>
      </c>
      <c r="AN112">
        <v>1038732</v>
      </c>
      <c r="AQ112">
        <v>482370</v>
      </c>
      <c r="AR112">
        <v>195053</v>
      </c>
    </row>
    <row r="113" spans="2:44">
      <c r="B113" t="s">
        <v>139</v>
      </c>
      <c r="AD113" s="3"/>
      <c r="AQ113">
        <v>437015</v>
      </c>
      <c r="AR113">
        <v>334344</v>
      </c>
    </row>
    <row r="114" spans="2:44">
      <c r="B114" t="s">
        <v>77</v>
      </c>
      <c r="N114">
        <v>330635</v>
      </c>
      <c r="O114">
        <f>357070+1859</f>
        <v>358929</v>
      </c>
      <c r="P114">
        <v>410028</v>
      </c>
      <c r="Q114">
        <v>206604</v>
      </c>
      <c r="R114">
        <v>225510</v>
      </c>
      <c r="S114">
        <v>142183</v>
      </c>
      <c r="T114">
        <v>132100</v>
      </c>
      <c r="U114">
        <v>114342</v>
      </c>
      <c r="V114">
        <v>125489</v>
      </c>
      <c r="W114" s="1">
        <f>171943+8</f>
        <v>171951</v>
      </c>
      <c r="X114" s="1">
        <f>145835+14</f>
        <v>145849</v>
      </c>
      <c r="Y114">
        <f>42504+7</f>
        <v>42511</v>
      </c>
      <c r="Z114" s="1">
        <f>22209+5</f>
        <v>22214</v>
      </c>
      <c r="AA114" s="1">
        <v>29066</v>
      </c>
      <c r="AB114">
        <v>47937</v>
      </c>
      <c r="AC114">
        <v>65364</v>
      </c>
      <c r="AD114" s="3">
        <v>87419</v>
      </c>
      <c r="AE114">
        <v>128419</v>
      </c>
      <c r="AF114">
        <v>358565</v>
      </c>
      <c r="AG114">
        <v>84987</v>
      </c>
      <c r="AH114">
        <v>72885</v>
      </c>
      <c r="AI114">
        <v>157370</v>
      </c>
      <c r="AJ114">
        <v>276155</v>
      </c>
      <c r="AK114">
        <v>105641</v>
      </c>
      <c r="AL114">
        <v>316620</v>
      </c>
      <c r="AM114">
        <v>161181</v>
      </c>
      <c r="AN114">
        <v>43350</v>
      </c>
      <c r="AQ114">
        <v>47136</v>
      </c>
      <c r="AR114">
        <v>222234</v>
      </c>
    </row>
    <row r="115" spans="2:44">
      <c r="B115" t="s">
        <v>78</v>
      </c>
      <c r="N115">
        <f>16711745+2340</f>
        <v>16714085</v>
      </c>
      <c r="O115">
        <f>26465747+3424</f>
        <v>26469171</v>
      </c>
      <c r="P115">
        <v>6523615</v>
      </c>
      <c r="Q115">
        <v>9190906</v>
      </c>
      <c r="R115">
        <v>7246787</v>
      </c>
      <c r="S115">
        <v>7085911</v>
      </c>
      <c r="T115">
        <v>8411246</v>
      </c>
      <c r="U115">
        <v>5584254</v>
      </c>
      <c r="V115">
        <v>6799598</v>
      </c>
      <c r="W115" s="1">
        <f>6113027+5094</f>
        <v>6118121</v>
      </c>
      <c r="X115" s="1">
        <f>7366549+5287</f>
        <v>7371836</v>
      </c>
      <c r="Y115">
        <f>1957267+3340</f>
        <v>1960607</v>
      </c>
      <c r="Z115" s="1">
        <f>687999+2893</f>
        <v>690892</v>
      </c>
      <c r="AA115" s="1">
        <v>1324483</v>
      </c>
      <c r="AB115">
        <v>1260091</v>
      </c>
      <c r="AC115">
        <v>1201551</v>
      </c>
      <c r="AD115" s="3">
        <v>1362631</v>
      </c>
      <c r="AE115">
        <v>1477823</v>
      </c>
      <c r="AF115">
        <v>2625111</v>
      </c>
      <c r="AG115">
        <v>707534</v>
      </c>
      <c r="AH115">
        <v>1262711</v>
      </c>
      <c r="AI115">
        <v>1379580</v>
      </c>
      <c r="AJ115">
        <v>2637726</v>
      </c>
      <c r="AK115">
        <v>3858872</v>
      </c>
      <c r="AL115">
        <v>2568398</v>
      </c>
      <c r="AM115">
        <v>1453933</v>
      </c>
      <c r="AN115">
        <v>2913617</v>
      </c>
      <c r="AQ115">
        <v>4455579</v>
      </c>
      <c r="AR115">
        <v>3721479</v>
      </c>
    </row>
    <row r="116" spans="2:44">
      <c r="B116" t="s">
        <v>79</v>
      </c>
      <c r="P116">
        <v>65</v>
      </c>
      <c r="Q116">
        <v>199</v>
      </c>
      <c r="R116">
        <v>61</v>
      </c>
      <c r="S116">
        <v>80</v>
      </c>
      <c r="T116">
        <v>63</v>
      </c>
      <c r="U116">
        <v>11</v>
      </c>
      <c r="V116">
        <v>214</v>
      </c>
      <c r="W116" s="1">
        <v>43</v>
      </c>
      <c r="X116" s="1">
        <v>104</v>
      </c>
      <c r="Y116">
        <v>106</v>
      </c>
      <c r="Z116" s="1">
        <v>52</v>
      </c>
      <c r="AA116" s="1">
        <v>29</v>
      </c>
      <c r="AB116">
        <v>3</v>
      </c>
      <c r="AC116">
        <v>23</v>
      </c>
      <c r="AD116" s="3">
        <v>18</v>
      </c>
      <c r="AE116">
        <v>22</v>
      </c>
      <c r="AF116">
        <v>4</v>
      </c>
      <c r="AG116">
        <v>21</v>
      </c>
      <c r="AH116">
        <v>22</v>
      </c>
      <c r="AJ116">
        <v>15</v>
      </c>
      <c r="AK116">
        <v>16</v>
      </c>
      <c r="AQ116">
        <v>78</v>
      </c>
      <c r="AR116">
        <v>101</v>
      </c>
    </row>
    <row r="117" spans="2:44">
      <c r="B117" t="s">
        <v>80</v>
      </c>
      <c r="P117">
        <v>620</v>
      </c>
      <c r="Q117">
        <v>1062</v>
      </c>
      <c r="R117">
        <v>531</v>
      </c>
      <c r="S117">
        <v>282</v>
      </c>
      <c r="T117">
        <v>324</v>
      </c>
      <c r="U117">
        <v>208</v>
      </c>
      <c r="V117">
        <v>187</v>
      </c>
      <c r="W117" s="1">
        <v>137</v>
      </c>
      <c r="X117" s="1">
        <v>241</v>
      </c>
      <c r="Y117">
        <v>289</v>
      </c>
      <c r="Z117" s="1">
        <v>64</v>
      </c>
      <c r="AA117" s="1">
        <v>24</v>
      </c>
      <c r="AB117">
        <v>11</v>
      </c>
      <c r="AC117">
        <v>40</v>
      </c>
      <c r="AD117" s="3">
        <v>105</v>
      </c>
      <c r="AE117">
        <v>4</v>
      </c>
      <c r="AF117">
        <v>20</v>
      </c>
      <c r="AG117">
        <v>10</v>
      </c>
      <c r="AH117">
        <v>4</v>
      </c>
      <c r="AR117">
        <v>1</v>
      </c>
    </row>
    <row r="118" spans="2:44">
      <c r="B118" t="s">
        <v>105</v>
      </c>
      <c r="AA118" s="1">
        <v>99</v>
      </c>
      <c r="AB118">
        <v>445</v>
      </c>
      <c r="AC118">
        <v>407</v>
      </c>
      <c r="AD118" s="3">
        <v>3913</v>
      </c>
      <c r="AE118">
        <v>2314</v>
      </c>
      <c r="AF118">
        <v>2570</v>
      </c>
      <c r="AG118">
        <v>560</v>
      </c>
      <c r="AH118">
        <v>2013</v>
      </c>
      <c r="AI118">
        <v>31</v>
      </c>
      <c r="AL118">
        <v>2</v>
      </c>
      <c r="AQ118">
        <v>7623</v>
      </c>
      <c r="AR118">
        <v>1412</v>
      </c>
    </row>
    <row r="119" spans="2:44">
      <c r="B119" t="s">
        <v>81</v>
      </c>
      <c r="P119">
        <v>6657</v>
      </c>
      <c r="Q119">
        <v>7094</v>
      </c>
      <c r="R119">
        <v>8772</v>
      </c>
      <c r="S119">
        <v>9767</v>
      </c>
      <c r="T119">
        <v>7634</v>
      </c>
      <c r="U119">
        <v>1677</v>
      </c>
      <c r="V119">
        <v>526</v>
      </c>
      <c r="W119" s="1">
        <f>9306+1009</f>
        <v>10315</v>
      </c>
      <c r="X119" s="1">
        <v>4665</v>
      </c>
      <c r="Y119">
        <v>210</v>
      </c>
      <c r="Z119" s="1">
        <v>2089</v>
      </c>
      <c r="AA119" s="1">
        <v>3790</v>
      </c>
      <c r="AB119">
        <v>4498</v>
      </c>
      <c r="AC119">
        <v>28056</v>
      </c>
      <c r="AD119" s="3">
        <v>82813</v>
      </c>
      <c r="AE119">
        <v>186814</v>
      </c>
      <c r="AF119">
        <v>138272</v>
      </c>
      <c r="AG119">
        <v>95421</v>
      </c>
      <c r="AH119">
        <v>83451</v>
      </c>
      <c r="AI119">
        <v>89998</v>
      </c>
      <c r="AJ119">
        <v>1</v>
      </c>
      <c r="AN119">
        <v>4609</v>
      </c>
      <c r="AQ119">
        <v>1250242</v>
      </c>
      <c r="AR119">
        <v>2895027</v>
      </c>
    </row>
    <row r="120" spans="2:44">
      <c r="B120" t="s">
        <v>100</v>
      </c>
      <c r="AA120" s="1">
        <v>9</v>
      </c>
      <c r="AB120">
        <v>3</v>
      </c>
      <c r="AD120" s="3"/>
      <c r="AF120">
        <v>1</v>
      </c>
      <c r="AG120">
        <v>2</v>
      </c>
      <c r="AH120">
        <v>984</v>
      </c>
      <c r="AN120">
        <v>1</v>
      </c>
      <c r="AQ120">
        <v>315</v>
      </c>
    </row>
    <row r="121" spans="2:44">
      <c r="B121" t="s">
        <v>106</v>
      </c>
      <c r="AA121" s="1">
        <v>12</v>
      </c>
      <c r="AB121">
        <v>350</v>
      </c>
      <c r="AC121">
        <v>90</v>
      </c>
      <c r="AD121" s="3">
        <v>9509</v>
      </c>
      <c r="AE121">
        <v>3852</v>
      </c>
      <c r="AF121">
        <v>4420</v>
      </c>
      <c r="AG121">
        <v>1700</v>
      </c>
      <c r="AH121">
        <v>5363</v>
      </c>
      <c r="AI121">
        <v>30011</v>
      </c>
      <c r="AJ121">
        <v>21</v>
      </c>
      <c r="AK121">
        <v>14</v>
      </c>
      <c r="AL121">
        <v>282</v>
      </c>
      <c r="AM121">
        <v>66</v>
      </c>
      <c r="AN121">
        <v>1177</v>
      </c>
      <c r="AQ121">
        <v>38214</v>
      </c>
      <c r="AR121">
        <v>345884</v>
      </c>
    </row>
    <row r="122" spans="2:44">
      <c r="B122" t="s">
        <v>143</v>
      </c>
      <c r="AA122" s="1">
        <v>115</v>
      </c>
      <c r="AB122">
        <v>759</v>
      </c>
      <c r="AC122">
        <v>713</v>
      </c>
      <c r="AD122" s="3">
        <v>3571</v>
      </c>
      <c r="AE122">
        <v>6203</v>
      </c>
      <c r="AF122">
        <v>6250</v>
      </c>
      <c r="AG122">
        <v>8037</v>
      </c>
      <c r="AH122">
        <v>4491</v>
      </c>
      <c r="AI122">
        <v>135</v>
      </c>
      <c r="AJ122">
        <v>222</v>
      </c>
      <c r="AK122">
        <v>24</v>
      </c>
      <c r="AL122">
        <v>35</v>
      </c>
      <c r="AQ122">
        <v>2595</v>
      </c>
      <c r="AR122">
        <v>19</v>
      </c>
    </row>
    <row r="123" spans="2:44">
      <c r="B123" t="s">
        <v>144</v>
      </c>
      <c r="AA123" s="1">
        <v>313</v>
      </c>
      <c r="AB123">
        <v>454</v>
      </c>
      <c r="AC123">
        <v>942</v>
      </c>
      <c r="AD123" s="3">
        <v>1445</v>
      </c>
      <c r="AE123">
        <v>1009</v>
      </c>
      <c r="AF123">
        <v>1613</v>
      </c>
      <c r="AG123">
        <v>287</v>
      </c>
      <c r="AH123">
        <v>372</v>
      </c>
      <c r="AI123">
        <v>621</v>
      </c>
      <c r="AJ123">
        <v>1626</v>
      </c>
      <c r="AK123">
        <v>350</v>
      </c>
      <c r="AL123">
        <v>282</v>
      </c>
      <c r="AM123">
        <v>5</v>
      </c>
      <c r="AN123">
        <v>140158</v>
      </c>
      <c r="AQ123">
        <v>337322</v>
      </c>
      <c r="AR123">
        <v>747307</v>
      </c>
    </row>
    <row r="124" spans="2:44">
      <c r="B124" t="s">
        <v>116</v>
      </c>
      <c r="AB124">
        <v>5</v>
      </c>
      <c r="AC124">
        <v>2</v>
      </c>
      <c r="AD124" s="3">
        <v>2</v>
      </c>
      <c r="AQ124">
        <v>300</v>
      </c>
    </row>
    <row r="125" spans="2:44">
      <c r="B125" t="s">
        <v>147</v>
      </c>
      <c r="Y125">
        <v>31</v>
      </c>
      <c r="Z125" s="1">
        <v>18</v>
      </c>
      <c r="AA125" s="1">
        <v>82</v>
      </c>
      <c r="AB125">
        <v>110</v>
      </c>
      <c r="AC125">
        <v>123</v>
      </c>
      <c r="AD125" s="3">
        <v>22</v>
      </c>
      <c r="AE125">
        <v>11</v>
      </c>
      <c r="AF125">
        <v>81</v>
      </c>
      <c r="AG125">
        <v>34</v>
      </c>
      <c r="AH125">
        <v>4</v>
      </c>
      <c r="AI125">
        <v>21</v>
      </c>
      <c r="AQ125">
        <v>229</v>
      </c>
    </row>
    <row r="126" spans="2:44">
      <c r="B126" t="s">
        <v>148</v>
      </c>
      <c r="Y126">
        <v>82</v>
      </c>
      <c r="Z126" s="1">
        <v>117</v>
      </c>
      <c r="AA126" s="1">
        <v>21</v>
      </c>
      <c r="AB126">
        <v>62</v>
      </c>
      <c r="AC126">
        <v>52</v>
      </c>
      <c r="AD126" s="3">
        <v>154</v>
      </c>
      <c r="AE126">
        <v>116</v>
      </c>
      <c r="AF126">
        <v>244</v>
      </c>
      <c r="AG126">
        <v>400</v>
      </c>
      <c r="AH126">
        <v>810</v>
      </c>
      <c r="AI126">
        <v>4430</v>
      </c>
      <c r="AK126">
        <v>1</v>
      </c>
      <c r="AQ126">
        <v>113</v>
      </c>
      <c r="AR126">
        <v>654</v>
      </c>
    </row>
    <row r="127" spans="2:44">
      <c r="B127" t="s">
        <v>149</v>
      </c>
      <c r="AA127" s="1">
        <v>21</v>
      </c>
      <c r="AB127">
        <v>14</v>
      </c>
      <c r="AC127">
        <v>17</v>
      </c>
      <c r="AD127" s="3">
        <v>23</v>
      </c>
      <c r="AE127">
        <v>1865</v>
      </c>
      <c r="AF127">
        <v>48</v>
      </c>
      <c r="AG127">
        <v>19</v>
      </c>
      <c r="AH127">
        <v>70</v>
      </c>
      <c r="AI127">
        <v>25</v>
      </c>
      <c r="AQ127">
        <v>1125</v>
      </c>
      <c r="AR127">
        <v>570</v>
      </c>
    </row>
    <row r="128" spans="2:44">
      <c r="B128" t="s">
        <v>150</v>
      </c>
      <c r="AB128">
        <v>45</v>
      </c>
      <c r="AC128">
        <v>1221</v>
      </c>
      <c r="AD128" s="3">
        <v>1222</v>
      </c>
      <c r="AE128">
        <v>9</v>
      </c>
      <c r="AF128">
        <v>145</v>
      </c>
      <c r="AG128">
        <v>75</v>
      </c>
      <c r="AH128">
        <v>19</v>
      </c>
      <c r="AI128">
        <v>1</v>
      </c>
      <c r="AJ128">
        <v>2</v>
      </c>
      <c r="AK128">
        <v>3</v>
      </c>
      <c r="AR128">
        <v>1</v>
      </c>
    </row>
    <row r="129" spans="2:44">
      <c r="B129" t="s">
        <v>170</v>
      </c>
      <c r="N129">
        <f>8423+81581</f>
        <v>90004</v>
      </c>
      <c r="O129">
        <f>15175+225562</f>
        <v>240737</v>
      </c>
      <c r="AD129" s="3"/>
    </row>
    <row r="130" spans="2:44">
      <c r="B130" t="s">
        <v>167</v>
      </c>
      <c r="N130">
        <f>169+9350</f>
        <v>9519</v>
      </c>
      <c r="O130">
        <f>1855+14376</f>
        <v>16231</v>
      </c>
      <c r="AD130" s="3"/>
    </row>
    <row r="131" spans="2:44">
      <c r="B131" t="s">
        <v>151</v>
      </c>
      <c r="AA131" s="1">
        <v>121870</v>
      </c>
      <c r="AB131">
        <v>99632</v>
      </c>
      <c r="AC131">
        <v>96693</v>
      </c>
      <c r="AD131" s="3">
        <v>82533</v>
      </c>
      <c r="AE131">
        <v>67632</v>
      </c>
      <c r="AF131">
        <v>116026</v>
      </c>
      <c r="AG131">
        <v>124772</v>
      </c>
      <c r="AH131">
        <v>297403</v>
      </c>
      <c r="AI131">
        <v>358255</v>
      </c>
      <c r="AJ131">
        <v>1065009</v>
      </c>
      <c r="AK131">
        <v>967635</v>
      </c>
      <c r="AL131">
        <v>766517</v>
      </c>
      <c r="AM131">
        <v>1871750</v>
      </c>
      <c r="AN131">
        <v>1636402</v>
      </c>
      <c r="AQ131">
        <v>1958124</v>
      </c>
      <c r="AR131">
        <v>2878184</v>
      </c>
    </row>
    <row r="132" spans="2:44">
      <c r="B132" t="s">
        <v>82</v>
      </c>
      <c r="N132">
        <f>570426+74253</f>
        <v>644679</v>
      </c>
      <c r="O132">
        <f>818700+46714</f>
        <v>865414</v>
      </c>
      <c r="P132">
        <v>78062</v>
      </c>
      <c r="Q132">
        <v>114528</v>
      </c>
      <c r="R132">
        <v>10530</v>
      </c>
      <c r="S132">
        <v>4832</v>
      </c>
      <c r="T132">
        <v>50193</v>
      </c>
      <c r="U132">
        <v>93315</v>
      </c>
      <c r="V132">
        <v>92822</v>
      </c>
      <c r="W132" s="1">
        <f>74146+321</f>
        <v>74467</v>
      </c>
      <c r="X132" s="1">
        <f>86428+13</f>
        <v>86441</v>
      </c>
      <c r="Y132">
        <v>59394</v>
      </c>
      <c r="Z132" s="1">
        <v>96202</v>
      </c>
    </row>
    <row r="133" spans="2:44">
      <c r="B133" t="s">
        <v>160</v>
      </c>
      <c r="AI133">
        <v>51970</v>
      </c>
      <c r="AJ133">
        <v>107498</v>
      </c>
      <c r="AK133">
        <v>329074</v>
      </c>
      <c r="AL133">
        <v>200923</v>
      </c>
      <c r="AM133">
        <v>516575</v>
      </c>
      <c r="AN133">
        <v>370732</v>
      </c>
    </row>
    <row r="135" spans="2:44">
      <c r="N135">
        <f t="shared" ref="N135:Q135" si="0">SUM(N4:N132)</f>
        <v>75888321</v>
      </c>
      <c r="O135">
        <f t="shared" si="0"/>
        <v>85467061</v>
      </c>
      <c r="P135">
        <f t="shared" si="0"/>
        <v>36356062</v>
      </c>
      <c r="Q135">
        <f t="shared" si="0"/>
        <v>48716418</v>
      </c>
      <c r="R135">
        <f t="shared" ref="R135:AC135" si="1">SUM(R4:R132)</f>
        <v>58387327</v>
      </c>
      <c r="S135">
        <f t="shared" si="1"/>
        <v>65733935</v>
      </c>
      <c r="T135">
        <f t="shared" si="1"/>
        <v>59198662</v>
      </c>
      <c r="U135">
        <f t="shared" si="1"/>
        <v>41759391</v>
      </c>
      <c r="V135">
        <f t="shared" si="1"/>
        <v>48340503</v>
      </c>
      <c r="W135" s="1">
        <f t="shared" si="1"/>
        <v>56165256</v>
      </c>
      <c r="X135" s="1">
        <f t="shared" si="1"/>
        <v>51751994</v>
      </c>
      <c r="Y135">
        <f t="shared" si="1"/>
        <v>31941592</v>
      </c>
      <c r="Z135" s="1">
        <f t="shared" si="1"/>
        <v>28073630</v>
      </c>
      <c r="AA135" s="1">
        <f t="shared" si="1"/>
        <v>26995301</v>
      </c>
      <c r="AB135">
        <f t="shared" si="1"/>
        <v>28848221</v>
      </c>
      <c r="AC135">
        <f t="shared" si="1"/>
        <v>31055759</v>
      </c>
      <c r="AD135">
        <f t="shared" ref="AD135:AF135" si="2">SUM(AD4:AD134)</f>
        <v>35693162</v>
      </c>
      <c r="AE135">
        <f t="shared" si="2"/>
        <v>32978400</v>
      </c>
      <c r="AF135">
        <f t="shared" si="2"/>
        <v>39759066</v>
      </c>
      <c r="AG135">
        <f>SUM(AG4:AG134)</f>
        <v>29342485</v>
      </c>
      <c r="AH135">
        <f t="shared" ref="AH135:AR135" si="3">SUM(AH4:AH134)</f>
        <v>34080706</v>
      </c>
      <c r="AI135">
        <f t="shared" si="3"/>
        <v>27811431</v>
      </c>
      <c r="AJ135">
        <f t="shared" si="3"/>
        <v>22122484</v>
      </c>
      <c r="AK135">
        <f t="shared" si="3"/>
        <v>18748091</v>
      </c>
      <c r="AL135">
        <f t="shared" si="3"/>
        <v>25030284</v>
      </c>
      <c r="AM135">
        <f t="shared" si="3"/>
        <v>26945059</v>
      </c>
      <c r="AN135">
        <f t="shared" si="3"/>
        <v>41629998</v>
      </c>
      <c r="AO135">
        <f t="shared" si="3"/>
        <v>1196322</v>
      </c>
      <c r="AP135">
        <f t="shared" si="3"/>
        <v>1693366</v>
      </c>
      <c r="AQ135">
        <f t="shared" si="3"/>
        <v>138285380</v>
      </c>
      <c r="AR135">
        <f t="shared" si="3"/>
        <v>133253300</v>
      </c>
    </row>
    <row r="137" spans="2:44">
      <c r="N137">
        <f>74856245+1032076-N135</f>
        <v>0</v>
      </c>
      <c r="O137">
        <f>84515940+951121-O135</f>
        <v>0</v>
      </c>
      <c r="P137">
        <f>36356062-P135</f>
        <v>0</v>
      </c>
      <c r="Q137">
        <f>48716418-Q135</f>
        <v>0</v>
      </c>
      <c r="R137">
        <f>58387327-R135</f>
        <v>0</v>
      </c>
      <c r="S137">
        <f>65733935-S135</f>
        <v>0</v>
      </c>
      <c r="T137">
        <f>59198662-T135</f>
        <v>0</v>
      </c>
      <c r="U137">
        <f>41759391-U135</f>
        <v>0</v>
      </c>
      <c r="V137">
        <f>48340503-V135</f>
        <v>0</v>
      </c>
      <c r="W137" s="1">
        <f>55819007+346249-W135</f>
        <v>0</v>
      </c>
      <c r="X137" s="1">
        <f>51400078+351916-X135</f>
        <v>0</v>
      </c>
      <c r="Y137">
        <f>31629313+312279-Y135</f>
        <v>0</v>
      </c>
      <c r="Z137" s="1">
        <f>27825774+247856-Z135</f>
        <v>0</v>
      </c>
      <c r="AA137" s="1">
        <f>26995301-AA135</f>
        <v>0</v>
      </c>
      <c r="AB137">
        <f>28848221-AB135</f>
        <v>0</v>
      </c>
      <c r="AC137">
        <f>31055759-AC135</f>
        <v>0</v>
      </c>
      <c r="AD137" s="1">
        <f>35693162-AD135</f>
        <v>0</v>
      </c>
      <c r="AE137">
        <f>32978400-AE135</f>
        <v>0</v>
      </c>
      <c r="AF137">
        <f>39759066-AF135</f>
        <v>0</v>
      </c>
      <c r="AG137">
        <f>29342485-AG135</f>
        <v>0</v>
      </c>
      <c r="AH137">
        <f>34080706-AH135</f>
        <v>0</v>
      </c>
      <c r="AI137">
        <f>27811431-AI135</f>
        <v>0</v>
      </c>
      <c r="AJ137">
        <f>22122484-AJ135</f>
        <v>0</v>
      </c>
      <c r="AK137">
        <f>18748091-AK135</f>
        <v>0</v>
      </c>
      <c r="AL137">
        <f>25030284-AL135</f>
        <v>0</v>
      </c>
      <c r="AM137">
        <f>26945059-AM135</f>
        <v>0</v>
      </c>
      <c r="AN137">
        <f>41629998-AN135</f>
        <v>0</v>
      </c>
      <c r="AR137">
        <f>135874849-AR135</f>
        <v>2621549</v>
      </c>
    </row>
    <row r="139" spans="2:44">
      <c r="P139" t="s">
        <v>89</v>
      </c>
      <c r="R139" t="s">
        <v>87</v>
      </c>
      <c r="S139" t="s">
        <v>87</v>
      </c>
      <c r="T139" t="s">
        <v>87</v>
      </c>
      <c r="U139" t="s">
        <v>87</v>
      </c>
      <c r="V139" t="s">
        <v>87</v>
      </c>
    </row>
    <row r="141" spans="2:44">
      <c r="P141" t="s">
        <v>88</v>
      </c>
      <c r="R141" t="s">
        <v>88</v>
      </c>
      <c r="S141" t="s">
        <v>88</v>
      </c>
      <c r="T141" t="s">
        <v>88</v>
      </c>
      <c r="U141" t="s">
        <v>88</v>
      </c>
      <c r="V141" t="s">
        <v>88</v>
      </c>
    </row>
    <row r="143" spans="2:44">
      <c r="S143" t="s">
        <v>168</v>
      </c>
      <c r="T143" t="s">
        <v>168</v>
      </c>
      <c r="U143" t="s">
        <v>168</v>
      </c>
      <c r="V143" t="s">
        <v>168</v>
      </c>
      <c r="W143" t="s">
        <v>168</v>
      </c>
      <c r="X143" t="s">
        <v>168</v>
      </c>
      <c r="Y143" t="s">
        <v>168</v>
      </c>
      <c r="Z143" t="s">
        <v>168</v>
      </c>
      <c r="AA143" t="s">
        <v>168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136"/>
  <sheetViews>
    <sheetView workbookViewId="0">
      <pane xSplit="3" ySplit="3" topLeftCell="N97" activePane="bottomRight" state="frozen"/>
      <selection activeCell="A54" sqref="A54:XFD54"/>
      <selection pane="topRight" activeCell="A54" sqref="A54:XFD54"/>
      <selection pane="bottomLeft" activeCell="A54" sqref="A54:XFD54"/>
      <selection pane="bottomRight" activeCell="B123" sqref="B123:B124"/>
    </sheetView>
  </sheetViews>
  <sheetFormatPr defaultRowHeight="15"/>
  <cols>
    <col min="2" max="2" width="12.85546875" customWidth="1"/>
    <col min="34" max="34" width="9.140625" style="1"/>
  </cols>
  <sheetData>
    <row r="1" spans="1:44">
      <c r="C1" t="s">
        <v>0</v>
      </c>
      <c r="D1" t="s">
        <v>1</v>
      </c>
      <c r="E1">
        <v>1910</v>
      </c>
      <c r="F1">
        <v>1911</v>
      </c>
      <c r="G1">
        <v>1912</v>
      </c>
      <c r="H1">
        <v>1913</v>
      </c>
      <c r="I1">
        <v>1914</v>
      </c>
      <c r="J1">
        <v>1915</v>
      </c>
      <c r="K1">
        <v>1916</v>
      </c>
      <c r="L1">
        <v>1917</v>
      </c>
      <c r="M1">
        <v>1918</v>
      </c>
      <c r="N1">
        <v>1919</v>
      </c>
      <c r="O1">
        <v>1920</v>
      </c>
      <c r="P1">
        <v>1921</v>
      </c>
      <c r="Q1" s="1">
        <v>1922</v>
      </c>
      <c r="R1">
        <v>1923</v>
      </c>
      <c r="S1" s="1">
        <v>1924</v>
      </c>
      <c r="T1">
        <v>1925</v>
      </c>
      <c r="U1" s="1">
        <v>1926</v>
      </c>
      <c r="V1">
        <v>1927</v>
      </c>
      <c r="W1">
        <v>1928</v>
      </c>
      <c r="X1">
        <v>1929</v>
      </c>
      <c r="Y1">
        <v>1930</v>
      </c>
      <c r="Z1">
        <v>1931</v>
      </c>
      <c r="AA1">
        <v>1932</v>
      </c>
      <c r="AB1">
        <v>1933</v>
      </c>
      <c r="AC1">
        <v>1934</v>
      </c>
      <c r="AD1">
        <v>1935</v>
      </c>
      <c r="AE1">
        <v>1936</v>
      </c>
      <c r="AF1">
        <v>1937</v>
      </c>
      <c r="AG1">
        <v>1938</v>
      </c>
      <c r="AH1" s="1">
        <v>1939</v>
      </c>
      <c r="AI1">
        <v>1940</v>
      </c>
      <c r="AJ1">
        <v>1941</v>
      </c>
      <c r="AK1">
        <v>1942</v>
      </c>
      <c r="AL1">
        <v>1943</v>
      </c>
      <c r="AM1">
        <v>1944</v>
      </c>
      <c r="AN1">
        <v>1945</v>
      </c>
      <c r="AO1">
        <v>1946</v>
      </c>
      <c r="AP1">
        <v>1947</v>
      </c>
      <c r="AQ1">
        <v>1948</v>
      </c>
      <c r="AR1">
        <v>1949</v>
      </c>
    </row>
    <row r="2" spans="1:44">
      <c r="Q2" s="1"/>
      <c r="S2" s="1"/>
      <c r="U2" s="1"/>
    </row>
    <row r="3" spans="1:44"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  <c r="AA3" t="s">
        <v>83</v>
      </c>
    </row>
    <row r="4" spans="1:44">
      <c r="A4" t="s">
        <v>2</v>
      </c>
      <c r="B4" t="s">
        <v>3</v>
      </c>
      <c r="N4">
        <v>184625</v>
      </c>
      <c r="O4">
        <v>231657</v>
      </c>
      <c r="P4">
        <v>885369</v>
      </c>
      <c r="Q4">
        <v>395350</v>
      </c>
      <c r="R4">
        <v>156003</v>
      </c>
      <c r="S4">
        <v>214307</v>
      </c>
      <c r="T4">
        <v>160553</v>
      </c>
      <c r="U4">
        <v>290808</v>
      </c>
      <c r="V4">
        <v>112290</v>
      </c>
      <c r="W4">
        <v>130733</v>
      </c>
      <c r="X4">
        <v>139095</v>
      </c>
      <c r="Y4">
        <v>69240</v>
      </c>
      <c r="Z4">
        <v>58158</v>
      </c>
      <c r="AA4">
        <v>98637</v>
      </c>
      <c r="AB4">
        <v>83974</v>
      </c>
      <c r="AC4">
        <v>64285</v>
      </c>
      <c r="AD4">
        <v>58794</v>
      </c>
      <c r="AE4">
        <v>49877</v>
      </c>
      <c r="AF4">
        <v>110780</v>
      </c>
      <c r="AG4">
        <v>70695</v>
      </c>
      <c r="AH4" s="1">
        <v>45360</v>
      </c>
      <c r="AI4">
        <v>15800</v>
      </c>
      <c r="AJ4">
        <v>3861</v>
      </c>
      <c r="AK4">
        <v>9166</v>
      </c>
      <c r="AL4">
        <v>10848</v>
      </c>
      <c r="AM4">
        <v>3498</v>
      </c>
      <c r="AN4">
        <v>7140</v>
      </c>
    </row>
    <row r="5" spans="1:44">
      <c r="B5" t="s">
        <v>4</v>
      </c>
      <c r="P5">
        <v>103154</v>
      </c>
      <c r="Q5">
        <v>87109</v>
      </c>
      <c r="R5">
        <v>62926</v>
      </c>
      <c r="S5">
        <v>78429</v>
      </c>
      <c r="T5">
        <v>69003</v>
      </c>
      <c r="U5">
        <v>57768</v>
      </c>
      <c r="V5">
        <v>63692</v>
      </c>
      <c r="W5">
        <v>57881</v>
      </c>
      <c r="X5">
        <v>79825</v>
      </c>
      <c r="Y5">
        <v>42268</v>
      </c>
      <c r="Z5">
        <v>13540</v>
      </c>
      <c r="AA5">
        <v>12719</v>
      </c>
      <c r="AB5">
        <v>11952</v>
      </c>
      <c r="AC5">
        <v>13002</v>
      </c>
      <c r="AD5">
        <v>12961</v>
      </c>
      <c r="AE5">
        <v>11515</v>
      </c>
      <c r="AF5">
        <v>15550</v>
      </c>
      <c r="AG5">
        <v>14582</v>
      </c>
      <c r="AH5" s="1">
        <v>14090</v>
      </c>
      <c r="AI5">
        <v>8907</v>
      </c>
      <c r="AJ5">
        <v>15964</v>
      </c>
      <c r="AK5">
        <v>26926</v>
      </c>
      <c r="AL5">
        <v>24851</v>
      </c>
      <c r="AM5">
        <v>165720</v>
      </c>
      <c r="AN5">
        <v>143138</v>
      </c>
    </row>
    <row r="6" spans="1:44">
      <c r="B6" t="s">
        <v>5</v>
      </c>
      <c r="P6">
        <v>753</v>
      </c>
      <c r="Q6">
        <v>890</v>
      </c>
      <c r="R6">
        <v>949</v>
      </c>
      <c r="S6">
        <v>3753</v>
      </c>
      <c r="T6">
        <v>541</v>
      </c>
      <c r="U6">
        <v>1154</v>
      </c>
      <c r="V6">
        <v>682</v>
      </c>
      <c r="W6">
        <v>828</v>
      </c>
      <c r="X6">
        <v>325</v>
      </c>
      <c r="Y6">
        <v>13</v>
      </c>
      <c r="Z6">
        <v>12</v>
      </c>
      <c r="AA6">
        <v>202</v>
      </c>
      <c r="AB6">
        <v>221</v>
      </c>
      <c r="AC6">
        <v>169</v>
      </c>
      <c r="AD6">
        <v>307</v>
      </c>
      <c r="AE6">
        <v>84</v>
      </c>
      <c r="AF6">
        <v>2635</v>
      </c>
      <c r="AG6">
        <v>17837</v>
      </c>
      <c r="AH6" s="1">
        <v>1452</v>
      </c>
      <c r="AI6">
        <v>208</v>
      </c>
      <c r="AK6">
        <v>76</v>
      </c>
      <c r="AL6">
        <v>42</v>
      </c>
      <c r="AM6">
        <v>1</v>
      </c>
      <c r="AN6">
        <v>888</v>
      </c>
    </row>
    <row r="7" spans="1:44">
      <c r="B7" t="s">
        <v>6</v>
      </c>
      <c r="P7">
        <v>60483</v>
      </c>
      <c r="Q7">
        <v>24164</v>
      </c>
      <c r="R7">
        <v>9904</v>
      </c>
      <c r="S7">
        <v>2052</v>
      </c>
      <c r="T7">
        <v>7210</v>
      </c>
      <c r="U7">
        <v>1486</v>
      </c>
      <c r="V7">
        <v>2255</v>
      </c>
      <c r="W7">
        <v>844</v>
      </c>
      <c r="X7">
        <v>1305</v>
      </c>
      <c r="Y7">
        <v>1449</v>
      </c>
      <c r="Z7">
        <v>753</v>
      </c>
      <c r="AA7">
        <v>1592</v>
      </c>
      <c r="AB7">
        <v>811</v>
      </c>
      <c r="AC7">
        <v>542</v>
      </c>
      <c r="AD7">
        <v>1578</v>
      </c>
      <c r="AE7">
        <v>1698</v>
      </c>
      <c r="AF7">
        <v>1955</v>
      </c>
      <c r="AG7">
        <v>1374</v>
      </c>
      <c r="AH7" s="1">
        <v>1829</v>
      </c>
      <c r="AI7">
        <v>1394</v>
      </c>
      <c r="AJ7">
        <v>9</v>
      </c>
      <c r="AK7">
        <v>34</v>
      </c>
      <c r="AL7">
        <v>1773</v>
      </c>
      <c r="AM7">
        <v>5171</v>
      </c>
      <c r="AN7">
        <v>4665</v>
      </c>
    </row>
    <row r="8" spans="1:44">
      <c r="B8" t="s">
        <v>7</v>
      </c>
      <c r="P8">
        <v>6121</v>
      </c>
      <c r="Q8">
        <v>5517</v>
      </c>
      <c r="R8">
        <v>3757</v>
      </c>
      <c r="S8">
        <v>7742</v>
      </c>
      <c r="T8">
        <v>3175</v>
      </c>
      <c r="U8">
        <v>6685</v>
      </c>
      <c r="V8">
        <v>10073</v>
      </c>
      <c r="W8">
        <v>4546</v>
      </c>
      <c r="X8">
        <v>4162</v>
      </c>
      <c r="Y8">
        <v>2920</v>
      </c>
      <c r="Z8">
        <v>2407</v>
      </c>
      <c r="AA8">
        <v>6831</v>
      </c>
      <c r="AB8">
        <v>4224</v>
      </c>
      <c r="AC8">
        <v>7386</v>
      </c>
      <c r="AD8">
        <v>7955</v>
      </c>
      <c r="AE8">
        <v>8314</v>
      </c>
      <c r="AF8">
        <v>8425</v>
      </c>
      <c r="AG8">
        <v>9941</v>
      </c>
      <c r="AH8" s="1">
        <v>9430</v>
      </c>
      <c r="AI8">
        <v>13390</v>
      </c>
      <c r="AJ8">
        <v>3858</v>
      </c>
      <c r="AK8">
        <v>6662</v>
      </c>
      <c r="AL8">
        <v>10741</v>
      </c>
      <c r="AM8">
        <v>190376</v>
      </c>
      <c r="AN8">
        <v>92188</v>
      </c>
    </row>
    <row r="9" spans="1:44">
      <c r="B9" t="s">
        <v>8</v>
      </c>
      <c r="Q9">
        <v>40</v>
      </c>
      <c r="S9">
        <v>1</v>
      </c>
      <c r="W9">
        <v>6</v>
      </c>
      <c r="AA9">
        <v>1</v>
      </c>
      <c r="AE9">
        <v>8</v>
      </c>
      <c r="AG9">
        <v>1</v>
      </c>
      <c r="AH9" s="1">
        <v>7</v>
      </c>
    </row>
    <row r="10" spans="1:44">
      <c r="B10" t="s">
        <v>9</v>
      </c>
      <c r="N10">
        <v>27050</v>
      </c>
      <c r="O10">
        <v>20496</v>
      </c>
      <c r="P10">
        <v>9486</v>
      </c>
      <c r="Q10">
        <v>8530</v>
      </c>
      <c r="R10">
        <v>6108</v>
      </c>
      <c r="S10">
        <v>12941</v>
      </c>
      <c r="T10">
        <v>6269</v>
      </c>
      <c r="U10">
        <v>5313</v>
      </c>
      <c r="V10">
        <v>4640</v>
      </c>
      <c r="W10">
        <v>32718</v>
      </c>
      <c r="X10">
        <v>16533</v>
      </c>
      <c r="Y10">
        <v>8488</v>
      </c>
      <c r="Z10">
        <v>30657</v>
      </c>
      <c r="AA10">
        <v>9821</v>
      </c>
      <c r="AB10">
        <v>15256</v>
      </c>
      <c r="AC10">
        <v>11955</v>
      </c>
      <c r="AD10">
        <v>18614</v>
      </c>
      <c r="AE10">
        <v>4636</v>
      </c>
      <c r="AF10">
        <v>6026</v>
      </c>
      <c r="AG10">
        <v>5286</v>
      </c>
      <c r="AH10" s="1">
        <v>4471</v>
      </c>
      <c r="AI10">
        <v>46463</v>
      </c>
      <c r="AJ10">
        <v>11523</v>
      </c>
      <c r="AK10">
        <v>11022</v>
      </c>
      <c r="AL10">
        <v>1833</v>
      </c>
      <c r="AM10">
        <v>33623</v>
      </c>
      <c r="AN10">
        <v>190217</v>
      </c>
    </row>
    <row r="11" spans="1:44">
      <c r="B11" t="s">
        <v>134</v>
      </c>
      <c r="AG11">
        <v>20</v>
      </c>
      <c r="AH11" s="1">
        <v>14</v>
      </c>
      <c r="AI11">
        <v>2</v>
      </c>
      <c r="AK11">
        <v>32</v>
      </c>
      <c r="AN11">
        <v>755</v>
      </c>
    </row>
    <row r="12" spans="1:44">
      <c r="B12" t="s">
        <v>10</v>
      </c>
      <c r="P12">
        <v>528</v>
      </c>
      <c r="Q12">
        <v>989</v>
      </c>
      <c r="R12">
        <v>1426</v>
      </c>
      <c r="S12">
        <v>1286</v>
      </c>
      <c r="T12">
        <v>5616</v>
      </c>
      <c r="U12">
        <v>2955</v>
      </c>
      <c r="V12">
        <v>2374</v>
      </c>
      <c r="W12">
        <v>1116</v>
      </c>
      <c r="X12">
        <v>774</v>
      </c>
      <c r="Y12">
        <v>419</v>
      </c>
      <c r="Z12">
        <v>202</v>
      </c>
      <c r="AA12">
        <v>252</v>
      </c>
      <c r="AB12">
        <v>847</v>
      </c>
      <c r="AC12">
        <v>364</v>
      </c>
      <c r="AD12">
        <v>418</v>
      </c>
      <c r="AE12">
        <v>571</v>
      </c>
      <c r="AF12">
        <v>3901</v>
      </c>
      <c r="AG12">
        <v>366</v>
      </c>
      <c r="AH12" s="1">
        <v>682</v>
      </c>
      <c r="AI12">
        <v>17891</v>
      </c>
      <c r="AJ12">
        <v>17633</v>
      </c>
      <c r="AK12">
        <v>61</v>
      </c>
      <c r="AM12">
        <v>116263</v>
      </c>
      <c r="AN12">
        <v>217617</v>
      </c>
    </row>
    <row r="13" spans="1:44">
      <c r="B13" t="s">
        <v>11</v>
      </c>
      <c r="P13">
        <v>8</v>
      </c>
      <c r="Q13">
        <v>52</v>
      </c>
      <c r="R13">
        <v>29</v>
      </c>
      <c r="S13">
        <v>169</v>
      </c>
      <c r="T13">
        <v>178</v>
      </c>
      <c r="U13">
        <v>416</v>
      </c>
      <c r="V13">
        <v>464</v>
      </c>
      <c r="W13">
        <v>347</v>
      </c>
      <c r="X13">
        <v>204</v>
      </c>
      <c r="Y13">
        <v>87</v>
      </c>
      <c r="Z13">
        <v>85</v>
      </c>
      <c r="AA13">
        <v>63</v>
      </c>
      <c r="AB13">
        <v>71</v>
      </c>
      <c r="AC13">
        <v>414</v>
      </c>
      <c r="AD13">
        <v>54</v>
      </c>
      <c r="AE13">
        <v>90</v>
      </c>
      <c r="AF13">
        <v>646</v>
      </c>
      <c r="AG13">
        <v>23</v>
      </c>
      <c r="AH13" s="1">
        <v>613</v>
      </c>
      <c r="AI13">
        <v>104</v>
      </c>
    </row>
    <row r="14" spans="1:44">
      <c r="B14" t="s">
        <v>12</v>
      </c>
      <c r="P14">
        <v>38661</v>
      </c>
      <c r="Q14">
        <v>8083</v>
      </c>
      <c r="R14">
        <v>4164</v>
      </c>
      <c r="S14">
        <v>1650</v>
      </c>
      <c r="T14">
        <v>1931</v>
      </c>
      <c r="U14">
        <v>1764</v>
      </c>
      <c r="V14">
        <v>2203</v>
      </c>
      <c r="W14">
        <v>2422</v>
      </c>
      <c r="X14">
        <v>2046</v>
      </c>
      <c r="Y14">
        <v>1037</v>
      </c>
      <c r="Z14">
        <v>1314</v>
      </c>
      <c r="AA14">
        <v>781</v>
      </c>
      <c r="AB14">
        <v>1533</v>
      </c>
      <c r="AC14">
        <v>2451</v>
      </c>
      <c r="AD14">
        <v>5955</v>
      </c>
      <c r="AE14">
        <v>1008</v>
      </c>
      <c r="AF14">
        <v>797</v>
      </c>
      <c r="AG14">
        <v>944</v>
      </c>
      <c r="AH14" s="1">
        <v>237</v>
      </c>
      <c r="AI14">
        <v>307</v>
      </c>
      <c r="AJ14">
        <v>245</v>
      </c>
      <c r="AN14">
        <v>21527</v>
      </c>
    </row>
    <row r="15" spans="1:44">
      <c r="B15" t="s">
        <v>13</v>
      </c>
      <c r="Q15">
        <v>35</v>
      </c>
      <c r="T15">
        <v>7</v>
      </c>
      <c r="Z15">
        <v>12</v>
      </c>
      <c r="AB15">
        <v>7</v>
      </c>
      <c r="AC15">
        <v>1</v>
      </c>
      <c r="AD15">
        <v>8</v>
      </c>
      <c r="AE15">
        <v>13</v>
      </c>
      <c r="AF15">
        <v>7</v>
      </c>
      <c r="AG15">
        <v>13</v>
      </c>
      <c r="AI15">
        <v>13</v>
      </c>
    </row>
    <row r="16" spans="1:44">
      <c r="B16" t="s">
        <v>90</v>
      </c>
      <c r="P16">
        <v>2</v>
      </c>
    </row>
    <row r="17" spans="2:40">
      <c r="B17" t="s">
        <v>14</v>
      </c>
      <c r="P17">
        <v>218</v>
      </c>
      <c r="Q17">
        <v>53</v>
      </c>
      <c r="R17">
        <v>15</v>
      </c>
      <c r="S17">
        <v>8</v>
      </c>
      <c r="T17">
        <v>2</v>
      </c>
      <c r="U17">
        <v>21</v>
      </c>
      <c r="V17">
        <v>9</v>
      </c>
      <c r="W17">
        <v>32</v>
      </c>
      <c r="X17">
        <v>46</v>
      </c>
    </row>
    <row r="18" spans="2:40">
      <c r="B18" t="s">
        <v>15</v>
      </c>
      <c r="N18">
        <v>89</v>
      </c>
      <c r="O18">
        <v>709</v>
      </c>
      <c r="P18">
        <v>176</v>
      </c>
      <c r="Q18">
        <v>136</v>
      </c>
      <c r="R18">
        <v>111</v>
      </c>
      <c r="S18">
        <v>148</v>
      </c>
      <c r="T18">
        <v>86</v>
      </c>
      <c r="U18">
        <v>275</v>
      </c>
      <c r="V18">
        <v>234</v>
      </c>
      <c r="W18">
        <v>134</v>
      </c>
      <c r="X18">
        <v>196</v>
      </c>
      <c r="Y18">
        <v>98</v>
      </c>
      <c r="Z18">
        <v>48</v>
      </c>
      <c r="AA18">
        <v>48</v>
      </c>
      <c r="AB18">
        <v>19</v>
      </c>
      <c r="AC18">
        <v>107</v>
      </c>
      <c r="AD18">
        <v>512</v>
      </c>
      <c r="AE18">
        <v>192</v>
      </c>
      <c r="AF18">
        <v>252</v>
      </c>
      <c r="AG18">
        <v>123</v>
      </c>
      <c r="AH18" s="1">
        <v>267</v>
      </c>
      <c r="AI18">
        <v>11</v>
      </c>
      <c r="AJ18">
        <v>12</v>
      </c>
      <c r="AK18">
        <v>12</v>
      </c>
      <c r="AN18">
        <v>20</v>
      </c>
    </row>
    <row r="19" spans="2:40">
      <c r="B19" t="s">
        <v>16</v>
      </c>
      <c r="P19">
        <v>1935</v>
      </c>
      <c r="Q19">
        <v>921</v>
      </c>
      <c r="R19">
        <v>1325</v>
      </c>
      <c r="S19">
        <v>2887</v>
      </c>
      <c r="T19">
        <v>2544</v>
      </c>
      <c r="U19">
        <v>3874</v>
      </c>
      <c r="V19">
        <v>4382</v>
      </c>
      <c r="W19">
        <v>3032</v>
      </c>
      <c r="X19">
        <v>3838</v>
      </c>
      <c r="Y19">
        <v>2207</v>
      </c>
      <c r="Z19">
        <v>741</v>
      </c>
      <c r="AA19">
        <v>3177</v>
      </c>
      <c r="AB19">
        <v>2566</v>
      </c>
      <c r="AC19">
        <v>488</v>
      </c>
      <c r="AD19">
        <v>741</v>
      </c>
      <c r="AE19">
        <v>1855</v>
      </c>
      <c r="AF19">
        <v>1807</v>
      </c>
      <c r="AG19">
        <v>1081</v>
      </c>
      <c r="AH19" s="1">
        <v>713</v>
      </c>
      <c r="AI19">
        <v>3552</v>
      </c>
      <c r="AJ19">
        <v>12103</v>
      </c>
      <c r="AK19">
        <v>1235</v>
      </c>
      <c r="AL19">
        <v>1426</v>
      </c>
      <c r="AM19">
        <v>52376</v>
      </c>
      <c r="AN19">
        <v>83802</v>
      </c>
    </row>
    <row r="20" spans="2:40">
      <c r="B20" t="s">
        <v>17</v>
      </c>
      <c r="P20">
        <v>753</v>
      </c>
      <c r="Q20">
        <v>430</v>
      </c>
      <c r="R20">
        <v>387</v>
      </c>
      <c r="S20">
        <v>434</v>
      </c>
      <c r="T20">
        <v>774</v>
      </c>
      <c r="U20">
        <v>1285</v>
      </c>
      <c r="V20">
        <v>1014</v>
      </c>
      <c r="W20">
        <v>1120</v>
      </c>
      <c r="X20">
        <v>1754</v>
      </c>
      <c r="Y20">
        <v>968</v>
      </c>
      <c r="Z20">
        <v>151</v>
      </c>
      <c r="AA20">
        <v>172</v>
      </c>
      <c r="AB20">
        <v>550</v>
      </c>
      <c r="AC20">
        <v>124</v>
      </c>
      <c r="AD20">
        <v>668</v>
      </c>
      <c r="AE20">
        <v>2661</v>
      </c>
      <c r="AF20">
        <v>686</v>
      </c>
      <c r="AG20">
        <v>444</v>
      </c>
      <c r="AH20" s="1">
        <v>1389</v>
      </c>
      <c r="AI20">
        <v>824</v>
      </c>
      <c r="AJ20">
        <v>214</v>
      </c>
      <c r="AK20">
        <v>1194</v>
      </c>
      <c r="AL20">
        <v>2245</v>
      </c>
      <c r="AM20">
        <v>4784</v>
      </c>
      <c r="AN20">
        <v>686</v>
      </c>
    </row>
    <row r="21" spans="2:40">
      <c r="B21" t="s">
        <v>18</v>
      </c>
      <c r="P21">
        <v>2007</v>
      </c>
      <c r="Q21">
        <v>635</v>
      </c>
      <c r="R21">
        <v>2525</v>
      </c>
      <c r="S21">
        <v>747</v>
      </c>
      <c r="T21">
        <v>1113</v>
      </c>
      <c r="U21">
        <v>633</v>
      </c>
      <c r="V21">
        <v>3511</v>
      </c>
      <c r="W21">
        <v>409</v>
      </c>
      <c r="X21">
        <v>217</v>
      </c>
      <c r="Y21">
        <v>412</v>
      </c>
      <c r="Z21">
        <v>2682</v>
      </c>
      <c r="AA21">
        <v>9285</v>
      </c>
      <c r="AB21">
        <v>693</v>
      </c>
      <c r="AC21">
        <v>666</v>
      </c>
      <c r="AD21">
        <v>256</v>
      </c>
      <c r="AE21">
        <v>4616</v>
      </c>
      <c r="AF21">
        <v>1836</v>
      </c>
      <c r="AG21">
        <v>608</v>
      </c>
      <c r="AH21" s="1">
        <v>264</v>
      </c>
      <c r="AI21">
        <v>1551</v>
      </c>
      <c r="AJ21">
        <v>2690</v>
      </c>
      <c r="AK21">
        <v>15204</v>
      </c>
      <c r="AL21">
        <v>15429</v>
      </c>
      <c r="AM21">
        <v>3397</v>
      </c>
      <c r="AN21">
        <v>2359</v>
      </c>
    </row>
    <row r="22" spans="2:40">
      <c r="B22" t="s">
        <v>124</v>
      </c>
      <c r="X22">
        <v>1282</v>
      </c>
      <c r="Y22">
        <v>686</v>
      </c>
      <c r="Z22">
        <v>246</v>
      </c>
      <c r="AA22">
        <v>682</v>
      </c>
      <c r="AB22">
        <v>368</v>
      </c>
      <c r="AC22">
        <v>483</v>
      </c>
      <c r="AD22">
        <v>345</v>
      </c>
      <c r="AE22">
        <v>221</v>
      </c>
      <c r="AF22">
        <v>496</v>
      </c>
      <c r="AG22">
        <v>336</v>
      </c>
      <c r="AH22" s="1">
        <v>432</v>
      </c>
      <c r="AI22">
        <v>1038</v>
      </c>
      <c r="AJ22">
        <v>988</v>
      </c>
      <c r="AK22">
        <v>387</v>
      </c>
      <c r="AL22">
        <v>159</v>
      </c>
      <c r="AM22">
        <v>7</v>
      </c>
      <c r="AN22">
        <v>61</v>
      </c>
    </row>
    <row r="23" spans="2:40">
      <c r="B23" t="s">
        <v>125</v>
      </c>
      <c r="X23">
        <v>97</v>
      </c>
      <c r="Y23">
        <v>1</v>
      </c>
      <c r="Z23">
        <v>4</v>
      </c>
      <c r="AA23">
        <v>6</v>
      </c>
      <c r="AB23">
        <v>5</v>
      </c>
      <c r="AC23">
        <v>18</v>
      </c>
      <c r="AD23">
        <v>20</v>
      </c>
      <c r="AE23">
        <v>19</v>
      </c>
      <c r="AF23">
        <v>74</v>
      </c>
      <c r="AG23">
        <v>31</v>
      </c>
      <c r="AH23" s="1">
        <v>23</v>
      </c>
      <c r="AI23">
        <v>739</v>
      </c>
      <c r="AJ23">
        <v>1439</v>
      </c>
      <c r="AK23">
        <v>706</v>
      </c>
      <c r="AL23">
        <v>140</v>
      </c>
    </row>
    <row r="24" spans="2:40">
      <c r="B24" t="s">
        <v>19</v>
      </c>
      <c r="N24">
        <v>5927</v>
      </c>
      <c r="O24">
        <v>1766</v>
      </c>
      <c r="P24">
        <v>978</v>
      </c>
      <c r="Q24">
        <v>2596</v>
      </c>
      <c r="R24">
        <v>1283</v>
      </c>
      <c r="S24">
        <v>1774</v>
      </c>
      <c r="T24">
        <v>1593</v>
      </c>
      <c r="U24">
        <v>603</v>
      </c>
      <c r="V24">
        <v>1281</v>
      </c>
      <c r="W24">
        <v>943</v>
      </c>
    </row>
    <row r="25" spans="2:40">
      <c r="B25" t="s">
        <v>20</v>
      </c>
      <c r="P25">
        <v>6</v>
      </c>
      <c r="V25">
        <v>6</v>
      </c>
      <c r="W25">
        <v>23</v>
      </c>
      <c r="X25">
        <v>33</v>
      </c>
    </row>
    <row r="26" spans="2:40">
      <c r="B26" t="s">
        <v>171</v>
      </c>
      <c r="N26">
        <v>94429</v>
      </c>
      <c r="O26">
        <v>94779</v>
      </c>
    </row>
    <row r="27" spans="2:40">
      <c r="B27" t="s">
        <v>172</v>
      </c>
      <c r="N27">
        <v>2935</v>
      </c>
      <c r="O27">
        <v>22743</v>
      </c>
    </row>
    <row r="28" spans="2:40">
      <c r="B28" t="s">
        <v>173</v>
      </c>
      <c r="N28">
        <v>1381</v>
      </c>
      <c r="O28">
        <v>6499</v>
      </c>
    </row>
    <row r="29" spans="2:40">
      <c r="B29" t="s">
        <v>21</v>
      </c>
      <c r="P29">
        <v>4699</v>
      </c>
      <c r="Q29">
        <v>7252</v>
      </c>
      <c r="R29">
        <v>12329</v>
      </c>
      <c r="S29">
        <v>15224</v>
      </c>
      <c r="T29">
        <v>8584</v>
      </c>
      <c r="U29">
        <v>2933</v>
      </c>
      <c r="V29">
        <v>2200</v>
      </c>
      <c r="W29">
        <v>2959</v>
      </c>
      <c r="X29">
        <v>2507</v>
      </c>
      <c r="Y29">
        <v>3046</v>
      </c>
      <c r="Z29">
        <v>687</v>
      </c>
      <c r="AA29">
        <v>527</v>
      </c>
      <c r="AB29">
        <v>579</v>
      </c>
      <c r="AC29">
        <v>2008</v>
      </c>
      <c r="AD29">
        <v>7205</v>
      </c>
      <c r="AE29">
        <v>2045</v>
      </c>
      <c r="AF29">
        <v>983</v>
      </c>
      <c r="AG29">
        <v>218</v>
      </c>
      <c r="AH29" s="1">
        <v>43</v>
      </c>
      <c r="AI29">
        <v>994</v>
      </c>
      <c r="AJ29">
        <v>301</v>
      </c>
      <c r="AK29">
        <v>1483</v>
      </c>
      <c r="AL29">
        <v>1248</v>
      </c>
      <c r="AM29">
        <v>5853</v>
      </c>
      <c r="AN29">
        <v>54556</v>
      </c>
    </row>
    <row r="30" spans="2:40">
      <c r="B30" t="s">
        <v>22</v>
      </c>
      <c r="Q30">
        <v>1</v>
      </c>
      <c r="R30">
        <v>22</v>
      </c>
      <c r="S30">
        <v>25</v>
      </c>
      <c r="T30">
        <v>41</v>
      </c>
      <c r="U30">
        <v>44</v>
      </c>
      <c r="V30">
        <v>66</v>
      </c>
      <c r="W30">
        <v>102</v>
      </c>
      <c r="X30">
        <v>267</v>
      </c>
      <c r="Y30">
        <v>705</v>
      </c>
      <c r="Z30">
        <v>5076</v>
      </c>
      <c r="AA30">
        <v>866</v>
      </c>
      <c r="AB30">
        <v>199</v>
      </c>
      <c r="AC30">
        <v>248</v>
      </c>
      <c r="AD30">
        <v>554</v>
      </c>
      <c r="AE30">
        <v>234</v>
      </c>
      <c r="AF30">
        <v>867</v>
      </c>
      <c r="AG30">
        <v>465</v>
      </c>
      <c r="AH30" s="1">
        <v>46</v>
      </c>
      <c r="AI30">
        <v>8</v>
      </c>
      <c r="AM30">
        <v>7</v>
      </c>
    </row>
    <row r="31" spans="2:40">
      <c r="B31" t="s">
        <v>23</v>
      </c>
      <c r="P31">
        <v>69707</v>
      </c>
      <c r="Q31">
        <v>34878</v>
      </c>
      <c r="R31">
        <v>33707</v>
      </c>
      <c r="S31">
        <v>30109</v>
      </c>
      <c r="T31">
        <v>14051</v>
      </c>
      <c r="U31">
        <v>46598</v>
      </c>
      <c r="V31">
        <v>79019</v>
      </c>
      <c r="W31">
        <v>63906</v>
      </c>
      <c r="X31">
        <v>44631</v>
      </c>
    </row>
    <row r="32" spans="2:40">
      <c r="B32" t="s">
        <v>24</v>
      </c>
      <c r="P32">
        <v>71</v>
      </c>
      <c r="Q32">
        <v>361</v>
      </c>
      <c r="R32">
        <v>1404</v>
      </c>
      <c r="S32">
        <v>622</v>
      </c>
      <c r="T32">
        <v>341</v>
      </c>
      <c r="U32">
        <v>137</v>
      </c>
      <c r="V32">
        <v>49</v>
      </c>
      <c r="W32">
        <v>34</v>
      </c>
      <c r="X32">
        <v>516</v>
      </c>
      <c r="Y32">
        <v>73</v>
      </c>
      <c r="Z32">
        <v>20</v>
      </c>
      <c r="AA32">
        <v>22</v>
      </c>
      <c r="AB32">
        <v>22</v>
      </c>
      <c r="AC32">
        <v>119</v>
      </c>
      <c r="AD32">
        <v>130</v>
      </c>
      <c r="AE32">
        <v>6</v>
      </c>
      <c r="AF32">
        <v>7</v>
      </c>
      <c r="AG32">
        <v>13</v>
      </c>
      <c r="AH32" s="1">
        <v>3765</v>
      </c>
    </row>
    <row r="33" spans="2:40">
      <c r="B33" t="s">
        <v>25</v>
      </c>
      <c r="O33">
        <v>3728</v>
      </c>
      <c r="P33">
        <v>3178</v>
      </c>
      <c r="Q33">
        <v>5359</v>
      </c>
      <c r="R33">
        <v>5678</v>
      </c>
      <c r="S33">
        <v>10711</v>
      </c>
      <c r="T33">
        <v>6193</v>
      </c>
      <c r="U33">
        <v>3832</v>
      </c>
      <c r="V33">
        <v>5087</v>
      </c>
      <c r="W33">
        <v>4534</v>
      </c>
      <c r="X33">
        <v>7079</v>
      </c>
      <c r="Y33">
        <v>3035</v>
      </c>
      <c r="Z33">
        <v>8797</v>
      </c>
      <c r="AA33">
        <v>1344</v>
      </c>
      <c r="AB33">
        <v>2094</v>
      </c>
      <c r="AC33">
        <v>921</v>
      </c>
      <c r="AD33">
        <v>1868</v>
      </c>
      <c r="AE33">
        <v>1800</v>
      </c>
      <c r="AF33">
        <v>1344</v>
      </c>
      <c r="AG33">
        <v>1063</v>
      </c>
    </row>
    <row r="34" spans="2:40">
      <c r="B34" t="s">
        <v>26</v>
      </c>
      <c r="N34">
        <v>2489</v>
      </c>
      <c r="O34">
        <v>11509</v>
      </c>
      <c r="P34">
        <v>9022</v>
      </c>
      <c r="Q34">
        <v>7395</v>
      </c>
      <c r="R34">
        <v>9900</v>
      </c>
      <c r="S34">
        <v>12230</v>
      </c>
      <c r="T34">
        <v>8584</v>
      </c>
      <c r="U34">
        <v>8328</v>
      </c>
      <c r="V34">
        <v>21258</v>
      </c>
      <c r="W34">
        <v>13646</v>
      </c>
      <c r="X34">
        <v>17817</v>
      </c>
    </row>
    <row r="35" spans="2:40">
      <c r="B35" t="s">
        <v>94</v>
      </c>
      <c r="Y35">
        <v>6844</v>
      </c>
      <c r="Z35">
        <v>31499</v>
      </c>
      <c r="AA35">
        <v>10745</v>
      </c>
      <c r="AB35">
        <v>16807</v>
      </c>
      <c r="AC35">
        <v>17779</v>
      </c>
      <c r="AD35">
        <v>7570</v>
      </c>
      <c r="AE35">
        <v>20989</v>
      </c>
      <c r="AF35">
        <v>41246</v>
      </c>
      <c r="AG35">
        <v>35670</v>
      </c>
      <c r="AH35" s="1">
        <v>17454</v>
      </c>
      <c r="AI35">
        <v>998</v>
      </c>
      <c r="AN35">
        <v>159</v>
      </c>
    </row>
    <row r="36" spans="2:40">
      <c r="B36" t="s">
        <v>107</v>
      </c>
      <c r="Y36">
        <v>1031</v>
      </c>
      <c r="Z36">
        <v>521</v>
      </c>
      <c r="AA36">
        <v>88</v>
      </c>
      <c r="AB36">
        <v>689</v>
      </c>
      <c r="AC36">
        <v>617</v>
      </c>
      <c r="AD36">
        <v>297</v>
      </c>
      <c r="AE36">
        <v>69</v>
      </c>
      <c r="AF36">
        <v>112</v>
      </c>
      <c r="AG36">
        <v>183</v>
      </c>
      <c r="AH36" s="1">
        <v>66</v>
      </c>
      <c r="AI36">
        <v>85</v>
      </c>
      <c r="AJ36">
        <v>3000</v>
      </c>
      <c r="AK36">
        <v>1273</v>
      </c>
      <c r="AL36">
        <v>1129</v>
      </c>
      <c r="AM36">
        <v>72</v>
      </c>
      <c r="AN36">
        <v>15</v>
      </c>
    </row>
    <row r="37" spans="2:40">
      <c r="B37" t="s">
        <v>27</v>
      </c>
      <c r="P37">
        <v>360</v>
      </c>
      <c r="Q37">
        <v>6</v>
      </c>
      <c r="S37">
        <v>6</v>
      </c>
      <c r="T37">
        <v>1</v>
      </c>
      <c r="U37">
        <v>14</v>
      </c>
      <c r="V37">
        <v>216</v>
      </c>
      <c r="W37">
        <v>89</v>
      </c>
      <c r="X37">
        <v>1422</v>
      </c>
    </row>
    <row r="38" spans="2:40">
      <c r="B38" t="s">
        <v>28</v>
      </c>
      <c r="S38">
        <v>134</v>
      </c>
      <c r="T38">
        <v>1</v>
      </c>
      <c r="V38">
        <v>23</v>
      </c>
    </row>
    <row r="39" spans="2:40">
      <c r="B39" t="s">
        <v>29</v>
      </c>
      <c r="P39">
        <v>118</v>
      </c>
      <c r="Q39">
        <v>141</v>
      </c>
      <c r="R39">
        <v>164</v>
      </c>
      <c r="S39">
        <v>89</v>
      </c>
      <c r="T39">
        <v>150</v>
      </c>
      <c r="U39">
        <v>21</v>
      </c>
      <c r="V39">
        <v>35</v>
      </c>
      <c r="W39">
        <v>84</v>
      </c>
      <c r="X39">
        <v>80</v>
      </c>
      <c r="Y39">
        <v>7</v>
      </c>
      <c r="Z39">
        <v>14</v>
      </c>
      <c r="AA39">
        <v>5</v>
      </c>
      <c r="AB39">
        <v>10</v>
      </c>
      <c r="AC39">
        <v>77</v>
      </c>
      <c r="AD39">
        <v>55</v>
      </c>
      <c r="AE39">
        <v>383</v>
      </c>
      <c r="AF39">
        <v>432</v>
      </c>
      <c r="AG39">
        <v>42</v>
      </c>
      <c r="AI39">
        <v>275</v>
      </c>
    </row>
    <row r="40" spans="2:40">
      <c r="B40" t="s">
        <v>30</v>
      </c>
      <c r="P40">
        <v>7270</v>
      </c>
      <c r="Q40">
        <v>8034</v>
      </c>
      <c r="R40">
        <v>1555</v>
      </c>
      <c r="S40">
        <v>1794</v>
      </c>
      <c r="T40">
        <v>1499</v>
      </c>
      <c r="U40">
        <v>2840</v>
      </c>
      <c r="V40">
        <v>430</v>
      </c>
      <c r="W40">
        <v>13</v>
      </c>
      <c r="X40">
        <v>5041</v>
      </c>
      <c r="Y40">
        <v>266</v>
      </c>
      <c r="Z40">
        <v>733</v>
      </c>
      <c r="AA40">
        <v>1735</v>
      </c>
      <c r="AB40">
        <v>107</v>
      </c>
      <c r="AC40">
        <v>658</v>
      </c>
      <c r="AD40">
        <v>145</v>
      </c>
      <c r="AE40">
        <v>174</v>
      </c>
      <c r="AF40">
        <v>323</v>
      </c>
      <c r="AG40">
        <v>87</v>
      </c>
      <c r="AH40" s="1">
        <v>23</v>
      </c>
      <c r="AI40">
        <v>1090</v>
      </c>
      <c r="AL40">
        <v>1</v>
      </c>
    </row>
    <row r="41" spans="2:40">
      <c r="B41" t="s">
        <v>31</v>
      </c>
      <c r="P41">
        <v>102</v>
      </c>
      <c r="Q41">
        <v>5</v>
      </c>
      <c r="R41">
        <v>3</v>
      </c>
      <c r="S41">
        <v>2</v>
      </c>
      <c r="T41">
        <v>48</v>
      </c>
      <c r="U41">
        <v>113</v>
      </c>
      <c r="V41">
        <v>61</v>
      </c>
      <c r="W41">
        <v>148</v>
      </c>
      <c r="X41">
        <v>94</v>
      </c>
      <c r="Z41">
        <v>1</v>
      </c>
      <c r="AA41">
        <v>43</v>
      </c>
      <c r="AB41">
        <v>2</v>
      </c>
      <c r="AC41">
        <v>5</v>
      </c>
      <c r="AD41">
        <v>11</v>
      </c>
      <c r="AE41">
        <v>5</v>
      </c>
      <c r="AG41">
        <v>10</v>
      </c>
      <c r="AH41" s="1">
        <v>751</v>
      </c>
    </row>
    <row r="42" spans="2:40">
      <c r="B42" t="s">
        <v>32</v>
      </c>
      <c r="N42">
        <v>65</v>
      </c>
      <c r="O42">
        <v>785</v>
      </c>
      <c r="P42">
        <v>1589</v>
      </c>
      <c r="Q42">
        <v>1373</v>
      </c>
      <c r="R42">
        <v>947</v>
      </c>
      <c r="S42">
        <v>764</v>
      </c>
      <c r="T42">
        <v>1900</v>
      </c>
      <c r="U42">
        <v>668</v>
      </c>
      <c r="V42">
        <v>2338</v>
      </c>
      <c r="W42">
        <v>405</v>
      </c>
      <c r="X42">
        <v>118</v>
      </c>
      <c r="Y42">
        <v>1006</v>
      </c>
      <c r="Z42">
        <v>122</v>
      </c>
      <c r="AA42">
        <v>1089</v>
      </c>
      <c r="AB42">
        <v>166</v>
      </c>
      <c r="AC42">
        <v>125</v>
      </c>
      <c r="AD42">
        <v>109</v>
      </c>
      <c r="AE42">
        <v>67</v>
      </c>
      <c r="AF42">
        <v>1158</v>
      </c>
      <c r="AG42">
        <v>151</v>
      </c>
      <c r="AH42" s="1">
        <v>347</v>
      </c>
      <c r="AI42">
        <v>3</v>
      </c>
      <c r="AJ42">
        <v>6</v>
      </c>
      <c r="AK42">
        <v>616</v>
      </c>
      <c r="AL42">
        <v>559</v>
      </c>
      <c r="AN42">
        <v>400</v>
      </c>
    </row>
    <row r="43" spans="2:40">
      <c r="B43" t="s">
        <v>33</v>
      </c>
      <c r="P43">
        <v>18</v>
      </c>
      <c r="Q43">
        <v>30</v>
      </c>
      <c r="R43">
        <v>7</v>
      </c>
      <c r="S43">
        <v>137</v>
      </c>
      <c r="U43">
        <v>4</v>
      </c>
      <c r="V43">
        <v>7</v>
      </c>
      <c r="W43">
        <v>16</v>
      </c>
      <c r="X43">
        <v>5</v>
      </c>
      <c r="AC43">
        <v>2</v>
      </c>
      <c r="AE43">
        <v>2</v>
      </c>
      <c r="AF43">
        <v>1</v>
      </c>
      <c r="AG43">
        <v>2</v>
      </c>
    </row>
    <row r="44" spans="2:40">
      <c r="B44" t="s">
        <v>84</v>
      </c>
    </row>
    <row r="45" spans="2:40">
      <c r="B45" t="s">
        <v>34</v>
      </c>
      <c r="R45">
        <v>4</v>
      </c>
      <c r="S45">
        <v>22</v>
      </c>
      <c r="T45">
        <v>9</v>
      </c>
      <c r="W45">
        <v>57</v>
      </c>
      <c r="X45">
        <v>6</v>
      </c>
      <c r="Z45">
        <v>1</v>
      </c>
      <c r="AA45">
        <v>3</v>
      </c>
      <c r="AD45">
        <v>1</v>
      </c>
      <c r="AH45" s="1">
        <v>28</v>
      </c>
    </row>
    <row r="46" spans="2:40">
      <c r="B46" t="s">
        <v>35</v>
      </c>
      <c r="P46">
        <v>1908</v>
      </c>
      <c r="Q46">
        <v>6388</v>
      </c>
      <c r="R46">
        <v>5361</v>
      </c>
      <c r="S46">
        <v>6284</v>
      </c>
      <c r="T46">
        <v>6338</v>
      </c>
      <c r="U46">
        <v>5506</v>
      </c>
      <c r="V46">
        <v>6382</v>
      </c>
      <c r="W46">
        <v>6141</v>
      </c>
      <c r="X46">
        <v>6901</v>
      </c>
      <c r="Y46">
        <v>2665</v>
      </c>
      <c r="Z46">
        <v>1222</v>
      </c>
      <c r="AA46">
        <v>614</v>
      </c>
      <c r="AB46">
        <v>471</v>
      </c>
      <c r="AC46">
        <v>806</v>
      </c>
      <c r="AD46">
        <v>540</v>
      </c>
      <c r="AE46">
        <v>833</v>
      </c>
      <c r="AF46">
        <v>804</v>
      </c>
      <c r="AG46">
        <v>1264</v>
      </c>
      <c r="AH46" s="1">
        <v>785</v>
      </c>
    </row>
    <row r="47" spans="2:40">
      <c r="B47" t="s">
        <v>36</v>
      </c>
      <c r="P47">
        <v>311</v>
      </c>
      <c r="Q47">
        <v>1952</v>
      </c>
      <c r="R47">
        <v>646</v>
      </c>
      <c r="S47">
        <v>181</v>
      </c>
      <c r="T47">
        <v>409</v>
      </c>
      <c r="U47">
        <v>166</v>
      </c>
      <c r="V47">
        <v>252</v>
      </c>
      <c r="W47">
        <v>6166</v>
      </c>
      <c r="X47">
        <v>363</v>
      </c>
      <c r="Y47">
        <v>51</v>
      </c>
      <c r="Z47">
        <v>54</v>
      </c>
      <c r="AA47">
        <v>938</v>
      </c>
      <c r="AB47">
        <v>265</v>
      </c>
      <c r="AC47">
        <v>176</v>
      </c>
      <c r="AD47">
        <v>374</v>
      </c>
      <c r="AE47">
        <v>75</v>
      </c>
      <c r="AF47">
        <v>352</v>
      </c>
      <c r="AG47">
        <v>269</v>
      </c>
      <c r="AH47" s="1">
        <v>206</v>
      </c>
      <c r="AI47">
        <v>1</v>
      </c>
    </row>
    <row r="48" spans="2:40">
      <c r="B48" t="s">
        <v>37</v>
      </c>
      <c r="P48">
        <v>3</v>
      </c>
      <c r="S48">
        <v>116</v>
      </c>
      <c r="T48">
        <v>10</v>
      </c>
    </row>
    <row r="49" spans="2:40">
      <c r="B49" t="s">
        <v>95</v>
      </c>
      <c r="AB49">
        <v>1</v>
      </c>
      <c r="AD49">
        <v>416</v>
      </c>
      <c r="AF49">
        <v>1</v>
      </c>
      <c r="AG49">
        <v>1</v>
      </c>
      <c r="AH49" s="1">
        <v>580</v>
      </c>
    </row>
    <row r="50" spans="2:40">
      <c r="B50" t="s">
        <v>38</v>
      </c>
      <c r="Q50">
        <v>102</v>
      </c>
      <c r="R50">
        <v>4</v>
      </c>
      <c r="S50">
        <v>270</v>
      </c>
      <c r="T50">
        <v>2</v>
      </c>
      <c r="U50">
        <v>82</v>
      </c>
      <c r="V50">
        <v>50</v>
      </c>
      <c r="W50">
        <v>138</v>
      </c>
      <c r="X50">
        <v>15</v>
      </c>
      <c r="Y50">
        <v>13</v>
      </c>
      <c r="Z50">
        <v>9</v>
      </c>
      <c r="AA50">
        <v>13</v>
      </c>
      <c r="AB50">
        <v>8</v>
      </c>
      <c r="AC50">
        <v>413</v>
      </c>
      <c r="AD50">
        <v>15</v>
      </c>
      <c r="AG50">
        <v>21</v>
      </c>
      <c r="AH50" s="1">
        <v>8</v>
      </c>
    </row>
    <row r="51" spans="2:40">
      <c r="B51" t="s">
        <v>39</v>
      </c>
      <c r="N51">
        <v>99000</v>
      </c>
      <c r="O51">
        <v>101598</v>
      </c>
      <c r="P51">
        <v>234121</v>
      </c>
      <c r="Q51">
        <v>82343</v>
      </c>
      <c r="R51">
        <v>78106</v>
      </c>
      <c r="S51">
        <v>91516</v>
      </c>
      <c r="T51">
        <v>63650</v>
      </c>
      <c r="U51">
        <v>67172</v>
      </c>
      <c r="V51">
        <v>114692</v>
      </c>
      <c r="W51">
        <v>111081</v>
      </c>
      <c r="X51">
        <v>96534</v>
      </c>
      <c r="Y51">
        <v>75849</v>
      </c>
      <c r="Z51">
        <v>108326</v>
      </c>
      <c r="AA51">
        <v>38840</v>
      </c>
      <c r="AB51">
        <v>23313</v>
      </c>
      <c r="AC51">
        <v>24123</v>
      </c>
      <c r="AD51">
        <v>20628</v>
      </c>
      <c r="AE51">
        <v>25241</v>
      </c>
      <c r="AF51">
        <v>66401</v>
      </c>
      <c r="AG51">
        <v>67191</v>
      </c>
      <c r="AH51" s="1">
        <v>169449</v>
      </c>
      <c r="AI51">
        <v>2263</v>
      </c>
      <c r="AM51">
        <v>7515</v>
      </c>
      <c r="AN51">
        <v>403</v>
      </c>
    </row>
    <row r="52" spans="2:40">
      <c r="B52" t="s">
        <v>40</v>
      </c>
      <c r="P52">
        <v>2557</v>
      </c>
      <c r="Q52">
        <v>400</v>
      </c>
      <c r="R52">
        <v>912</v>
      </c>
      <c r="S52">
        <v>365</v>
      </c>
      <c r="T52">
        <v>326</v>
      </c>
      <c r="U52">
        <v>315</v>
      </c>
      <c r="V52">
        <v>1462</v>
      </c>
      <c r="W52">
        <v>278</v>
      </c>
      <c r="X52">
        <v>3061</v>
      </c>
      <c r="Y52">
        <v>730</v>
      </c>
      <c r="Z52">
        <v>1337</v>
      </c>
      <c r="AA52">
        <v>487</v>
      </c>
      <c r="AB52">
        <v>58</v>
      </c>
      <c r="AC52">
        <v>799</v>
      </c>
      <c r="AD52">
        <v>150</v>
      </c>
      <c r="AE52">
        <v>23</v>
      </c>
      <c r="AF52">
        <v>76</v>
      </c>
      <c r="AG52">
        <v>67</v>
      </c>
      <c r="AH52" s="1">
        <v>379</v>
      </c>
      <c r="AI52">
        <v>133</v>
      </c>
      <c r="AM52">
        <v>14869</v>
      </c>
      <c r="AN52">
        <v>6787</v>
      </c>
    </row>
    <row r="53" spans="2:40">
      <c r="B53" t="s">
        <v>41</v>
      </c>
      <c r="P53">
        <v>15560</v>
      </c>
      <c r="Q53">
        <v>1361</v>
      </c>
      <c r="R53">
        <v>145</v>
      </c>
      <c r="S53">
        <v>504</v>
      </c>
      <c r="T53">
        <v>157</v>
      </c>
      <c r="U53">
        <v>11006</v>
      </c>
      <c r="V53">
        <v>446</v>
      </c>
      <c r="W53">
        <v>3052</v>
      </c>
      <c r="X53">
        <v>982</v>
      </c>
      <c r="Y53">
        <v>113</v>
      </c>
      <c r="Z53">
        <v>548</v>
      </c>
      <c r="AA53">
        <v>560</v>
      </c>
      <c r="AB53">
        <v>572</v>
      </c>
      <c r="AC53">
        <v>464</v>
      </c>
      <c r="AD53">
        <v>237</v>
      </c>
      <c r="AE53">
        <v>1097</v>
      </c>
      <c r="AF53">
        <v>178</v>
      </c>
      <c r="AG53">
        <v>159</v>
      </c>
      <c r="AH53" s="1">
        <v>156</v>
      </c>
      <c r="AI53">
        <v>23</v>
      </c>
    </row>
    <row r="54" spans="2:40">
      <c r="B54" t="s">
        <v>42</v>
      </c>
      <c r="P54">
        <v>1978</v>
      </c>
      <c r="Q54">
        <v>1584</v>
      </c>
      <c r="R54">
        <v>1042</v>
      </c>
      <c r="S54">
        <v>13757</v>
      </c>
      <c r="T54">
        <v>8753</v>
      </c>
      <c r="U54">
        <v>927</v>
      </c>
      <c r="V54">
        <v>2724</v>
      </c>
      <c r="W54">
        <v>1366</v>
      </c>
      <c r="X54">
        <v>3763</v>
      </c>
      <c r="Y54">
        <v>1231</v>
      </c>
      <c r="Z54">
        <v>426</v>
      </c>
      <c r="AA54">
        <v>227</v>
      </c>
      <c r="AB54">
        <v>702</v>
      </c>
      <c r="AC54">
        <v>511</v>
      </c>
      <c r="AD54">
        <v>473</v>
      </c>
      <c r="AE54">
        <v>875</v>
      </c>
      <c r="AF54">
        <v>967</v>
      </c>
      <c r="AG54">
        <v>244</v>
      </c>
      <c r="AH54" s="1">
        <v>150</v>
      </c>
      <c r="AI54">
        <v>141</v>
      </c>
      <c r="AM54">
        <v>3664</v>
      </c>
      <c r="AN54">
        <v>888</v>
      </c>
    </row>
    <row r="55" spans="2:40">
      <c r="B55" t="s">
        <v>142</v>
      </c>
      <c r="AA55">
        <v>100</v>
      </c>
      <c r="AB55">
        <v>1</v>
      </c>
      <c r="AD55">
        <v>57</v>
      </c>
      <c r="AE55">
        <v>829</v>
      </c>
      <c r="AG55">
        <v>95</v>
      </c>
      <c r="AH55" s="1">
        <v>9</v>
      </c>
    </row>
    <row r="56" spans="2:40">
      <c r="B56" t="s">
        <v>108</v>
      </c>
      <c r="Y56">
        <v>1402</v>
      </c>
      <c r="Z56">
        <v>547</v>
      </c>
      <c r="AA56">
        <v>439</v>
      </c>
      <c r="AB56">
        <v>2163</v>
      </c>
      <c r="AC56">
        <v>493</v>
      </c>
      <c r="AD56">
        <v>1930</v>
      </c>
      <c r="AE56">
        <v>2549</v>
      </c>
      <c r="AF56">
        <v>13135</v>
      </c>
      <c r="AG56">
        <v>3174</v>
      </c>
      <c r="AH56" s="1">
        <v>1050</v>
      </c>
      <c r="AI56">
        <v>558</v>
      </c>
      <c r="AL56">
        <v>3460</v>
      </c>
      <c r="AM56">
        <v>1460</v>
      </c>
      <c r="AN56">
        <v>1615</v>
      </c>
    </row>
    <row r="57" spans="2:40">
      <c r="B57" t="s">
        <v>110</v>
      </c>
      <c r="AA57">
        <v>12</v>
      </c>
      <c r="AB57">
        <v>61</v>
      </c>
      <c r="AC57">
        <v>70</v>
      </c>
      <c r="AD57">
        <v>57</v>
      </c>
      <c r="AE57">
        <v>10</v>
      </c>
      <c r="AF57">
        <v>26</v>
      </c>
      <c r="AG57">
        <v>1</v>
      </c>
      <c r="AH57" s="1">
        <v>1</v>
      </c>
      <c r="AL57">
        <v>21</v>
      </c>
      <c r="AN57">
        <v>465</v>
      </c>
    </row>
    <row r="58" spans="2:40">
      <c r="B58" t="s">
        <v>43</v>
      </c>
      <c r="P58">
        <v>48</v>
      </c>
      <c r="Q58">
        <v>13</v>
      </c>
      <c r="R58">
        <v>66</v>
      </c>
      <c r="S58">
        <v>16</v>
      </c>
      <c r="T58">
        <v>30</v>
      </c>
      <c r="U58">
        <v>2</v>
      </c>
      <c r="V58">
        <v>570</v>
      </c>
      <c r="W58">
        <v>117</v>
      </c>
      <c r="X58">
        <v>1073</v>
      </c>
    </row>
    <row r="59" spans="2:40">
      <c r="B59" t="s">
        <v>44</v>
      </c>
      <c r="P59">
        <v>51865</v>
      </c>
      <c r="Q59">
        <v>14945</v>
      </c>
      <c r="R59">
        <v>109</v>
      </c>
      <c r="S59">
        <v>941</v>
      </c>
      <c r="T59">
        <v>5287</v>
      </c>
      <c r="U59">
        <v>1996</v>
      </c>
      <c r="V59">
        <v>726</v>
      </c>
      <c r="W59">
        <v>951</v>
      </c>
      <c r="X59">
        <v>1343</v>
      </c>
    </row>
    <row r="60" spans="2:40">
      <c r="B60" t="s">
        <v>45</v>
      </c>
      <c r="N60">
        <v>30</v>
      </c>
      <c r="O60">
        <v>9577</v>
      </c>
      <c r="P60">
        <v>26744</v>
      </c>
      <c r="Q60">
        <v>53921</v>
      </c>
      <c r="R60">
        <v>49933</v>
      </c>
      <c r="S60">
        <v>64092</v>
      </c>
      <c r="T60">
        <v>50239</v>
      </c>
      <c r="U60">
        <v>33560</v>
      </c>
      <c r="V60">
        <v>47508</v>
      </c>
      <c r="W60">
        <v>52069</v>
      </c>
      <c r="X60">
        <v>57237</v>
      </c>
      <c r="Y60">
        <v>34278</v>
      </c>
      <c r="Z60">
        <v>26978</v>
      </c>
      <c r="AA60">
        <v>19102</v>
      </c>
      <c r="AB60">
        <v>24734</v>
      </c>
      <c r="AC60">
        <v>28882</v>
      </c>
      <c r="AD60">
        <v>16159</v>
      </c>
      <c r="AE60">
        <v>29778</v>
      </c>
      <c r="AF60">
        <v>42441</v>
      </c>
      <c r="AG60">
        <v>32272</v>
      </c>
      <c r="AH60" s="1">
        <v>20192</v>
      </c>
      <c r="AJ60">
        <v>87</v>
      </c>
      <c r="AK60">
        <v>3</v>
      </c>
      <c r="AM60">
        <v>118</v>
      </c>
    </row>
    <row r="61" spans="2:40">
      <c r="B61" t="s">
        <v>46</v>
      </c>
      <c r="N61">
        <v>207012</v>
      </c>
      <c r="O61">
        <v>69408</v>
      </c>
      <c r="P61">
        <v>708336</v>
      </c>
      <c r="Q61">
        <v>54080</v>
      </c>
      <c r="R61">
        <v>50954</v>
      </c>
      <c r="S61">
        <v>39782</v>
      </c>
      <c r="T61">
        <v>39670</v>
      </c>
      <c r="U61">
        <v>50089</v>
      </c>
      <c r="V61">
        <v>58300</v>
      </c>
      <c r="W61">
        <v>57048</v>
      </c>
      <c r="X61">
        <v>67940</v>
      </c>
      <c r="Y61">
        <v>29689</v>
      </c>
      <c r="Z61">
        <v>23870</v>
      </c>
      <c r="AA61">
        <v>10624</v>
      </c>
      <c r="AB61">
        <v>9749</v>
      </c>
      <c r="AC61">
        <v>10150</v>
      </c>
      <c r="AD61">
        <v>8360</v>
      </c>
      <c r="AE61">
        <v>13991</v>
      </c>
      <c r="AF61">
        <v>9691</v>
      </c>
      <c r="AG61">
        <v>7386</v>
      </c>
      <c r="AH61" s="1">
        <v>7584</v>
      </c>
      <c r="AI61">
        <v>9950</v>
      </c>
      <c r="AJ61">
        <v>72315</v>
      </c>
      <c r="AL61">
        <v>250</v>
      </c>
      <c r="AN61">
        <v>10423</v>
      </c>
    </row>
    <row r="62" spans="2:40">
      <c r="B62" t="s">
        <v>47</v>
      </c>
      <c r="P62">
        <v>37788</v>
      </c>
      <c r="Q62">
        <v>14761</v>
      </c>
      <c r="R62">
        <v>11920</v>
      </c>
      <c r="S62">
        <v>5481</v>
      </c>
      <c r="T62">
        <v>6307</v>
      </c>
      <c r="U62">
        <v>4645</v>
      </c>
      <c r="V62">
        <v>2951</v>
      </c>
      <c r="W62">
        <v>2472</v>
      </c>
      <c r="X62">
        <v>3550</v>
      </c>
    </row>
    <row r="63" spans="2:40">
      <c r="B63" t="s">
        <v>48</v>
      </c>
      <c r="P63">
        <v>3</v>
      </c>
      <c r="Q63">
        <v>3</v>
      </c>
      <c r="S63">
        <v>2</v>
      </c>
      <c r="T63">
        <v>11</v>
      </c>
      <c r="V63">
        <v>2</v>
      </c>
      <c r="W63">
        <v>1</v>
      </c>
      <c r="X63">
        <v>8</v>
      </c>
      <c r="Z63">
        <v>309</v>
      </c>
      <c r="AA63">
        <v>1</v>
      </c>
      <c r="AH63" s="1">
        <v>6</v>
      </c>
    </row>
    <row r="64" spans="2:40">
      <c r="B64" t="s">
        <v>103</v>
      </c>
      <c r="Y64">
        <v>47940</v>
      </c>
      <c r="Z64">
        <v>10723</v>
      </c>
      <c r="AA64">
        <v>10021</v>
      </c>
      <c r="AB64">
        <v>13279</v>
      </c>
      <c r="AC64">
        <v>9561</v>
      </c>
      <c r="AD64">
        <v>13128</v>
      </c>
      <c r="AE64">
        <v>14466</v>
      </c>
      <c r="AF64">
        <v>35036</v>
      </c>
      <c r="AG64">
        <v>25842</v>
      </c>
      <c r="AH64" s="1">
        <v>25191</v>
      </c>
      <c r="AI64">
        <v>16107</v>
      </c>
    </row>
    <row r="65" spans="2:40">
      <c r="B65" t="s">
        <v>49</v>
      </c>
      <c r="N65">
        <v>489</v>
      </c>
      <c r="O65">
        <v>4463</v>
      </c>
      <c r="P65">
        <v>78956</v>
      </c>
      <c r="Q65">
        <v>2682</v>
      </c>
      <c r="R65">
        <v>5245</v>
      </c>
      <c r="S65">
        <v>7182</v>
      </c>
      <c r="T65">
        <v>7341</v>
      </c>
      <c r="U65">
        <v>13073</v>
      </c>
      <c r="V65">
        <v>3665</v>
      </c>
      <c r="W65">
        <v>12311</v>
      </c>
      <c r="X65">
        <v>11658</v>
      </c>
      <c r="Y65">
        <v>4976</v>
      </c>
      <c r="Z65">
        <v>3483</v>
      </c>
      <c r="AA65">
        <v>6138</v>
      </c>
      <c r="AB65">
        <v>6690</v>
      </c>
      <c r="AC65">
        <v>2885</v>
      </c>
      <c r="AD65">
        <v>2114</v>
      </c>
      <c r="AE65">
        <v>4785</v>
      </c>
      <c r="AF65">
        <v>10444</v>
      </c>
      <c r="AG65">
        <v>13306</v>
      </c>
      <c r="AH65" s="1">
        <v>13821</v>
      </c>
      <c r="AI65">
        <v>900</v>
      </c>
      <c r="AN65">
        <v>1488</v>
      </c>
    </row>
    <row r="66" spans="2:40">
      <c r="B66" t="s">
        <v>118</v>
      </c>
      <c r="AF66">
        <v>19</v>
      </c>
    </row>
    <row r="67" spans="2:40">
      <c r="B67" t="s">
        <v>50</v>
      </c>
      <c r="P67">
        <v>952</v>
      </c>
      <c r="Q67">
        <v>127</v>
      </c>
      <c r="R67">
        <v>160</v>
      </c>
      <c r="S67">
        <v>333</v>
      </c>
      <c r="T67">
        <v>345</v>
      </c>
      <c r="U67">
        <v>364</v>
      </c>
      <c r="V67">
        <v>413</v>
      </c>
      <c r="W67">
        <v>267</v>
      </c>
      <c r="X67">
        <v>3597</v>
      </c>
    </row>
    <row r="68" spans="2:40">
      <c r="B68" t="s">
        <v>101</v>
      </c>
      <c r="Y68">
        <v>1819</v>
      </c>
      <c r="Z68">
        <v>112</v>
      </c>
      <c r="AA68">
        <v>11</v>
      </c>
      <c r="AB68">
        <v>105</v>
      </c>
      <c r="AC68">
        <v>95</v>
      </c>
      <c r="AD68">
        <v>166</v>
      </c>
      <c r="AE68">
        <v>325</v>
      </c>
      <c r="AF68">
        <v>253</v>
      </c>
      <c r="AG68">
        <v>481</v>
      </c>
      <c r="AH68" s="1">
        <v>651</v>
      </c>
      <c r="AI68">
        <v>1011</v>
      </c>
      <c r="AJ68">
        <v>2</v>
      </c>
    </row>
    <row r="69" spans="2:40">
      <c r="B69" t="s">
        <v>51</v>
      </c>
      <c r="P69">
        <v>4</v>
      </c>
      <c r="Q69">
        <v>14</v>
      </c>
      <c r="R69">
        <v>4</v>
      </c>
      <c r="U69">
        <v>1</v>
      </c>
    </row>
    <row r="70" spans="2:40">
      <c r="B70" t="s">
        <v>127</v>
      </c>
      <c r="X70">
        <v>2</v>
      </c>
    </row>
    <row r="71" spans="2:40">
      <c r="B71" t="s">
        <v>52</v>
      </c>
      <c r="P71">
        <v>210</v>
      </c>
      <c r="Q71">
        <v>94</v>
      </c>
      <c r="R71">
        <v>185</v>
      </c>
      <c r="S71">
        <v>63</v>
      </c>
      <c r="T71">
        <v>392</v>
      </c>
      <c r="U71">
        <v>58</v>
      </c>
      <c r="V71">
        <v>946</v>
      </c>
      <c r="W71">
        <v>555</v>
      </c>
      <c r="X71">
        <v>779</v>
      </c>
      <c r="Y71">
        <v>225</v>
      </c>
      <c r="Z71">
        <v>56</v>
      </c>
      <c r="AA71">
        <v>261</v>
      </c>
      <c r="AB71">
        <v>198</v>
      </c>
      <c r="AC71">
        <v>2300</v>
      </c>
      <c r="AD71">
        <v>4747</v>
      </c>
      <c r="AE71">
        <v>7602</v>
      </c>
      <c r="AF71">
        <v>12325</v>
      </c>
      <c r="AG71">
        <v>713</v>
      </c>
      <c r="AH71" s="1">
        <v>4552</v>
      </c>
      <c r="AI71">
        <v>1528</v>
      </c>
    </row>
    <row r="72" spans="2:40">
      <c r="B72" t="s">
        <v>96</v>
      </c>
      <c r="AA72">
        <v>6</v>
      </c>
      <c r="AB72">
        <v>34</v>
      </c>
      <c r="AC72">
        <v>16</v>
      </c>
      <c r="AD72">
        <v>35</v>
      </c>
      <c r="AE72">
        <v>12</v>
      </c>
      <c r="AF72">
        <v>12</v>
      </c>
      <c r="AG72">
        <v>41</v>
      </c>
      <c r="AH72" s="1">
        <v>42</v>
      </c>
      <c r="AI72">
        <v>1</v>
      </c>
      <c r="AJ72">
        <v>4</v>
      </c>
      <c r="AK72">
        <v>2</v>
      </c>
    </row>
    <row r="73" spans="2:40">
      <c r="B73" t="s">
        <v>53</v>
      </c>
      <c r="N73">
        <v>31167</v>
      </c>
      <c r="O73">
        <v>88511</v>
      </c>
      <c r="P73">
        <v>190471</v>
      </c>
      <c r="Q73">
        <v>109457</v>
      </c>
      <c r="R73">
        <v>120510</v>
      </c>
      <c r="S73">
        <v>95707</v>
      </c>
      <c r="T73">
        <v>73336</v>
      </c>
      <c r="U73">
        <v>85165</v>
      </c>
      <c r="V73">
        <v>126175</v>
      </c>
      <c r="W73">
        <v>105688</v>
      </c>
      <c r="X73">
        <v>99463</v>
      </c>
      <c r="Y73">
        <v>52109</v>
      </c>
      <c r="Z73">
        <v>48374</v>
      </c>
      <c r="AA73">
        <v>41027</v>
      </c>
      <c r="AB73">
        <v>58005</v>
      </c>
      <c r="AC73">
        <v>36789</v>
      </c>
      <c r="AD73">
        <v>59101</v>
      </c>
      <c r="AE73">
        <v>9503</v>
      </c>
      <c r="AF73">
        <v>59338</v>
      </c>
      <c r="AG73">
        <v>67527</v>
      </c>
      <c r="AH73" s="1">
        <v>28709</v>
      </c>
      <c r="AI73">
        <v>7582</v>
      </c>
      <c r="AJ73">
        <v>1</v>
      </c>
      <c r="AM73">
        <v>164172</v>
      </c>
      <c r="AN73">
        <v>483028</v>
      </c>
    </row>
    <row r="74" spans="2:40">
      <c r="B74" t="s">
        <v>54</v>
      </c>
      <c r="P74">
        <v>2135</v>
      </c>
      <c r="Q74">
        <v>1613</v>
      </c>
      <c r="R74">
        <v>1503</v>
      </c>
      <c r="S74">
        <v>2226</v>
      </c>
      <c r="T74">
        <v>2870</v>
      </c>
      <c r="U74">
        <v>1416</v>
      </c>
      <c r="V74">
        <v>1534</v>
      </c>
      <c r="W74">
        <v>2015</v>
      </c>
      <c r="X74">
        <v>3040</v>
      </c>
      <c r="Y74">
        <v>2967</v>
      </c>
      <c r="Z74">
        <v>1700</v>
      </c>
      <c r="AA74">
        <v>557</v>
      </c>
      <c r="AB74">
        <v>218</v>
      </c>
      <c r="AC74">
        <v>855</v>
      </c>
      <c r="AD74">
        <v>378282</v>
      </c>
      <c r="AE74">
        <v>228928</v>
      </c>
      <c r="AF74">
        <v>3307</v>
      </c>
      <c r="AG74">
        <v>1448</v>
      </c>
      <c r="AH74" s="1">
        <v>1252</v>
      </c>
      <c r="AI74">
        <v>81</v>
      </c>
      <c r="AJ74">
        <v>174</v>
      </c>
      <c r="AK74">
        <v>9618</v>
      </c>
      <c r="AL74">
        <v>6422</v>
      </c>
      <c r="AM74">
        <v>10049</v>
      </c>
      <c r="AN74">
        <v>53123</v>
      </c>
    </row>
    <row r="75" spans="2:40">
      <c r="B75" t="s">
        <v>55</v>
      </c>
      <c r="P75">
        <v>24196</v>
      </c>
      <c r="Q75">
        <v>13182</v>
      </c>
      <c r="R75">
        <v>28939</v>
      </c>
      <c r="S75">
        <v>24204</v>
      </c>
      <c r="T75">
        <v>26386</v>
      </c>
      <c r="U75">
        <v>24826</v>
      </c>
      <c r="V75">
        <v>15069</v>
      </c>
      <c r="W75">
        <v>25850</v>
      </c>
      <c r="X75">
        <v>23061</v>
      </c>
      <c r="Y75">
        <v>14483</v>
      </c>
      <c r="Z75">
        <v>16611</v>
      </c>
      <c r="AA75">
        <v>10870</v>
      </c>
      <c r="AB75">
        <v>5760</v>
      </c>
      <c r="AC75">
        <v>7135</v>
      </c>
      <c r="AD75">
        <v>6098</v>
      </c>
      <c r="AE75">
        <v>219</v>
      </c>
      <c r="AF75">
        <v>712</v>
      </c>
      <c r="AG75">
        <v>837</v>
      </c>
      <c r="AH75" s="1">
        <v>580</v>
      </c>
      <c r="AI75">
        <v>29</v>
      </c>
      <c r="AJ75">
        <v>919</v>
      </c>
      <c r="AL75">
        <v>85101</v>
      </c>
      <c r="AM75">
        <v>542420</v>
      </c>
      <c r="AN75">
        <v>399335</v>
      </c>
    </row>
    <row r="76" spans="2:40">
      <c r="B76" t="s">
        <v>109</v>
      </c>
      <c r="Y76">
        <v>1031</v>
      </c>
      <c r="Z76">
        <v>45</v>
      </c>
      <c r="AA76">
        <v>81</v>
      </c>
      <c r="AB76">
        <v>74</v>
      </c>
      <c r="AC76">
        <v>495</v>
      </c>
      <c r="AD76">
        <v>4834</v>
      </c>
      <c r="AE76">
        <v>4919</v>
      </c>
      <c r="AF76">
        <v>741</v>
      </c>
      <c r="AG76">
        <v>110</v>
      </c>
      <c r="AH76" s="1">
        <v>130</v>
      </c>
      <c r="AI76">
        <v>540</v>
      </c>
    </row>
    <row r="77" spans="2:40">
      <c r="B77" t="s">
        <v>97</v>
      </c>
      <c r="Y77">
        <v>5962</v>
      </c>
      <c r="Z77">
        <v>7666</v>
      </c>
      <c r="AA77">
        <v>4972</v>
      </c>
      <c r="AB77">
        <v>4302</v>
      </c>
      <c r="AC77">
        <v>4619</v>
      </c>
      <c r="AD77">
        <v>6103</v>
      </c>
      <c r="AE77">
        <v>3669</v>
      </c>
      <c r="AF77">
        <v>4156</v>
      </c>
      <c r="AG77">
        <v>3254</v>
      </c>
      <c r="AH77" s="1">
        <v>3979</v>
      </c>
      <c r="AI77">
        <v>332</v>
      </c>
      <c r="AM77">
        <v>3</v>
      </c>
      <c r="AN77">
        <v>45708</v>
      </c>
    </row>
    <row r="78" spans="2:40">
      <c r="B78" t="s">
        <v>56</v>
      </c>
      <c r="P78">
        <v>108</v>
      </c>
      <c r="Q78">
        <v>147</v>
      </c>
      <c r="R78">
        <v>333</v>
      </c>
      <c r="S78">
        <v>13</v>
      </c>
      <c r="T78">
        <v>27</v>
      </c>
      <c r="U78">
        <v>1</v>
      </c>
      <c r="V78">
        <v>35</v>
      </c>
      <c r="W78">
        <v>210</v>
      </c>
      <c r="X78">
        <v>2649</v>
      </c>
    </row>
    <row r="79" spans="2:40">
      <c r="B79" t="s">
        <v>119</v>
      </c>
      <c r="Z79">
        <v>4</v>
      </c>
      <c r="AA79">
        <v>3</v>
      </c>
      <c r="AB79">
        <v>2</v>
      </c>
      <c r="AE79">
        <v>3</v>
      </c>
      <c r="AF79">
        <v>2</v>
      </c>
      <c r="AG79">
        <v>3</v>
      </c>
      <c r="AH79" s="1">
        <v>7</v>
      </c>
    </row>
    <row r="80" spans="2:40">
      <c r="B80" t="s">
        <v>57</v>
      </c>
      <c r="N80">
        <v>1034</v>
      </c>
      <c r="O80">
        <v>1239</v>
      </c>
      <c r="P80">
        <v>2671</v>
      </c>
      <c r="Q80">
        <v>622</v>
      </c>
      <c r="R80">
        <v>792</v>
      </c>
      <c r="S80">
        <v>471</v>
      </c>
      <c r="T80">
        <v>532</v>
      </c>
      <c r="U80">
        <v>1455</v>
      </c>
      <c r="V80">
        <v>562</v>
      </c>
      <c r="W80">
        <v>2158</v>
      </c>
      <c r="X80">
        <v>1045</v>
      </c>
      <c r="Y80">
        <v>651</v>
      </c>
      <c r="Z80">
        <v>308</v>
      </c>
      <c r="AA80">
        <v>301</v>
      </c>
      <c r="AB80">
        <v>192</v>
      </c>
      <c r="AC80">
        <v>371</v>
      </c>
      <c r="AD80">
        <v>1753</v>
      </c>
      <c r="AE80">
        <v>3837</v>
      </c>
      <c r="AF80">
        <v>3977</v>
      </c>
      <c r="AG80">
        <v>1984</v>
      </c>
      <c r="AH80" s="1">
        <v>1539</v>
      </c>
      <c r="AI80">
        <v>205</v>
      </c>
      <c r="AJ80">
        <v>67</v>
      </c>
    </row>
    <row r="81" spans="2:40">
      <c r="B81" t="s">
        <v>98</v>
      </c>
      <c r="AG81">
        <v>1</v>
      </c>
    </row>
    <row r="82" spans="2:40">
      <c r="B82" t="s">
        <v>99</v>
      </c>
      <c r="AG82">
        <v>25</v>
      </c>
    </row>
    <row r="83" spans="2:40">
      <c r="B83" t="s">
        <v>58</v>
      </c>
      <c r="P83">
        <v>22993</v>
      </c>
      <c r="Q83">
        <v>23132</v>
      </c>
      <c r="R83">
        <v>19369</v>
      </c>
      <c r="S83">
        <v>13851</v>
      </c>
      <c r="T83">
        <v>9857</v>
      </c>
      <c r="U83">
        <v>7036</v>
      </c>
      <c r="V83">
        <v>6377</v>
      </c>
      <c r="W83">
        <v>5516</v>
      </c>
      <c r="X83">
        <v>4272</v>
      </c>
      <c r="Y83">
        <v>2247</v>
      </c>
      <c r="Z83">
        <v>3606</v>
      </c>
      <c r="AA83">
        <v>7717</v>
      </c>
      <c r="AB83">
        <v>8537</v>
      </c>
      <c r="AC83">
        <v>11537</v>
      </c>
      <c r="AD83">
        <v>8478</v>
      </c>
      <c r="AE83">
        <v>9925</v>
      </c>
      <c r="AF83">
        <v>20145</v>
      </c>
      <c r="AG83">
        <v>11982</v>
      </c>
      <c r="AH83" s="1">
        <v>13635</v>
      </c>
      <c r="AI83">
        <v>13322</v>
      </c>
      <c r="AJ83">
        <v>7075</v>
      </c>
      <c r="AK83">
        <v>7667</v>
      </c>
      <c r="AL83">
        <v>7619</v>
      </c>
      <c r="AM83">
        <v>56235</v>
      </c>
      <c r="AN83">
        <v>123175</v>
      </c>
    </row>
    <row r="84" spans="2:40">
      <c r="B84" t="s">
        <v>59</v>
      </c>
      <c r="P84">
        <v>22</v>
      </c>
      <c r="Q84">
        <v>319</v>
      </c>
      <c r="R84">
        <v>27</v>
      </c>
      <c r="S84">
        <v>213</v>
      </c>
      <c r="T84">
        <v>37</v>
      </c>
      <c r="U84">
        <v>38</v>
      </c>
      <c r="V84">
        <v>17</v>
      </c>
      <c r="W84">
        <v>8</v>
      </c>
      <c r="X84">
        <v>155</v>
      </c>
      <c r="Y84">
        <v>1</v>
      </c>
      <c r="Z84">
        <v>30</v>
      </c>
      <c r="AB84">
        <v>6</v>
      </c>
      <c r="AC84">
        <v>3</v>
      </c>
      <c r="AD84">
        <v>4</v>
      </c>
      <c r="AE84">
        <v>49</v>
      </c>
      <c r="AF84">
        <v>27</v>
      </c>
      <c r="AG84">
        <v>10</v>
      </c>
      <c r="AM84">
        <v>29</v>
      </c>
    </row>
    <row r="85" spans="2:40">
      <c r="B85" t="s">
        <v>60</v>
      </c>
      <c r="P85">
        <v>26</v>
      </c>
      <c r="Q85">
        <v>142</v>
      </c>
      <c r="R85">
        <v>474</v>
      </c>
      <c r="S85">
        <v>611</v>
      </c>
      <c r="T85">
        <v>46</v>
      </c>
      <c r="U85">
        <v>184</v>
      </c>
      <c r="V85">
        <v>39</v>
      </c>
      <c r="W85">
        <v>56</v>
      </c>
      <c r="X85">
        <v>189</v>
      </c>
      <c r="Y85">
        <v>139</v>
      </c>
      <c r="Z85">
        <v>24</v>
      </c>
      <c r="AA85">
        <v>425</v>
      </c>
      <c r="AB85">
        <v>62</v>
      </c>
      <c r="AC85">
        <v>393</v>
      </c>
      <c r="AD85">
        <v>76</v>
      </c>
      <c r="AE85">
        <v>108</v>
      </c>
      <c r="AF85">
        <v>57</v>
      </c>
      <c r="AG85">
        <v>183</v>
      </c>
      <c r="AH85" s="1">
        <v>15</v>
      </c>
      <c r="AI85">
        <v>22</v>
      </c>
    </row>
    <row r="86" spans="2:40">
      <c r="B86" t="s">
        <v>61</v>
      </c>
      <c r="N86">
        <v>1333054</v>
      </c>
      <c r="O86">
        <v>614727</v>
      </c>
      <c r="P86">
        <v>665967</v>
      </c>
      <c r="Q86">
        <v>370548</v>
      </c>
      <c r="R86">
        <v>231154</v>
      </c>
      <c r="S86">
        <v>241212</v>
      </c>
      <c r="T86">
        <v>247180</v>
      </c>
      <c r="U86">
        <v>236240</v>
      </c>
      <c r="V86">
        <v>216966</v>
      </c>
      <c r="W86">
        <v>242317</v>
      </c>
      <c r="X86">
        <v>361078</v>
      </c>
      <c r="Y86">
        <v>278310</v>
      </c>
      <c r="Z86">
        <v>136190</v>
      </c>
      <c r="AA86">
        <v>161214</v>
      </c>
      <c r="AB86">
        <v>152751</v>
      </c>
      <c r="AC86">
        <v>136172</v>
      </c>
      <c r="AD86">
        <v>134272</v>
      </c>
      <c r="AE86">
        <v>188214</v>
      </c>
      <c r="AF86">
        <v>151955</v>
      </c>
      <c r="AG86">
        <v>194384</v>
      </c>
      <c r="AH86" s="1">
        <v>147623</v>
      </c>
      <c r="AI86">
        <v>166264</v>
      </c>
      <c r="AJ86">
        <v>141606</v>
      </c>
      <c r="AK86">
        <v>258660</v>
      </c>
      <c r="AL86">
        <v>201423</v>
      </c>
      <c r="AM86">
        <v>891788</v>
      </c>
      <c r="AN86">
        <v>1127723</v>
      </c>
    </row>
    <row r="87" spans="2:40">
      <c r="B87" t="s">
        <v>62</v>
      </c>
      <c r="P87">
        <v>60</v>
      </c>
      <c r="Q87">
        <v>182</v>
      </c>
      <c r="R87">
        <v>122</v>
      </c>
      <c r="S87">
        <v>405</v>
      </c>
      <c r="T87">
        <v>271</v>
      </c>
      <c r="U87">
        <v>271</v>
      </c>
      <c r="V87">
        <v>45</v>
      </c>
      <c r="W87">
        <v>40</v>
      </c>
      <c r="X87">
        <v>260</v>
      </c>
      <c r="Y87">
        <v>141</v>
      </c>
      <c r="Z87">
        <v>213</v>
      </c>
      <c r="AA87">
        <v>122</v>
      </c>
      <c r="AB87">
        <v>8</v>
      </c>
      <c r="AC87">
        <v>17</v>
      </c>
      <c r="AD87">
        <v>17</v>
      </c>
      <c r="AE87">
        <v>24</v>
      </c>
      <c r="AF87">
        <v>173</v>
      </c>
      <c r="AG87">
        <v>31</v>
      </c>
      <c r="AH87" s="1">
        <v>3</v>
      </c>
      <c r="AN87">
        <v>10</v>
      </c>
    </row>
    <row r="88" spans="2:40">
      <c r="B88" t="s">
        <v>63</v>
      </c>
      <c r="N88">
        <v>587</v>
      </c>
      <c r="O88">
        <v>111</v>
      </c>
      <c r="P88">
        <v>2759</v>
      </c>
      <c r="Q88">
        <v>9298</v>
      </c>
      <c r="R88">
        <v>4442</v>
      </c>
      <c r="S88">
        <v>1267</v>
      </c>
      <c r="T88">
        <v>431</v>
      </c>
      <c r="U88">
        <v>1584</v>
      </c>
      <c r="V88">
        <v>851</v>
      </c>
      <c r="W88">
        <v>741</v>
      </c>
      <c r="X88">
        <v>1265</v>
      </c>
      <c r="Y88">
        <v>1637</v>
      </c>
      <c r="Z88">
        <v>1086</v>
      </c>
      <c r="AA88">
        <v>2061</v>
      </c>
      <c r="AB88">
        <v>6002</v>
      </c>
      <c r="AC88">
        <v>4987</v>
      </c>
      <c r="AD88">
        <v>2773</v>
      </c>
      <c r="AE88">
        <v>4272</v>
      </c>
      <c r="AF88">
        <v>4571</v>
      </c>
      <c r="AG88">
        <v>10658</v>
      </c>
      <c r="AH88" s="1">
        <v>19168</v>
      </c>
      <c r="AI88">
        <v>7832</v>
      </c>
      <c r="AJ88">
        <v>5950</v>
      </c>
      <c r="AK88">
        <v>10222</v>
      </c>
      <c r="AL88">
        <v>3077</v>
      </c>
      <c r="AM88">
        <v>7626</v>
      </c>
      <c r="AN88">
        <v>4750</v>
      </c>
    </row>
    <row r="89" spans="2:40">
      <c r="B89" t="s">
        <v>64</v>
      </c>
      <c r="Q89">
        <v>15</v>
      </c>
      <c r="R89">
        <v>2</v>
      </c>
      <c r="T89">
        <v>54</v>
      </c>
      <c r="V89">
        <v>13</v>
      </c>
      <c r="W89">
        <v>5</v>
      </c>
      <c r="AB89">
        <v>3</v>
      </c>
    </row>
    <row r="90" spans="2:40">
      <c r="B90" t="s">
        <v>104</v>
      </c>
      <c r="AA90">
        <v>3</v>
      </c>
      <c r="AB90">
        <v>15</v>
      </c>
      <c r="AC90">
        <v>2</v>
      </c>
      <c r="AD90">
        <v>3</v>
      </c>
      <c r="AF90">
        <v>81</v>
      </c>
      <c r="AG90">
        <v>40</v>
      </c>
      <c r="AH90" s="1">
        <v>6</v>
      </c>
    </row>
    <row r="91" spans="2:40">
      <c r="B91" t="s">
        <v>65</v>
      </c>
      <c r="S91">
        <v>48</v>
      </c>
      <c r="T91">
        <v>236</v>
      </c>
      <c r="U91">
        <v>160</v>
      </c>
      <c r="V91">
        <v>76</v>
      </c>
      <c r="W91">
        <v>30</v>
      </c>
      <c r="X91">
        <v>18</v>
      </c>
    </row>
    <row r="92" spans="2:40">
      <c r="B92" t="s">
        <v>133</v>
      </c>
      <c r="Y92">
        <v>121</v>
      </c>
      <c r="Z92">
        <v>67</v>
      </c>
      <c r="AA92">
        <v>47</v>
      </c>
      <c r="AB92">
        <v>41</v>
      </c>
      <c r="AC92">
        <v>38</v>
      </c>
      <c r="AD92">
        <v>15</v>
      </c>
      <c r="AE92">
        <v>46</v>
      </c>
      <c r="AF92">
        <v>12147</v>
      </c>
      <c r="AG92">
        <v>229</v>
      </c>
      <c r="AH92" s="1">
        <v>6</v>
      </c>
    </row>
    <row r="93" spans="2:40">
      <c r="B93" t="s">
        <v>66</v>
      </c>
      <c r="P93">
        <v>107</v>
      </c>
      <c r="Q93">
        <v>73</v>
      </c>
      <c r="R93">
        <v>47</v>
      </c>
      <c r="S93">
        <v>261</v>
      </c>
      <c r="T93">
        <v>464</v>
      </c>
      <c r="U93">
        <v>1171</v>
      </c>
      <c r="V93">
        <v>118</v>
      </c>
      <c r="W93">
        <v>28</v>
      </c>
      <c r="X93">
        <v>506</v>
      </c>
      <c r="Y93">
        <v>24</v>
      </c>
      <c r="Z93">
        <v>13</v>
      </c>
      <c r="AA93">
        <v>21</v>
      </c>
      <c r="AB93">
        <v>159</v>
      </c>
      <c r="AC93">
        <v>11</v>
      </c>
      <c r="AD93">
        <v>31</v>
      </c>
      <c r="AE93">
        <v>10</v>
      </c>
      <c r="AF93">
        <v>54</v>
      </c>
      <c r="AG93">
        <v>151</v>
      </c>
      <c r="AH93" s="1">
        <v>10</v>
      </c>
      <c r="AK93">
        <v>29</v>
      </c>
      <c r="AN93">
        <v>624</v>
      </c>
    </row>
    <row r="94" spans="2:40">
      <c r="B94" t="s">
        <v>112</v>
      </c>
      <c r="Y94">
        <v>444</v>
      </c>
      <c r="Z94">
        <v>252</v>
      </c>
      <c r="AA94">
        <v>1752</v>
      </c>
      <c r="AB94">
        <v>223</v>
      </c>
      <c r="AC94">
        <v>337</v>
      </c>
      <c r="AD94">
        <v>319</v>
      </c>
      <c r="AE94">
        <v>344</v>
      </c>
      <c r="AF94">
        <v>188</v>
      </c>
      <c r="AG94">
        <v>203</v>
      </c>
      <c r="AH94" s="1">
        <v>82</v>
      </c>
      <c r="AK94">
        <v>259</v>
      </c>
      <c r="AL94">
        <v>28</v>
      </c>
      <c r="AM94">
        <v>8</v>
      </c>
    </row>
    <row r="95" spans="2:40">
      <c r="B95" t="s">
        <v>67</v>
      </c>
      <c r="P95">
        <v>109</v>
      </c>
      <c r="Q95">
        <v>4922</v>
      </c>
      <c r="R95">
        <v>1542</v>
      </c>
      <c r="S95">
        <v>1077</v>
      </c>
      <c r="T95">
        <v>126</v>
      </c>
      <c r="U95">
        <v>800</v>
      </c>
      <c r="V95">
        <v>864</v>
      </c>
      <c r="W95">
        <v>617</v>
      </c>
      <c r="X95">
        <v>537</v>
      </c>
    </row>
    <row r="96" spans="2:40">
      <c r="B96" t="s">
        <v>68</v>
      </c>
      <c r="P96">
        <v>24239</v>
      </c>
      <c r="Q96">
        <v>5096</v>
      </c>
      <c r="R96">
        <v>7854</v>
      </c>
      <c r="S96">
        <v>7754</v>
      </c>
      <c r="T96">
        <v>10872</v>
      </c>
      <c r="U96">
        <v>5682</v>
      </c>
      <c r="V96">
        <v>7599</v>
      </c>
      <c r="W96">
        <v>7841</v>
      </c>
      <c r="X96">
        <v>6307</v>
      </c>
    </row>
    <row r="97" spans="2:40">
      <c r="B97" t="s">
        <v>69</v>
      </c>
      <c r="P97">
        <v>29632</v>
      </c>
      <c r="Q97">
        <v>5603</v>
      </c>
      <c r="R97">
        <v>15576</v>
      </c>
      <c r="S97">
        <v>4648</v>
      </c>
      <c r="T97">
        <v>10744</v>
      </c>
      <c r="U97">
        <v>16346</v>
      </c>
      <c r="V97">
        <v>9018</v>
      </c>
      <c r="W97">
        <v>9874</v>
      </c>
      <c r="X97">
        <v>6629</v>
      </c>
      <c r="Y97">
        <v>1546</v>
      </c>
      <c r="Z97">
        <v>815</v>
      </c>
      <c r="AA97">
        <v>13220</v>
      </c>
      <c r="AB97">
        <v>365</v>
      </c>
      <c r="AC97">
        <v>19405</v>
      </c>
      <c r="AD97">
        <v>19702</v>
      </c>
      <c r="AE97">
        <v>43597</v>
      </c>
      <c r="AF97">
        <v>52706</v>
      </c>
      <c r="AG97">
        <v>20448</v>
      </c>
      <c r="AH97" s="1">
        <v>5305</v>
      </c>
      <c r="AI97">
        <v>655</v>
      </c>
    </row>
    <row r="98" spans="2:40">
      <c r="B98" t="s">
        <v>70</v>
      </c>
      <c r="N98">
        <v>1138</v>
      </c>
      <c r="O98">
        <v>4103</v>
      </c>
      <c r="P98">
        <v>951</v>
      </c>
      <c r="Q98">
        <v>584096</v>
      </c>
      <c r="R98">
        <v>67</v>
      </c>
      <c r="S98">
        <v>104</v>
      </c>
      <c r="T98">
        <v>71</v>
      </c>
      <c r="U98">
        <v>94</v>
      </c>
      <c r="V98">
        <v>317</v>
      </c>
      <c r="W98">
        <v>55</v>
      </c>
      <c r="X98">
        <v>75</v>
      </c>
      <c r="Y98">
        <v>22</v>
      </c>
      <c r="Z98">
        <v>3046</v>
      </c>
      <c r="AA98">
        <v>242</v>
      </c>
      <c r="AC98">
        <v>6</v>
      </c>
      <c r="AD98">
        <v>1</v>
      </c>
      <c r="AE98">
        <v>11</v>
      </c>
      <c r="AF98">
        <v>3</v>
      </c>
      <c r="AG98">
        <v>4</v>
      </c>
      <c r="AH98" s="1">
        <v>1</v>
      </c>
      <c r="AK98">
        <v>482</v>
      </c>
      <c r="AL98">
        <v>1118</v>
      </c>
    </row>
    <row r="99" spans="2:40">
      <c r="B99" t="s">
        <v>71</v>
      </c>
      <c r="R99">
        <v>7</v>
      </c>
      <c r="S99">
        <v>1</v>
      </c>
    </row>
    <row r="100" spans="2:40">
      <c r="B100" t="s">
        <v>135</v>
      </c>
      <c r="AJ100">
        <v>10504</v>
      </c>
      <c r="AK100">
        <v>10656</v>
      </c>
      <c r="AL100">
        <v>45163</v>
      </c>
      <c r="AM100">
        <v>6066</v>
      </c>
      <c r="AN100">
        <v>31933</v>
      </c>
    </row>
    <row r="101" spans="2:40">
      <c r="B101" t="s">
        <v>72</v>
      </c>
      <c r="P101">
        <v>1844</v>
      </c>
      <c r="Q101">
        <v>195</v>
      </c>
      <c r="R101">
        <v>52</v>
      </c>
      <c r="S101">
        <v>2</v>
      </c>
      <c r="T101">
        <v>80</v>
      </c>
      <c r="W101">
        <v>8</v>
      </c>
      <c r="Y101">
        <v>2</v>
      </c>
      <c r="Z101">
        <v>64</v>
      </c>
      <c r="AA101">
        <v>65</v>
      </c>
      <c r="AD101">
        <v>1</v>
      </c>
      <c r="AE101">
        <v>7</v>
      </c>
      <c r="AF101">
        <v>3</v>
      </c>
      <c r="AG101">
        <v>195</v>
      </c>
    </row>
    <row r="102" spans="2:40">
      <c r="B102" t="s">
        <v>73</v>
      </c>
      <c r="N102">
        <v>1291</v>
      </c>
      <c r="O102">
        <v>3999</v>
      </c>
      <c r="P102">
        <v>20456</v>
      </c>
      <c r="Q102">
        <v>579</v>
      </c>
      <c r="R102">
        <v>1057</v>
      </c>
      <c r="S102">
        <v>259</v>
      </c>
      <c r="T102">
        <v>663</v>
      </c>
      <c r="U102">
        <v>1590</v>
      </c>
      <c r="V102">
        <v>4877</v>
      </c>
      <c r="W102">
        <v>6487</v>
      </c>
      <c r="X102">
        <v>236</v>
      </c>
      <c r="Y102">
        <v>546</v>
      </c>
      <c r="Z102">
        <v>454</v>
      </c>
      <c r="AA102">
        <v>331</v>
      </c>
      <c r="AB102">
        <v>288</v>
      </c>
      <c r="AC102">
        <v>1123</v>
      </c>
      <c r="AD102">
        <v>914</v>
      </c>
      <c r="AE102">
        <v>130</v>
      </c>
      <c r="AH102" s="1">
        <v>4</v>
      </c>
      <c r="AI102">
        <v>9</v>
      </c>
      <c r="AN102">
        <v>2</v>
      </c>
    </row>
    <row r="103" spans="2:40">
      <c r="B103" t="s">
        <v>145</v>
      </c>
      <c r="AA103">
        <v>17</v>
      </c>
      <c r="AB103">
        <v>6</v>
      </c>
      <c r="AC103">
        <v>2</v>
      </c>
      <c r="AD103">
        <v>16</v>
      </c>
      <c r="AE103">
        <v>13</v>
      </c>
      <c r="AF103">
        <v>27</v>
      </c>
      <c r="AG103">
        <v>100</v>
      </c>
      <c r="AH103" s="1">
        <v>415</v>
      </c>
    </row>
    <row r="104" spans="2:40">
      <c r="B104" t="s">
        <v>146</v>
      </c>
      <c r="AC104">
        <v>5</v>
      </c>
      <c r="AD104">
        <v>3</v>
      </c>
      <c r="AE104">
        <v>2</v>
      </c>
    </row>
    <row r="105" spans="2:40">
      <c r="B105" t="s">
        <v>74</v>
      </c>
      <c r="N105">
        <v>195812</v>
      </c>
      <c r="O105">
        <v>631</v>
      </c>
      <c r="P105">
        <v>975</v>
      </c>
      <c r="Q105">
        <v>470</v>
      </c>
      <c r="R105">
        <v>567</v>
      </c>
      <c r="S105">
        <v>342</v>
      </c>
      <c r="T105">
        <v>496</v>
      </c>
      <c r="U105">
        <v>946</v>
      </c>
      <c r="V105">
        <v>719</v>
      </c>
      <c r="W105">
        <v>2159</v>
      </c>
      <c r="X105">
        <v>479</v>
      </c>
      <c r="Y105">
        <v>140</v>
      </c>
      <c r="Z105">
        <v>468</v>
      </c>
      <c r="AA105">
        <v>1364</v>
      </c>
      <c r="AB105">
        <v>595</v>
      </c>
      <c r="AC105">
        <v>689</v>
      </c>
      <c r="AD105">
        <v>330</v>
      </c>
      <c r="AE105">
        <v>1178</v>
      </c>
      <c r="AF105">
        <v>1191</v>
      </c>
      <c r="AG105">
        <v>754</v>
      </c>
      <c r="AH105" s="1">
        <v>727</v>
      </c>
      <c r="AI105">
        <v>45</v>
      </c>
    </row>
    <row r="106" spans="2:40">
      <c r="B106" t="s">
        <v>75</v>
      </c>
      <c r="N106">
        <v>5881</v>
      </c>
      <c r="O106">
        <v>21095</v>
      </c>
      <c r="P106">
        <v>17978</v>
      </c>
      <c r="Q106">
        <v>8539</v>
      </c>
      <c r="R106">
        <v>15141</v>
      </c>
      <c r="S106">
        <v>13615</v>
      </c>
      <c r="T106">
        <v>12052</v>
      </c>
      <c r="U106">
        <v>7560</v>
      </c>
      <c r="V106">
        <v>9266</v>
      </c>
      <c r="W106">
        <v>12299</v>
      </c>
      <c r="X106">
        <v>8712</v>
      </c>
      <c r="Y106">
        <v>6354</v>
      </c>
      <c r="Z106">
        <v>3426</v>
      </c>
      <c r="AA106">
        <v>17742</v>
      </c>
      <c r="AB106">
        <v>17913</v>
      </c>
      <c r="AC106">
        <v>5310</v>
      </c>
      <c r="AD106">
        <v>8084</v>
      </c>
      <c r="AE106">
        <v>11328</v>
      </c>
      <c r="AF106">
        <v>3904</v>
      </c>
      <c r="AG106">
        <v>7184</v>
      </c>
      <c r="AH106" s="1">
        <v>12590</v>
      </c>
      <c r="AI106">
        <v>2011</v>
      </c>
      <c r="AJ106">
        <v>22</v>
      </c>
      <c r="AN106">
        <v>1292</v>
      </c>
    </row>
    <row r="107" spans="2:40">
      <c r="B107" t="s">
        <v>76</v>
      </c>
      <c r="N107">
        <v>1344249</v>
      </c>
      <c r="O107">
        <v>462911</v>
      </c>
      <c r="P107">
        <v>576790</v>
      </c>
      <c r="Q107">
        <v>285248</v>
      </c>
      <c r="R107">
        <v>138705</v>
      </c>
      <c r="S107">
        <v>114901</v>
      </c>
      <c r="T107">
        <v>127595</v>
      </c>
      <c r="U107">
        <v>138712</v>
      </c>
      <c r="V107">
        <v>182332</v>
      </c>
      <c r="W107">
        <v>200655</v>
      </c>
      <c r="X107">
        <v>326593</v>
      </c>
      <c r="Y107">
        <v>113077</v>
      </c>
      <c r="Z107">
        <v>64411</v>
      </c>
      <c r="AA107">
        <v>80167</v>
      </c>
      <c r="AB107">
        <v>48425</v>
      </c>
      <c r="AC107">
        <v>39117</v>
      </c>
      <c r="AD107">
        <v>49639</v>
      </c>
      <c r="AE107">
        <v>35410</v>
      </c>
      <c r="AF107">
        <v>39430</v>
      </c>
      <c r="AG107">
        <v>26449</v>
      </c>
      <c r="AH107" s="1">
        <v>41263</v>
      </c>
      <c r="AI107">
        <v>12821</v>
      </c>
      <c r="AJ107">
        <v>69210</v>
      </c>
      <c r="AK107">
        <v>53637</v>
      </c>
      <c r="AL107">
        <v>34154</v>
      </c>
      <c r="AM107">
        <v>45534</v>
      </c>
      <c r="AN107">
        <v>38465</v>
      </c>
    </row>
    <row r="108" spans="2:40">
      <c r="B108" t="s">
        <v>77</v>
      </c>
      <c r="N108">
        <v>524545</v>
      </c>
      <c r="O108">
        <v>205573</v>
      </c>
      <c r="P108">
        <v>1882162</v>
      </c>
      <c r="Q108">
        <v>143689</v>
      </c>
      <c r="R108">
        <v>64515</v>
      </c>
      <c r="S108">
        <v>34664</v>
      </c>
      <c r="T108">
        <v>37549</v>
      </c>
      <c r="U108">
        <v>21211</v>
      </c>
      <c r="V108">
        <v>17944</v>
      </c>
      <c r="W108">
        <v>24788</v>
      </c>
      <c r="X108">
        <v>31999</v>
      </c>
      <c r="Y108">
        <v>19734</v>
      </c>
      <c r="Z108">
        <v>7931</v>
      </c>
      <c r="AA108">
        <v>4636</v>
      </c>
      <c r="AB108">
        <v>2089</v>
      </c>
      <c r="AC108">
        <v>2914</v>
      </c>
      <c r="AD108">
        <v>1061</v>
      </c>
      <c r="AE108">
        <v>3198</v>
      </c>
      <c r="AF108">
        <v>2683</v>
      </c>
      <c r="AG108">
        <v>2061</v>
      </c>
      <c r="AH108" s="1">
        <v>4723</v>
      </c>
      <c r="AI108">
        <v>2980</v>
      </c>
      <c r="AJ108">
        <v>7166</v>
      </c>
      <c r="AK108">
        <v>4816</v>
      </c>
      <c r="AL108">
        <v>10699</v>
      </c>
      <c r="AM108">
        <v>3148</v>
      </c>
      <c r="AN108">
        <v>4746</v>
      </c>
    </row>
    <row r="109" spans="2:40">
      <c r="B109" t="s">
        <v>78</v>
      </c>
      <c r="N109">
        <v>2190</v>
      </c>
      <c r="O109">
        <v>15634</v>
      </c>
      <c r="P109">
        <v>12822</v>
      </c>
      <c r="Q109">
        <v>15785</v>
      </c>
      <c r="R109">
        <v>20605</v>
      </c>
      <c r="S109">
        <v>13249</v>
      </c>
      <c r="T109">
        <v>18117</v>
      </c>
      <c r="U109">
        <v>24703</v>
      </c>
      <c r="V109">
        <v>22143</v>
      </c>
      <c r="W109">
        <v>20765</v>
      </c>
      <c r="X109">
        <v>31750</v>
      </c>
      <c r="Y109">
        <v>17047</v>
      </c>
      <c r="Z109">
        <v>14173</v>
      </c>
      <c r="AA109">
        <v>8406</v>
      </c>
      <c r="AB109">
        <v>4557</v>
      </c>
      <c r="AC109">
        <v>5370</v>
      </c>
      <c r="AD109">
        <v>3502</v>
      </c>
      <c r="AE109">
        <v>3533</v>
      </c>
      <c r="AF109">
        <v>4660</v>
      </c>
      <c r="AG109">
        <v>8456</v>
      </c>
      <c r="AH109" s="1">
        <v>7528</v>
      </c>
      <c r="AI109">
        <v>12382</v>
      </c>
      <c r="AJ109">
        <v>2206</v>
      </c>
      <c r="AK109">
        <v>1426</v>
      </c>
      <c r="AL109">
        <v>226</v>
      </c>
      <c r="AM109">
        <v>2017</v>
      </c>
      <c r="AN109">
        <v>18553</v>
      </c>
    </row>
    <row r="110" spans="2:40">
      <c r="B110" t="s">
        <v>79</v>
      </c>
      <c r="S110">
        <v>232</v>
      </c>
      <c r="U110">
        <v>9</v>
      </c>
      <c r="W110">
        <v>4</v>
      </c>
      <c r="X110">
        <v>2</v>
      </c>
      <c r="Z110">
        <v>1</v>
      </c>
      <c r="AA110">
        <v>2</v>
      </c>
      <c r="AB110">
        <v>1</v>
      </c>
      <c r="AC110">
        <v>13</v>
      </c>
      <c r="AD110">
        <v>3</v>
      </c>
      <c r="AE110">
        <v>6</v>
      </c>
      <c r="AG110">
        <v>2</v>
      </c>
    </row>
    <row r="111" spans="2:40">
      <c r="B111" t="s">
        <v>80</v>
      </c>
      <c r="P111">
        <v>34</v>
      </c>
      <c r="Q111">
        <v>24</v>
      </c>
      <c r="R111">
        <v>8</v>
      </c>
      <c r="S111">
        <v>10</v>
      </c>
      <c r="T111">
        <v>8</v>
      </c>
      <c r="U111">
        <v>7</v>
      </c>
      <c r="V111">
        <v>33</v>
      </c>
      <c r="X111">
        <v>45</v>
      </c>
      <c r="Y111">
        <v>177</v>
      </c>
      <c r="AA111">
        <v>3</v>
      </c>
      <c r="AC111">
        <v>1</v>
      </c>
      <c r="AF111">
        <v>4</v>
      </c>
    </row>
    <row r="112" spans="2:40">
      <c r="B112" t="s">
        <v>105</v>
      </c>
      <c r="AA112">
        <v>20</v>
      </c>
      <c r="AB112">
        <v>1132</v>
      </c>
      <c r="AC112">
        <v>52</v>
      </c>
      <c r="AD112">
        <v>145</v>
      </c>
      <c r="AE112">
        <v>94</v>
      </c>
      <c r="AF112">
        <v>473</v>
      </c>
      <c r="AG112">
        <v>7125</v>
      </c>
      <c r="AH112" s="1">
        <v>125</v>
      </c>
      <c r="AI112">
        <v>70</v>
      </c>
    </row>
    <row r="113" spans="2:40">
      <c r="B113" t="s">
        <v>81</v>
      </c>
      <c r="P113">
        <v>2430</v>
      </c>
      <c r="Q113">
        <v>99</v>
      </c>
      <c r="R113">
        <v>44</v>
      </c>
      <c r="S113">
        <v>726</v>
      </c>
      <c r="T113">
        <v>942</v>
      </c>
      <c r="U113">
        <v>1520</v>
      </c>
      <c r="V113">
        <v>844</v>
      </c>
      <c r="W113">
        <v>630</v>
      </c>
      <c r="X113">
        <v>407</v>
      </c>
      <c r="Y113">
        <v>674</v>
      </c>
      <c r="Z113">
        <v>139</v>
      </c>
      <c r="AA113">
        <v>134</v>
      </c>
      <c r="AB113">
        <v>3571</v>
      </c>
      <c r="AC113">
        <v>83</v>
      </c>
      <c r="AD113">
        <v>98</v>
      </c>
      <c r="AE113">
        <v>1652</v>
      </c>
      <c r="AF113">
        <v>1526</v>
      </c>
      <c r="AG113">
        <v>8607</v>
      </c>
      <c r="AH113" s="1">
        <v>747</v>
      </c>
      <c r="AI113">
        <v>1</v>
      </c>
    </row>
    <row r="114" spans="2:40">
      <c r="B114" t="s">
        <v>152</v>
      </c>
      <c r="AE114">
        <v>80</v>
      </c>
      <c r="AG114">
        <v>3</v>
      </c>
    </row>
    <row r="115" spans="2:40">
      <c r="B115" t="s">
        <v>106</v>
      </c>
      <c r="AB115">
        <v>3</v>
      </c>
      <c r="AC115">
        <v>71</v>
      </c>
      <c r="AD115">
        <v>99</v>
      </c>
      <c r="AE115">
        <v>280</v>
      </c>
      <c r="AF115">
        <v>484</v>
      </c>
      <c r="AG115">
        <v>721</v>
      </c>
      <c r="AH115" s="1">
        <v>689</v>
      </c>
      <c r="AI115">
        <v>151</v>
      </c>
      <c r="AJ115">
        <v>120</v>
      </c>
      <c r="AK115">
        <v>944</v>
      </c>
      <c r="AL115">
        <v>546</v>
      </c>
      <c r="AM115">
        <v>7555</v>
      </c>
      <c r="AN115">
        <v>160</v>
      </c>
    </row>
    <row r="116" spans="2:40">
      <c r="B116" t="s">
        <v>143</v>
      </c>
      <c r="AA116">
        <v>2</v>
      </c>
      <c r="AB116">
        <v>47</v>
      </c>
      <c r="AD116">
        <v>272</v>
      </c>
      <c r="AE116">
        <v>10</v>
      </c>
      <c r="AF116">
        <v>382</v>
      </c>
      <c r="AG116">
        <v>17</v>
      </c>
      <c r="AH116" s="1">
        <v>280</v>
      </c>
      <c r="AI116">
        <v>3</v>
      </c>
      <c r="AK116">
        <v>68</v>
      </c>
      <c r="AL116">
        <v>92</v>
      </c>
      <c r="AM116">
        <v>18</v>
      </c>
    </row>
    <row r="117" spans="2:40">
      <c r="B117" t="s">
        <v>144</v>
      </c>
      <c r="AB117">
        <v>344</v>
      </c>
      <c r="AC117">
        <v>144</v>
      </c>
      <c r="AD117">
        <v>18</v>
      </c>
      <c r="AE117">
        <v>7</v>
      </c>
      <c r="AF117">
        <v>17</v>
      </c>
      <c r="AG117">
        <v>158</v>
      </c>
      <c r="AH117" s="1">
        <v>31</v>
      </c>
      <c r="AI117">
        <v>35</v>
      </c>
      <c r="AJ117">
        <v>39</v>
      </c>
      <c r="AK117">
        <v>43</v>
      </c>
      <c r="AL117">
        <v>64</v>
      </c>
      <c r="AM117">
        <v>8</v>
      </c>
    </row>
    <row r="118" spans="2:40">
      <c r="B118" t="s">
        <v>162</v>
      </c>
      <c r="AA118">
        <v>3</v>
      </c>
    </row>
    <row r="119" spans="2:40">
      <c r="B119" t="s">
        <v>155</v>
      </c>
      <c r="AA119">
        <v>1</v>
      </c>
      <c r="AB119">
        <v>7</v>
      </c>
      <c r="AC119">
        <v>1</v>
      </c>
      <c r="AG119">
        <v>3</v>
      </c>
    </row>
    <row r="120" spans="2:40">
      <c r="B120" t="s">
        <v>154</v>
      </c>
      <c r="Y120">
        <v>14</v>
      </c>
      <c r="AA120">
        <v>3</v>
      </c>
      <c r="AB120">
        <v>1</v>
      </c>
      <c r="AD120">
        <v>25</v>
      </c>
      <c r="AE120">
        <v>1</v>
      </c>
      <c r="AG120">
        <v>2</v>
      </c>
      <c r="AH120" s="1">
        <v>17</v>
      </c>
      <c r="AI120">
        <v>14</v>
      </c>
      <c r="AJ120">
        <v>2</v>
      </c>
    </row>
    <row r="121" spans="2:40">
      <c r="B121" t="s">
        <v>159</v>
      </c>
      <c r="AC121">
        <v>5</v>
      </c>
      <c r="AE121">
        <v>3</v>
      </c>
      <c r="AH121" s="1">
        <v>5</v>
      </c>
    </row>
    <row r="122" spans="2:40">
      <c r="B122" t="s">
        <v>150</v>
      </c>
      <c r="AC122">
        <v>85</v>
      </c>
      <c r="AD122">
        <v>4</v>
      </c>
      <c r="AF122">
        <v>24</v>
      </c>
      <c r="AG122">
        <v>4</v>
      </c>
      <c r="AH122" s="1">
        <v>34</v>
      </c>
      <c r="AJ122">
        <v>1</v>
      </c>
    </row>
    <row r="123" spans="2:40">
      <c r="B123" t="s">
        <v>170</v>
      </c>
      <c r="N123">
        <v>1440</v>
      </c>
      <c r="O123">
        <v>241</v>
      </c>
    </row>
    <row r="124" spans="2:40">
      <c r="B124" t="s">
        <v>167</v>
      </c>
      <c r="N124">
        <v>62</v>
      </c>
      <c r="O124">
        <v>464</v>
      </c>
    </row>
    <row r="125" spans="2:40">
      <c r="B125" t="s">
        <v>153</v>
      </c>
      <c r="Y125">
        <v>97156</v>
      </c>
      <c r="Z125">
        <v>75499</v>
      </c>
      <c r="AA125">
        <v>107386</v>
      </c>
      <c r="AB125">
        <v>129407</v>
      </c>
      <c r="AC125">
        <v>84026</v>
      </c>
      <c r="AD125">
        <v>109214</v>
      </c>
      <c r="AE125">
        <v>126947</v>
      </c>
      <c r="AF125">
        <v>107337</v>
      </c>
      <c r="AG125">
        <v>93040</v>
      </c>
      <c r="AH125" s="1">
        <v>110731</v>
      </c>
      <c r="AI125">
        <v>134143</v>
      </c>
      <c r="AJ125">
        <v>28723</v>
      </c>
      <c r="AK125">
        <v>19247</v>
      </c>
      <c r="AL125">
        <v>301504</v>
      </c>
      <c r="AM125">
        <v>79234</v>
      </c>
      <c r="AN125">
        <v>62952</v>
      </c>
    </row>
    <row r="127" spans="2:40">
      <c r="B127" t="s">
        <v>82</v>
      </c>
      <c r="N127">
        <v>239430</v>
      </c>
      <c r="O127">
        <v>552938</v>
      </c>
      <c r="P127">
        <v>277841</v>
      </c>
      <c r="Q127">
        <v>243036</v>
      </c>
      <c r="R127">
        <v>270968</v>
      </c>
      <c r="S127">
        <v>266988</v>
      </c>
      <c r="T127">
        <v>197868</v>
      </c>
      <c r="U127">
        <v>161428</v>
      </c>
      <c r="V127">
        <v>185030</v>
      </c>
      <c r="W127">
        <v>149796</v>
      </c>
      <c r="X127">
        <v>99303</v>
      </c>
    </row>
    <row r="128" spans="2:40">
      <c r="B128" t="s">
        <v>161</v>
      </c>
      <c r="AJ128">
        <v>69474</v>
      </c>
      <c r="AK128">
        <v>83008</v>
      </c>
      <c r="AL128">
        <v>775947</v>
      </c>
      <c r="AM128">
        <v>631367</v>
      </c>
      <c r="AN128">
        <v>291519</v>
      </c>
    </row>
    <row r="130" spans="14:42">
      <c r="N130">
        <f t="shared" ref="N130:Q130" si="0">SUM(N4:N127)</f>
        <v>4307401</v>
      </c>
      <c r="O130">
        <f t="shared" si="0"/>
        <v>2551894</v>
      </c>
      <c r="P130">
        <f t="shared" si="0"/>
        <v>6127894</v>
      </c>
      <c r="Q130">
        <f t="shared" si="0"/>
        <v>2661246</v>
      </c>
      <c r="R130">
        <f t="shared" ref="R130:AC130" si="1">SUM(R4:R127)</f>
        <v>1465846</v>
      </c>
      <c r="S130">
        <f t="shared" si="1"/>
        <v>1470143</v>
      </c>
      <c r="T130">
        <f t="shared" si="1"/>
        <v>1270174</v>
      </c>
      <c r="U130">
        <f t="shared" si="1"/>
        <v>1369689</v>
      </c>
      <c r="V130">
        <f t="shared" si="1"/>
        <v>1369851</v>
      </c>
      <c r="W130">
        <f t="shared" si="1"/>
        <v>1397780</v>
      </c>
      <c r="X130">
        <f t="shared" si="1"/>
        <v>1600196</v>
      </c>
      <c r="Y130">
        <f t="shared" si="1"/>
        <v>964043</v>
      </c>
      <c r="Z130">
        <f t="shared" si="1"/>
        <v>723099</v>
      </c>
      <c r="AA130">
        <f t="shared" si="1"/>
        <v>714047</v>
      </c>
      <c r="AB130">
        <f t="shared" si="1"/>
        <v>671287</v>
      </c>
      <c r="AC130">
        <f t="shared" si="1"/>
        <v>568941</v>
      </c>
      <c r="AD130">
        <f t="shared" ref="AD130:AJ130" si="2">SUM(AD4:AD129)</f>
        <v>992007</v>
      </c>
      <c r="AE130">
        <f t="shared" si="2"/>
        <v>897200</v>
      </c>
      <c r="AF130">
        <f t="shared" si="2"/>
        <v>870992</v>
      </c>
      <c r="AG130">
        <f t="shared" si="2"/>
        <v>782529</v>
      </c>
      <c r="AH130" s="1">
        <f t="shared" si="2"/>
        <v>750567</v>
      </c>
      <c r="AI130">
        <f t="shared" si="2"/>
        <v>509792</v>
      </c>
      <c r="AJ130">
        <f t="shared" si="2"/>
        <v>489513</v>
      </c>
      <c r="AK130">
        <f>SUM(AK4:AK129)</f>
        <v>536876</v>
      </c>
      <c r="AL130">
        <f t="shared" ref="AL130:AP130" si="3">SUM(AL4:AL129)</f>
        <v>1549338</v>
      </c>
      <c r="AM130">
        <f t="shared" si="3"/>
        <v>3056051</v>
      </c>
      <c r="AN130">
        <f t="shared" si="3"/>
        <v>3529360</v>
      </c>
      <c r="AO130">
        <f t="shared" si="3"/>
        <v>0</v>
      </c>
      <c r="AP130">
        <f t="shared" si="3"/>
        <v>0</v>
      </c>
    </row>
    <row r="132" spans="14:42">
      <c r="N132">
        <f>4307401-N130</f>
        <v>0</v>
      </c>
      <c r="O132">
        <f>2551894-O130</f>
        <v>0</v>
      </c>
      <c r="P132">
        <f>6127894-P130</f>
        <v>0</v>
      </c>
      <c r="Q132">
        <f>2661246-Q130</f>
        <v>0</v>
      </c>
      <c r="R132">
        <f>1465846-R130</f>
        <v>0</v>
      </c>
      <c r="S132">
        <f>1470143-S130</f>
        <v>0</v>
      </c>
      <c r="T132">
        <f>1270174-T130</f>
        <v>0</v>
      </c>
      <c r="U132">
        <f>1369689-U130</f>
        <v>0</v>
      </c>
      <c r="V132">
        <f>1369851-V130</f>
        <v>0</v>
      </c>
      <c r="W132">
        <f>1397780-W130</f>
        <v>0</v>
      </c>
      <c r="X132">
        <f>1600196-X130</f>
        <v>0</v>
      </c>
      <c r="Y132">
        <f>964043-Y130</f>
        <v>0</v>
      </c>
      <c r="Z132">
        <f>723099-Z130</f>
        <v>0</v>
      </c>
      <c r="AA132">
        <f>714047-AA130</f>
        <v>0</v>
      </c>
      <c r="AB132">
        <f>671287-AB130</f>
        <v>0</v>
      </c>
      <c r="AC132">
        <f>568941-AC130</f>
        <v>0</v>
      </c>
      <c r="AD132">
        <f>992007-AD130</f>
        <v>0</v>
      </c>
      <c r="AE132">
        <f>897200-AE130</f>
        <v>0</v>
      </c>
      <c r="AF132">
        <f>870992-AF130</f>
        <v>0</v>
      </c>
      <c r="AG132">
        <f>782529-AG130</f>
        <v>0</v>
      </c>
      <c r="AH132" s="1">
        <f>750567-AH130</f>
        <v>0</v>
      </c>
      <c r="AI132">
        <f>509792-AI130</f>
        <v>0</v>
      </c>
      <c r="AJ132">
        <f>489513-AJ130</f>
        <v>0</v>
      </c>
      <c r="AK132">
        <f>536876-AK130</f>
        <v>0</v>
      </c>
      <c r="AL132">
        <f>1549338-AL130</f>
        <v>0</v>
      </c>
      <c r="AM132">
        <f>3056051-AM130</f>
        <v>0</v>
      </c>
      <c r="AN132">
        <f>3529360-AN130</f>
        <v>0</v>
      </c>
    </row>
    <row r="134" spans="14:42">
      <c r="P134" t="s">
        <v>89</v>
      </c>
      <c r="Q134" t="s">
        <v>89</v>
      </c>
      <c r="R134" t="s">
        <v>87</v>
      </c>
      <c r="S134" t="s">
        <v>87</v>
      </c>
      <c r="T134" t="s">
        <v>87</v>
      </c>
      <c r="U134" t="s">
        <v>87</v>
      </c>
      <c r="V134" t="s">
        <v>87</v>
      </c>
    </row>
    <row r="136" spans="14:42">
      <c r="P136" t="s">
        <v>88</v>
      </c>
      <c r="Q136" t="s">
        <v>88</v>
      </c>
      <c r="R136" t="s">
        <v>88</v>
      </c>
      <c r="S136" t="s">
        <v>88</v>
      </c>
      <c r="T136" t="s">
        <v>88</v>
      </c>
      <c r="U136" t="s">
        <v>88</v>
      </c>
      <c r="V13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reexports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2009-02-13T19:04:46Z</dcterms:created>
  <dcterms:modified xsi:type="dcterms:W3CDTF">2012-01-16T19:00:29Z</dcterms:modified>
</cp:coreProperties>
</file>