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15" windowHeight="11220" activeTab="1"/>
  </bookViews>
  <sheets>
    <sheet name="imports" sheetId="1" r:id="rId1"/>
    <sheet name="exports" sheetId="6" r:id="rId2"/>
    <sheet name="Sheet2" sheetId="2" r:id="rId3"/>
    <sheet name="imp_jm" sheetId="3" r:id="rId4"/>
    <sheet name="imp_oth" sheetId="4" r:id="rId5"/>
    <sheet name="imp_gov" sheetId="5" r:id="rId6"/>
  </sheets>
  <calcPr calcId="125725"/>
</workbook>
</file>

<file path=xl/calcChain.xml><?xml version="1.0" encoding="utf-8"?>
<calcChain xmlns="http://schemas.openxmlformats.org/spreadsheetml/2006/main">
  <c r="AG4" i="1"/>
  <c r="AH4"/>
  <c r="AG5"/>
  <c r="AH5"/>
  <c r="AG6"/>
  <c r="AH6"/>
  <c r="AG7"/>
  <c r="AH7"/>
  <c r="AG8"/>
  <c r="AH8"/>
  <c r="AG9"/>
  <c r="AH9"/>
  <c r="AG10"/>
  <c r="AH10"/>
  <c r="AG12"/>
  <c r="AH12"/>
  <c r="AG13"/>
  <c r="AH13"/>
  <c r="AG14"/>
  <c r="AH14"/>
  <c r="AG15"/>
  <c r="AH15"/>
  <c r="AG16"/>
  <c r="AH16"/>
  <c r="AG17"/>
  <c r="AH17"/>
  <c r="AG18"/>
  <c r="AH18"/>
  <c r="AG19"/>
  <c r="AH19"/>
  <c r="AG21"/>
  <c r="AH21"/>
  <c r="AG22"/>
  <c r="AH22"/>
  <c r="AG23"/>
  <c r="AH23"/>
  <c r="AG24"/>
  <c r="AH24"/>
  <c r="AG25"/>
  <c r="AH25"/>
  <c r="AG26"/>
  <c r="AH26"/>
  <c r="AG27"/>
  <c r="AH27"/>
  <c r="AG28"/>
  <c r="AH28"/>
  <c r="AG29"/>
  <c r="AH29"/>
  <c r="AG30"/>
  <c r="AH30"/>
  <c r="AG31"/>
  <c r="AH31"/>
  <c r="AG32"/>
  <c r="AH32"/>
  <c r="AG33"/>
  <c r="AH33"/>
  <c r="AG35"/>
  <c r="AH35"/>
  <c r="AG36"/>
  <c r="AH36"/>
  <c r="AG37"/>
  <c r="AH37"/>
  <c r="AG38"/>
  <c r="AH38"/>
  <c r="AG39"/>
  <c r="AH39"/>
  <c r="AG40"/>
  <c r="AH40"/>
  <c r="AG43"/>
  <c r="AH43"/>
  <c r="AG44"/>
  <c r="AH44"/>
  <c r="AG46"/>
  <c r="AH46"/>
  <c r="AG47"/>
  <c r="AH47"/>
  <c r="AG55"/>
  <c r="AH55"/>
  <c r="AG56"/>
  <c r="AH56"/>
  <c r="AG57"/>
  <c r="AH57"/>
  <c r="AG58"/>
  <c r="AH58"/>
  <c r="AG62"/>
  <c r="AH62"/>
  <c r="AG63"/>
  <c r="AH63"/>
  <c r="AG64"/>
  <c r="AH64"/>
  <c r="AG65"/>
  <c r="AH65"/>
  <c r="AG66"/>
  <c r="AH66"/>
  <c r="AG67"/>
  <c r="AH67"/>
  <c r="AG70"/>
  <c r="AH70"/>
  <c r="AG71"/>
  <c r="AH71"/>
  <c r="AG72"/>
  <c r="AH72"/>
  <c r="AG73"/>
  <c r="AH73"/>
  <c r="AG74"/>
  <c r="AH74"/>
  <c r="AG76"/>
  <c r="AH76"/>
  <c r="AG77"/>
  <c r="AH77"/>
  <c r="AG79"/>
  <c r="AH79"/>
  <c r="AG80"/>
  <c r="AH80"/>
  <c r="AG81"/>
  <c r="AH81"/>
  <c r="AG82"/>
  <c r="AH82"/>
  <c r="AG83"/>
  <c r="AH83"/>
  <c r="AG84"/>
  <c r="AH84"/>
  <c r="AG85"/>
  <c r="AH85"/>
  <c r="AG86"/>
  <c r="AH86"/>
  <c r="AG87"/>
  <c r="AH87"/>
  <c r="AG88"/>
  <c r="AH88"/>
  <c r="AG92"/>
  <c r="AH92"/>
  <c r="AG93"/>
  <c r="AH93"/>
  <c r="AG94"/>
  <c r="AH94"/>
  <c r="AG96"/>
  <c r="AH96"/>
  <c r="AG97"/>
  <c r="AH97"/>
  <c r="AG98"/>
  <c r="AH98"/>
  <c r="AG99"/>
  <c r="AH99"/>
  <c r="AG101"/>
  <c r="AH101"/>
  <c r="AG102"/>
  <c r="AH102"/>
  <c r="AG104"/>
  <c r="AH104"/>
  <c r="AG105"/>
  <c r="AH105"/>
  <c r="AG106"/>
  <c r="AH106"/>
  <c r="AG107"/>
  <c r="AH107"/>
  <c r="AG108"/>
  <c r="AH108"/>
  <c r="AG109"/>
  <c r="AH109"/>
  <c r="AG110"/>
  <c r="AH110"/>
  <c r="AG111"/>
  <c r="AH111"/>
  <c r="AG112"/>
  <c r="AH112"/>
  <c r="AG113"/>
  <c r="AH113"/>
  <c r="AG116"/>
  <c r="AH116"/>
  <c r="AG117"/>
  <c r="AH117"/>
  <c r="AG118"/>
  <c r="AH118"/>
  <c r="AD116"/>
  <c r="AE116"/>
  <c r="AF116"/>
  <c r="AD117"/>
  <c r="AE117"/>
  <c r="AF117"/>
  <c r="AD118"/>
  <c r="AE118"/>
  <c r="AF118"/>
  <c r="AC117"/>
  <c r="AC118"/>
  <c r="AC116"/>
  <c r="AC111"/>
  <c r="AD111"/>
  <c r="AE111"/>
  <c r="AF111"/>
  <c r="AC112"/>
  <c r="AD112"/>
  <c r="AE112"/>
  <c r="AF112"/>
  <c r="AC113"/>
  <c r="AD113"/>
  <c r="AE113"/>
  <c r="AF113"/>
  <c r="AC110"/>
  <c r="AD110"/>
  <c r="AE110"/>
  <c r="AF110"/>
  <c r="AC109"/>
  <c r="AD109"/>
  <c r="AE109"/>
  <c r="AF109"/>
  <c r="AD104"/>
  <c r="AE104"/>
  <c r="AF104"/>
  <c r="AD105"/>
  <c r="AE105"/>
  <c r="AF105"/>
  <c r="AD106"/>
  <c r="AE106"/>
  <c r="AF106"/>
  <c r="AD107"/>
  <c r="AE107"/>
  <c r="AF107"/>
  <c r="AD108"/>
  <c r="AE108"/>
  <c r="AF108"/>
  <c r="AC105"/>
  <c r="AC106"/>
  <c r="AC107"/>
  <c r="AC108"/>
  <c r="AC104"/>
  <c r="AD101"/>
  <c r="AE101"/>
  <c r="AF101"/>
  <c r="AD102"/>
  <c r="AE102"/>
  <c r="AF102"/>
  <c r="AC102"/>
  <c r="AC101"/>
  <c r="AD96"/>
  <c r="AE96"/>
  <c r="AF96"/>
  <c r="AD97"/>
  <c r="AE97"/>
  <c r="AF97"/>
  <c r="AD98"/>
  <c r="AE98"/>
  <c r="AF98"/>
  <c r="AD99"/>
  <c r="AE99"/>
  <c r="AF99"/>
  <c r="AC97"/>
  <c r="AC98"/>
  <c r="AC99"/>
  <c r="AC96"/>
  <c r="AD92"/>
  <c r="AE92"/>
  <c r="AF92"/>
  <c r="AD93"/>
  <c r="AE93"/>
  <c r="AF93"/>
  <c r="AD94"/>
  <c r="AE94"/>
  <c r="AF94"/>
  <c r="AC93"/>
  <c r="AC94"/>
  <c r="AC92"/>
  <c r="AC85"/>
  <c r="AD85"/>
  <c r="AE85"/>
  <c r="AF85"/>
  <c r="AC86"/>
  <c r="AD86"/>
  <c r="AE86"/>
  <c r="AF86"/>
  <c r="AC87"/>
  <c r="AD87"/>
  <c r="AE87"/>
  <c r="AF87"/>
  <c r="AC88"/>
  <c r="AD88"/>
  <c r="AE88"/>
  <c r="AF88"/>
  <c r="AC83"/>
  <c r="AD83"/>
  <c r="AE83"/>
  <c r="AF83"/>
  <c r="AC84"/>
  <c r="AD84"/>
  <c r="AE84"/>
  <c r="AF84"/>
  <c r="AD79"/>
  <c r="AE79"/>
  <c r="AF79"/>
  <c r="AD80"/>
  <c r="AE80"/>
  <c r="AF80"/>
  <c r="AD81"/>
  <c r="AE81"/>
  <c r="AF81"/>
  <c r="AD82"/>
  <c r="AE82"/>
  <c r="AF82"/>
  <c r="AC80"/>
  <c r="AC81"/>
  <c r="AC82"/>
  <c r="AC79"/>
  <c r="AD76"/>
  <c r="AE76"/>
  <c r="AF76"/>
  <c r="AD77"/>
  <c r="AE77"/>
  <c r="AF77"/>
  <c r="AC77"/>
  <c r="AC76"/>
  <c r="AC74"/>
  <c r="AD74"/>
  <c r="AE74"/>
  <c r="AF74"/>
  <c r="AD70"/>
  <c r="AE70"/>
  <c r="AF70"/>
  <c r="AD71"/>
  <c r="AE71"/>
  <c r="AF71"/>
  <c r="AD72"/>
  <c r="AE72"/>
  <c r="AF72"/>
  <c r="AD73"/>
  <c r="AE73"/>
  <c r="AF73"/>
  <c r="AC71"/>
  <c r="AC72"/>
  <c r="AC73"/>
  <c r="AC70"/>
  <c r="AC66"/>
  <c r="AD66"/>
  <c r="AE66"/>
  <c r="AF66"/>
  <c r="AC67"/>
  <c r="AD67"/>
  <c r="AE67"/>
  <c r="AF67"/>
  <c r="AD62"/>
  <c r="AE62"/>
  <c r="AF62"/>
  <c r="AD63"/>
  <c r="AE63"/>
  <c r="AF63"/>
  <c r="AD64"/>
  <c r="AE64"/>
  <c r="AF64"/>
  <c r="AD65"/>
  <c r="AE65"/>
  <c r="AF65"/>
  <c r="AC63"/>
  <c r="AC64"/>
  <c r="AC65"/>
  <c r="AC62"/>
  <c r="AC56"/>
  <c r="AD56"/>
  <c r="AE56"/>
  <c r="AF56"/>
  <c r="AC57"/>
  <c r="AD57"/>
  <c r="AE57"/>
  <c r="AF57"/>
  <c r="AC58"/>
  <c r="AD58"/>
  <c r="AE58"/>
  <c r="AF58"/>
  <c r="AD55"/>
  <c r="AE55"/>
  <c r="AF55"/>
  <c r="AC55"/>
  <c r="AD46"/>
  <c r="AE46"/>
  <c r="AF46"/>
  <c r="AD47"/>
  <c r="AE47"/>
  <c r="AF47"/>
  <c r="AC47"/>
  <c r="AC46"/>
  <c r="AD43"/>
  <c r="AE43"/>
  <c r="AF43"/>
  <c r="AD44"/>
  <c r="AE44"/>
  <c r="AF44"/>
  <c r="AC44"/>
  <c r="AC43"/>
  <c r="AC37"/>
  <c r="AD37"/>
  <c r="AE37"/>
  <c r="AF37"/>
  <c r="AC38"/>
  <c r="AD38"/>
  <c r="AE38"/>
  <c r="AF38"/>
  <c r="AC39"/>
  <c r="AD39"/>
  <c r="AE39"/>
  <c r="AF39"/>
  <c r="AC40"/>
  <c r="AD40"/>
  <c r="AE40"/>
  <c r="AF40"/>
  <c r="AD35"/>
  <c r="AE35"/>
  <c r="AF35"/>
  <c r="AD36"/>
  <c r="AE36"/>
  <c r="AF36"/>
  <c r="AC36"/>
  <c r="AC35"/>
  <c r="AC33"/>
  <c r="AD33"/>
  <c r="AE33"/>
  <c r="AF33"/>
  <c r="AC31"/>
  <c r="AD31"/>
  <c r="AE31"/>
  <c r="AF31"/>
  <c r="AC32"/>
  <c r="AD32"/>
  <c r="AE32"/>
  <c r="AF32"/>
  <c r="AC27"/>
  <c r="AD27"/>
  <c r="AE27"/>
  <c r="AF27"/>
  <c r="AC28"/>
  <c r="AD28"/>
  <c r="AE28"/>
  <c r="AF28"/>
  <c r="AC29"/>
  <c r="AD29"/>
  <c r="AE29"/>
  <c r="AF29"/>
  <c r="AC30"/>
  <c r="AD30"/>
  <c r="AE30"/>
  <c r="AF30"/>
  <c r="AC25"/>
  <c r="AD25"/>
  <c r="AE25"/>
  <c r="AF25"/>
  <c r="AC26"/>
  <c r="AD26"/>
  <c r="AE26"/>
  <c r="AF26"/>
  <c r="AC23"/>
  <c r="AD23"/>
  <c r="AE23"/>
  <c r="AF23"/>
  <c r="AC24"/>
  <c r="AD24"/>
  <c r="AE24"/>
  <c r="AF24"/>
  <c r="AC22"/>
  <c r="AD22"/>
  <c r="AE22"/>
  <c r="AF22"/>
  <c r="AD21"/>
  <c r="AE21"/>
  <c r="AF21"/>
  <c r="AC21"/>
  <c r="AC18"/>
  <c r="AD18"/>
  <c r="AE18"/>
  <c r="AF18"/>
  <c r="AC19"/>
  <c r="AD19"/>
  <c r="AE19"/>
  <c r="AF19"/>
  <c r="AC15"/>
  <c r="AD15"/>
  <c r="AE15"/>
  <c r="AF15"/>
  <c r="AC16"/>
  <c r="AD16"/>
  <c r="AE16"/>
  <c r="AF16"/>
  <c r="AC17"/>
  <c r="AD17"/>
  <c r="AE17"/>
  <c r="AF17"/>
  <c r="AC13"/>
  <c r="AD13"/>
  <c r="AE13"/>
  <c r="AF13"/>
  <c r="AC14"/>
  <c r="AD14"/>
  <c r="AE14"/>
  <c r="AF14"/>
  <c r="AD12"/>
  <c r="AE12"/>
  <c r="AF12"/>
  <c r="AC12"/>
  <c r="AC8"/>
  <c r="AD8"/>
  <c r="AE8"/>
  <c r="AF8"/>
  <c r="AC9"/>
  <c r="AD9"/>
  <c r="AE9"/>
  <c r="AF9"/>
  <c r="AC10"/>
  <c r="AD10"/>
  <c r="AE10"/>
  <c r="AF10"/>
  <c r="AC7"/>
  <c r="AD7"/>
  <c r="AE7"/>
  <c r="AF7"/>
  <c r="AC5"/>
  <c r="AD5"/>
  <c r="AE5"/>
  <c r="AF5"/>
  <c r="AC6"/>
  <c r="AD6"/>
  <c r="AE6"/>
  <c r="AF6"/>
  <c r="AD4"/>
  <c r="AE4"/>
  <c r="AF4"/>
  <c r="AC4"/>
  <c r="AO133" i="6"/>
  <c r="AN133"/>
  <c r="AM133"/>
  <c r="T121" i="1"/>
  <c r="T123" s="1"/>
  <c r="U121"/>
  <c r="U123" s="1"/>
  <c r="V121"/>
  <c r="V123" s="1"/>
  <c r="W121"/>
  <c r="W123" s="1"/>
  <c r="AA123"/>
  <c r="Z123"/>
  <c r="Y123"/>
  <c r="X121"/>
  <c r="X123" s="1"/>
  <c r="Y121"/>
  <c r="Z121"/>
  <c r="AA121"/>
  <c r="AP131" i="6"/>
  <c r="AP133" s="1"/>
  <c r="AQ131"/>
  <c r="AQ133" s="1"/>
  <c r="AR131"/>
  <c r="AR133" s="1"/>
  <c r="AS131"/>
  <c r="AS133" s="1"/>
  <c r="BD100"/>
  <c r="AG131"/>
  <c r="AG133" s="1"/>
  <c r="AH131"/>
  <c r="AH133" s="1"/>
  <c r="AI131"/>
  <c r="AI133" s="1"/>
  <c r="AJ131"/>
  <c r="AJ133" s="1"/>
  <c r="AK131"/>
  <c r="AK133" s="1"/>
  <c r="AL131"/>
  <c r="AL133" s="1"/>
  <c r="AM131"/>
  <c r="AN131"/>
  <c r="AO131"/>
  <c r="AT131"/>
  <c r="AU131"/>
  <c r="AV131"/>
  <c r="AW131"/>
  <c r="AX131"/>
  <c r="AY131"/>
  <c r="AZ131"/>
  <c r="AZ133" s="1"/>
  <c r="BA131"/>
  <c r="BA133" s="1"/>
  <c r="BB131"/>
  <c r="BB133" s="1"/>
  <c r="BC131"/>
  <c r="BC133" s="1"/>
  <c r="BD56" i="1"/>
  <c r="BC9"/>
  <c r="AH94" i="2" l="1"/>
  <c r="AG94"/>
  <c r="AF94"/>
  <c r="AE94"/>
  <c r="AD94"/>
  <c r="AC94"/>
  <c r="AC5"/>
  <c r="AD5"/>
  <c r="AE5"/>
  <c r="AF5"/>
  <c r="AG5"/>
  <c r="AH5"/>
  <c r="AC6"/>
  <c r="AD6"/>
  <c r="AE6"/>
  <c r="AF6"/>
  <c r="AG6"/>
  <c r="AH6"/>
  <c r="AC7"/>
  <c r="AD7"/>
  <c r="AE7"/>
  <c r="AF7"/>
  <c r="AG7"/>
  <c r="AH7"/>
  <c r="AC8"/>
  <c r="AD8"/>
  <c r="AE8"/>
  <c r="AF8"/>
  <c r="AG8"/>
  <c r="AH8"/>
  <c r="AC9"/>
  <c r="AD9"/>
  <c r="AE9"/>
  <c r="AF9"/>
  <c r="AG9"/>
  <c r="AH9"/>
  <c r="AC10"/>
  <c r="AD10"/>
  <c r="AE10"/>
  <c r="AF10"/>
  <c r="AG10"/>
  <c r="AH10"/>
  <c r="AC11"/>
  <c r="AD11"/>
  <c r="AE11"/>
  <c r="AF11"/>
  <c r="AG11"/>
  <c r="AH11"/>
  <c r="AC12"/>
  <c r="AD12"/>
  <c r="AE12"/>
  <c r="AF12"/>
  <c r="AG12"/>
  <c r="AH12"/>
  <c r="AC13"/>
  <c r="AD13"/>
  <c r="AE13"/>
  <c r="AF13"/>
  <c r="AG13"/>
  <c r="AH13"/>
  <c r="AC14"/>
  <c r="AD14"/>
  <c r="AE14"/>
  <c r="AF14"/>
  <c r="AG14"/>
  <c r="AH14"/>
  <c r="AC15"/>
  <c r="AD15"/>
  <c r="AE15"/>
  <c r="AF15"/>
  <c r="AG15"/>
  <c r="AH15"/>
  <c r="AC16"/>
  <c r="AD16"/>
  <c r="AE16"/>
  <c r="AF16"/>
  <c r="AG16"/>
  <c r="AH16"/>
  <c r="AC17"/>
  <c r="AD17"/>
  <c r="AE17"/>
  <c r="AF17"/>
  <c r="AG17"/>
  <c r="AH17"/>
  <c r="AC18"/>
  <c r="AD18"/>
  <c r="AE18"/>
  <c r="AF18"/>
  <c r="AG18"/>
  <c r="AH18"/>
  <c r="AC19"/>
  <c r="AD19"/>
  <c r="AE19"/>
  <c r="AF19"/>
  <c r="AG19"/>
  <c r="AH19"/>
  <c r="AC20"/>
  <c r="AD20"/>
  <c r="AE20"/>
  <c r="AF20"/>
  <c r="AG20"/>
  <c r="AH20"/>
  <c r="AC21"/>
  <c r="AD21"/>
  <c r="AE21"/>
  <c r="AF21"/>
  <c r="AG21"/>
  <c r="AH21"/>
  <c r="AC22"/>
  <c r="AD22"/>
  <c r="AE22"/>
  <c r="AF22"/>
  <c r="AG22"/>
  <c r="AH22"/>
  <c r="AC23"/>
  <c r="AD23"/>
  <c r="AE23"/>
  <c r="AF23"/>
  <c r="AG23"/>
  <c r="AH23"/>
  <c r="AC24"/>
  <c r="AD24"/>
  <c r="AE24"/>
  <c r="AF24"/>
  <c r="AG24"/>
  <c r="AH24"/>
  <c r="AC25"/>
  <c r="AD25"/>
  <c r="AE25"/>
  <c r="AF25"/>
  <c r="AG25"/>
  <c r="AH25"/>
  <c r="AC26"/>
  <c r="AD26"/>
  <c r="AE26"/>
  <c r="AF26"/>
  <c r="AG26"/>
  <c r="AH26"/>
  <c r="AC27"/>
  <c r="AD27"/>
  <c r="AE27"/>
  <c r="AF27"/>
  <c r="AG27"/>
  <c r="AH27"/>
  <c r="AC28"/>
  <c r="AD28"/>
  <c r="AE28"/>
  <c r="AF28"/>
  <c r="AG28"/>
  <c r="AH28"/>
  <c r="AC29"/>
  <c r="AD29"/>
  <c r="AE29"/>
  <c r="AF29"/>
  <c r="AG29"/>
  <c r="AH29"/>
  <c r="AC30"/>
  <c r="AD30"/>
  <c r="AE30"/>
  <c r="AF30"/>
  <c r="AG30"/>
  <c r="AH30"/>
  <c r="AC31"/>
  <c r="AD31"/>
  <c r="AE31"/>
  <c r="AF31"/>
  <c r="AG31"/>
  <c r="AH31"/>
  <c r="AC32"/>
  <c r="AD32"/>
  <c r="AE32"/>
  <c r="AF32"/>
  <c r="AG32"/>
  <c r="AH32"/>
  <c r="AC33"/>
  <c r="AD33"/>
  <c r="AE33"/>
  <c r="AF33"/>
  <c r="AG33"/>
  <c r="AH33"/>
  <c r="AC34"/>
  <c r="AD34"/>
  <c r="AE34"/>
  <c r="AF34"/>
  <c r="AG34"/>
  <c r="AH34"/>
  <c r="AC35"/>
  <c r="AD35"/>
  <c r="AE35"/>
  <c r="AF35"/>
  <c r="AG35"/>
  <c r="AH35"/>
  <c r="AC36"/>
  <c r="AD36"/>
  <c r="AE36"/>
  <c r="AF36"/>
  <c r="AG36"/>
  <c r="AH36"/>
  <c r="AC37"/>
  <c r="AD37"/>
  <c r="AE37"/>
  <c r="AF37"/>
  <c r="AG37"/>
  <c r="AH37"/>
  <c r="AC38"/>
  <c r="AD38"/>
  <c r="AE38"/>
  <c r="AF38"/>
  <c r="AG38"/>
  <c r="AH38"/>
  <c r="AC39"/>
  <c r="AD39"/>
  <c r="AE39"/>
  <c r="AF39"/>
  <c r="AG39"/>
  <c r="AH39"/>
  <c r="AC40"/>
  <c r="AD40"/>
  <c r="AE40"/>
  <c r="AF40"/>
  <c r="AG40"/>
  <c r="AH40"/>
  <c r="AC41"/>
  <c r="AD41"/>
  <c r="AE41"/>
  <c r="AF41"/>
  <c r="AG41"/>
  <c r="AH41"/>
  <c r="AC42"/>
  <c r="AD42"/>
  <c r="AE42"/>
  <c r="AF42"/>
  <c r="AG42"/>
  <c r="AH42"/>
  <c r="AC43"/>
  <c r="AD43"/>
  <c r="AE43"/>
  <c r="AF43"/>
  <c r="AG43"/>
  <c r="AH43"/>
  <c r="AC44"/>
  <c r="AD44"/>
  <c r="AE44"/>
  <c r="AF44"/>
  <c r="AG44"/>
  <c r="AH44"/>
  <c r="AC45"/>
  <c r="AD45"/>
  <c r="AE45"/>
  <c r="AF45"/>
  <c r="AG45"/>
  <c r="AH45"/>
  <c r="AC46"/>
  <c r="AD46"/>
  <c r="AE46"/>
  <c r="AF46"/>
  <c r="AG46"/>
  <c r="AH46"/>
  <c r="AC47"/>
  <c r="AD47"/>
  <c r="AE47"/>
  <c r="AF47"/>
  <c r="AG47"/>
  <c r="AH47"/>
  <c r="AC48"/>
  <c r="AD48"/>
  <c r="AE48"/>
  <c r="AF48"/>
  <c r="AG48"/>
  <c r="AH48"/>
  <c r="AC49"/>
  <c r="AD49"/>
  <c r="AE49"/>
  <c r="AF49"/>
  <c r="AG49"/>
  <c r="AH49"/>
  <c r="AC50"/>
  <c r="AD50"/>
  <c r="AE50"/>
  <c r="AF50"/>
  <c r="AG50"/>
  <c r="AH50"/>
  <c r="AC51"/>
  <c r="AD51"/>
  <c r="AE51"/>
  <c r="AF51"/>
  <c r="AG51"/>
  <c r="AH51"/>
  <c r="AC52"/>
  <c r="AD52"/>
  <c r="AE52"/>
  <c r="AF52"/>
  <c r="AG52"/>
  <c r="AH52"/>
  <c r="AC53"/>
  <c r="AD53"/>
  <c r="AE53"/>
  <c r="AF53"/>
  <c r="AG53"/>
  <c r="AH53"/>
  <c r="AC54"/>
  <c r="AD54"/>
  <c r="AE54"/>
  <c r="AF54"/>
  <c r="AG54"/>
  <c r="AH54"/>
  <c r="AC55"/>
  <c r="AD55"/>
  <c r="AE55"/>
  <c r="AF55"/>
  <c r="AG55"/>
  <c r="AH55"/>
  <c r="AC56"/>
  <c r="AD56"/>
  <c r="AE56"/>
  <c r="AF56"/>
  <c r="AG56"/>
  <c r="AH56"/>
  <c r="AC57"/>
  <c r="AD57"/>
  <c r="AE57"/>
  <c r="AF57"/>
  <c r="AG57"/>
  <c r="AH57"/>
  <c r="AC58"/>
  <c r="AD58"/>
  <c r="AE58"/>
  <c r="AF58"/>
  <c r="AG58"/>
  <c r="AH58"/>
  <c r="AC59"/>
  <c r="AD59"/>
  <c r="AE59"/>
  <c r="AF59"/>
  <c r="AG59"/>
  <c r="AH59"/>
  <c r="AC60"/>
  <c r="AD60"/>
  <c r="AE60"/>
  <c r="AF60"/>
  <c r="AG60"/>
  <c r="AH60"/>
  <c r="AC61"/>
  <c r="AD61"/>
  <c r="AE61"/>
  <c r="AF61"/>
  <c r="AG61"/>
  <c r="AH61"/>
  <c r="AC62"/>
  <c r="AD62"/>
  <c r="AE62"/>
  <c r="AF62"/>
  <c r="AG62"/>
  <c r="AH62"/>
  <c r="AC63"/>
  <c r="AD63"/>
  <c r="AE63"/>
  <c r="AF63"/>
  <c r="AG63"/>
  <c r="AH63"/>
  <c r="AC64"/>
  <c r="AD64"/>
  <c r="AE64"/>
  <c r="AF64"/>
  <c r="AG64"/>
  <c r="AH64"/>
  <c r="AC65"/>
  <c r="AD65"/>
  <c r="AE65"/>
  <c r="AF65"/>
  <c r="AG65"/>
  <c r="AH65"/>
  <c r="AC66"/>
  <c r="AD66"/>
  <c r="AE66"/>
  <c r="AF66"/>
  <c r="AG66"/>
  <c r="AH66"/>
  <c r="AC67"/>
  <c r="AD67"/>
  <c r="AE67"/>
  <c r="AF67"/>
  <c r="AG67"/>
  <c r="AH67"/>
  <c r="AC68"/>
  <c r="AD68"/>
  <c r="AE68"/>
  <c r="AF68"/>
  <c r="AG68"/>
  <c r="AH68"/>
  <c r="AC69"/>
  <c r="AD69"/>
  <c r="AE69"/>
  <c r="AF69"/>
  <c r="AG69"/>
  <c r="AH69"/>
  <c r="AC70"/>
  <c r="AD70"/>
  <c r="AE70"/>
  <c r="AF70"/>
  <c r="AG70"/>
  <c r="AH70"/>
  <c r="AC71"/>
  <c r="AD71"/>
  <c r="AE71"/>
  <c r="AF71"/>
  <c r="AG71"/>
  <c r="AH71"/>
  <c r="AC72"/>
  <c r="AD72"/>
  <c r="AE72"/>
  <c r="AF72"/>
  <c r="AG72"/>
  <c r="AH72"/>
  <c r="AC73"/>
  <c r="AD73"/>
  <c r="AE73"/>
  <c r="AF73"/>
  <c r="AG73"/>
  <c r="AH73"/>
  <c r="AC74"/>
  <c r="AD74"/>
  <c r="AE74"/>
  <c r="AF74"/>
  <c r="AG74"/>
  <c r="AH74"/>
  <c r="AC75"/>
  <c r="AD75"/>
  <c r="AE75"/>
  <c r="AF75"/>
  <c r="AG75"/>
  <c r="AH75"/>
  <c r="AC76"/>
  <c r="AD76"/>
  <c r="AE76"/>
  <c r="AF76"/>
  <c r="AG76"/>
  <c r="AH76"/>
  <c r="AC77"/>
  <c r="AD77"/>
  <c r="AE77"/>
  <c r="AF77"/>
  <c r="AG77"/>
  <c r="AH77"/>
  <c r="AC78"/>
  <c r="AD78"/>
  <c r="AE78"/>
  <c r="AF78"/>
  <c r="AG78"/>
  <c r="AH78"/>
  <c r="AC79"/>
  <c r="AD79"/>
  <c r="AE79"/>
  <c r="AF79"/>
  <c r="AG79"/>
  <c r="AH79"/>
  <c r="AC80"/>
  <c r="AD80"/>
  <c r="AE80"/>
  <c r="AF80"/>
  <c r="AG80"/>
  <c r="AH80"/>
  <c r="AC81"/>
  <c r="AD81"/>
  <c r="AE81"/>
  <c r="AF81"/>
  <c r="AG81"/>
  <c r="AH81"/>
  <c r="AC82"/>
  <c r="AD82"/>
  <c r="AE82"/>
  <c r="AF82"/>
  <c r="AG82"/>
  <c r="AH82"/>
  <c r="AC83"/>
  <c r="AD83"/>
  <c r="AE83"/>
  <c r="AF83"/>
  <c r="AG83"/>
  <c r="AH83"/>
  <c r="AC84"/>
  <c r="AD84"/>
  <c r="AE84"/>
  <c r="AF84"/>
  <c r="AG84"/>
  <c r="AH84"/>
  <c r="AC85"/>
  <c r="AD85"/>
  <c r="AE85"/>
  <c r="AF85"/>
  <c r="AG85"/>
  <c r="AH85"/>
  <c r="AC86"/>
  <c r="AD86"/>
  <c r="AE86"/>
  <c r="AF86"/>
  <c r="AG86"/>
  <c r="AH86"/>
  <c r="AC87"/>
  <c r="AD87"/>
  <c r="AE87"/>
  <c r="AF87"/>
  <c r="AG87"/>
  <c r="AH87"/>
  <c r="AC88"/>
  <c r="AD88"/>
  <c r="AE88"/>
  <c r="AF88"/>
  <c r="AG88"/>
  <c r="AH88"/>
  <c r="AC89"/>
  <c r="AD89"/>
  <c r="AE89"/>
  <c r="AF89"/>
  <c r="AG89"/>
  <c r="AH89"/>
  <c r="AC90"/>
  <c r="AD90"/>
  <c r="AE90"/>
  <c r="AF90"/>
  <c r="AG90"/>
  <c r="AH90"/>
  <c r="AC91"/>
  <c r="AD91"/>
  <c r="AE91"/>
  <c r="AF91"/>
  <c r="AG91"/>
  <c r="AH91"/>
  <c r="AC92"/>
  <c r="AD92"/>
  <c r="AE92"/>
  <c r="AF92"/>
  <c r="AG92"/>
  <c r="AH92"/>
  <c r="AD4"/>
  <c r="AE4"/>
  <c r="AF4"/>
  <c r="AG4"/>
  <c r="AH4"/>
  <c r="AC4"/>
  <c r="AC19" i="5"/>
  <c r="AC58"/>
  <c r="AC56"/>
  <c r="AC39"/>
  <c r="AC9"/>
  <c r="AC6"/>
  <c r="AC5"/>
  <c r="AC4"/>
  <c r="AC90"/>
  <c r="AD8"/>
  <c r="AD94" s="1"/>
  <c r="AD96" s="1"/>
  <c r="AD59"/>
  <c r="AD58"/>
  <c r="AD56"/>
  <c r="AD39"/>
  <c r="AD9"/>
  <c r="AD6"/>
  <c r="AD5"/>
  <c r="AD4"/>
  <c r="AE58"/>
  <c r="AE56"/>
  <c r="AE39"/>
  <c r="AE9"/>
  <c r="AE8"/>
  <c r="AE6"/>
  <c r="AE5"/>
  <c r="AE4"/>
  <c r="AE90"/>
  <c r="AF56"/>
  <c r="AF39"/>
  <c r="AF19"/>
  <c r="AF9"/>
  <c r="AF8"/>
  <c r="AF6"/>
  <c r="AF5"/>
  <c r="AF4"/>
  <c r="AF90"/>
  <c r="AG56"/>
  <c r="AG52"/>
  <c r="AG39"/>
  <c r="AG20"/>
  <c r="AG18"/>
  <c r="AG15"/>
  <c r="AG9"/>
  <c r="AG8"/>
  <c r="AG6"/>
  <c r="AG5"/>
  <c r="AG4"/>
  <c r="AG90"/>
  <c r="AH15"/>
  <c r="AH65"/>
  <c r="AH56"/>
  <c r="AH4"/>
  <c r="AH39"/>
  <c r="AH20"/>
  <c r="AH18"/>
  <c r="AH10"/>
  <c r="AH9"/>
  <c r="AH8"/>
  <c r="AH6"/>
  <c r="AH5"/>
  <c r="AC94"/>
  <c r="AC96" s="1"/>
  <c r="AD96" i="4"/>
  <c r="AE94"/>
  <c r="AE96" s="1"/>
  <c r="AF94"/>
  <c r="AF96" s="1"/>
  <c r="AG94"/>
  <c r="AG96" s="1"/>
  <c r="AH94"/>
  <c r="AH96" s="1"/>
  <c r="AD94"/>
  <c r="AC94"/>
  <c r="AC96" s="1"/>
  <c r="AC94" i="3"/>
  <c r="AC96" s="1"/>
  <c r="AD94"/>
  <c r="AD96" s="1"/>
  <c r="AE94"/>
  <c r="AE96" s="1"/>
  <c r="AF94"/>
  <c r="AF96" s="1"/>
  <c r="AG94"/>
  <c r="AG96" s="1"/>
  <c r="AH94"/>
  <c r="AH96" s="1"/>
  <c r="AR121" i="1"/>
  <c r="AR123" s="1"/>
  <c r="AS121"/>
  <c r="AS123" s="1"/>
  <c r="AT121"/>
  <c r="AU121"/>
  <c r="AV121"/>
  <c r="AW121"/>
  <c r="AX121"/>
  <c r="AY121"/>
  <c r="AZ121"/>
  <c r="AZ123" s="1"/>
  <c r="BA121"/>
  <c r="BA123" s="1"/>
  <c r="BB121"/>
  <c r="BB123" s="1"/>
  <c r="BC121"/>
  <c r="BC123" s="1"/>
  <c r="AB121"/>
  <c r="AB123" s="1"/>
  <c r="AC121"/>
  <c r="AD121"/>
  <c r="AE121"/>
  <c r="AF121"/>
  <c r="AG121"/>
  <c r="AH121"/>
  <c r="AI121"/>
  <c r="AI123" s="1"/>
  <c r="AJ121"/>
  <c r="AJ123" s="1"/>
  <c r="AL121"/>
  <c r="AL123" s="1"/>
  <c r="AM121"/>
  <c r="AM123" s="1"/>
  <c r="AN121"/>
  <c r="AN123" s="1"/>
  <c r="AO121"/>
  <c r="AO123" s="1"/>
  <c r="AP121"/>
  <c r="AP123" s="1"/>
  <c r="AQ121"/>
  <c r="AQ123" s="1"/>
  <c r="AK121"/>
  <c r="AK123" s="1"/>
  <c r="AE94" i="5" l="1"/>
  <c r="AE96" s="1"/>
  <c r="AF94"/>
  <c r="AF96" s="1"/>
  <c r="AG94"/>
  <c r="AG96" s="1"/>
  <c r="AH94"/>
  <c r="AH96" s="1"/>
</calcChain>
</file>

<file path=xl/sharedStrings.xml><?xml version="1.0" encoding="utf-8"?>
<sst xmlns="http://schemas.openxmlformats.org/spreadsheetml/2006/main" count="842" uniqueCount="192">
  <si>
    <t xml:space="preserve">notes </t>
  </si>
  <si>
    <t>units</t>
  </si>
  <si>
    <t>Dutch East Indies</t>
  </si>
  <si>
    <t>Nederland</t>
  </si>
  <si>
    <t>Gr Brittannie en Iersche Vrijstaat</t>
  </si>
  <si>
    <t>Duitschland</t>
  </si>
  <si>
    <t>Ooestenrijk</t>
  </si>
  <si>
    <t>Frankrijk</t>
  </si>
  <si>
    <t>Beglie un Luxemburg</t>
  </si>
  <si>
    <t>Italie</t>
  </si>
  <si>
    <t>Hongarije en Tsjechoslowakije</t>
  </si>
  <si>
    <t>Zwitserland</t>
  </si>
  <si>
    <t>Spanje</t>
  </si>
  <si>
    <t>Portugal</t>
  </si>
  <si>
    <t>Denemarken</t>
  </si>
  <si>
    <t>Noorwegen</t>
  </si>
  <si>
    <t>Zweden</t>
  </si>
  <si>
    <t>Finland</t>
  </si>
  <si>
    <t>Voorm Russ Oostzee-Prov</t>
  </si>
  <si>
    <t>Polen (incl Danzig)</t>
  </si>
  <si>
    <t>Europeesch Rusland</t>
  </si>
  <si>
    <t>Balkanstaten</t>
  </si>
  <si>
    <t>Yoege Slavie</t>
  </si>
  <si>
    <t>Overig Europa</t>
  </si>
  <si>
    <t>Canada</t>
  </si>
  <si>
    <t>Brazilie</t>
  </si>
  <si>
    <t>Uruguay</t>
  </si>
  <si>
    <t>Argentine</t>
  </si>
  <si>
    <t>Other South American countries</t>
  </si>
  <si>
    <t>V S N Amerika</t>
  </si>
  <si>
    <t>Overig Amerika</t>
  </si>
  <si>
    <t>Arabie en Aden</t>
  </si>
  <si>
    <t>Ceylon</t>
  </si>
  <si>
    <t>Britisch-Indie (incl Burma)</t>
  </si>
  <si>
    <t>Thailand</t>
  </si>
  <si>
    <t>Britisch-Malaya</t>
  </si>
  <si>
    <t>Penang</t>
  </si>
  <si>
    <t>Singapore</t>
  </si>
  <si>
    <t>Fr Indo-China</t>
  </si>
  <si>
    <t>Hong Kong</t>
  </si>
  <si>
    <t>China (excl Macao)</t>
  </si>
  <si>
    <t>Dalny, Korea, Wladiwostok</t>
  </si>
  <si>
    <t>Formosa</t>
  </si>
  <si>
    <t>Japan</t>
  </si>
  <si>
    <t>Philippijnen</t>
  </si>
  <si>
    <t>Britisch-Borneo</t>
  </si>
  <si>
    <t>Portugeesch Timor</t>
  </si>
  <si>
    <t>Cocos en Christmas eilanden</t>
  </si>
  <si>
    <t>Overig Azie</t>
  </si>
  <si>
    <t>Australie</t>
  </si>
  <si>
    <t>Polynesie en Micronesie</t>
  </si>
  <si>
    <t>Nieuw Zeeland</t>
  </si>
  <si>
    <t>Algerie en Tunis</t>
  </si>
  <si>
    <t>Egypte en Egyptisch deel van Soedan</t>
  </si>
  <si>
    <t>Britisch Oost-Afrika</t>
  </si>
  <si>
    <t>Unie van Zuid-Afrika</t>
  </si>
  <si>
    <t>Madagascar en Reunion</t>
  </si>
  <si>
    <t>Overig Afrika</t>
  </si>
  <si>
    <t>Unknown</t>
  </si>
  <si>
    <t>Niet gespecif passagiersgoederen en postpakketten</t>
  </si>
  <si>
    <t>Former Russian East-Sea-Provinces</t>
  </si>
  <si>
    <t>Balkan en Yoege Slavie</t>
  </si>
  <si>
    <t>1000 gld</t>
  </si>
  <si>
    <t>Oostenrijk, Hongarije en Tshechoslowakije</t>
  </si>
  <si>
    <t>Aziatisch Turkije</t>
  </si>
  <si>
    <t>Mesopotamie, Perzie en Afghanistan</t>
  </si>
  <si>
    <t>Includes Nieuw Zeeland</t>
  </si>
  <si>
    <t>Includes government goods</t>
  </si>
  <si>
    <t>guilder</t>
  </si>
  <si>
    <t>Estland, Letland en Litauen</t>
  </si>
  <si>
    <t>Europeesch Turkije</t>
  </si>
  <si>
    <t>Gibraltar, Malta en Cyprus</t>
  </si>
  <si>
    <t>Mexico en Centraal-Amerika</t>
  </si>
  <si>
    <t>West-Indie</t>
  </si>
  <si>
    <t>Zuid-Amerika</t>
  </si>
  <si>
    <t>Tripolis en Bengazi</t>
  </si>
  <si>
    <t>Erythrea en Italiaansch Somaliland</t>
  </si>
  <si>
    <t>Fransch Somaliland en Abessinie</t>
  </si>
  <si>
    <t>Britsch Somaliland</t>
  </si>
  <si>
    <t>Portugeesch Oost-Afrika</t>
  </si>
  <si>
    <t>Mauritius</t>
  </si>
  <si>
    <t>Marokko</t>
  </si>
  <si>
    <t>Perzie</t>
  </si>
  <si>
    <t>China (incl Macao)</t>
  </si>
  <si>
    <t>Elders</t>
  </si>
  <si>
    <t>Tsjechoslowakije</t>
  </si>
  <si>
    <t>Griekenland</t>
  </si>
  <si>
    <t>Romanie</t>
  </si>
  <si>
    <t>Dalny</t>
  </si>
  <si>
    <t>Korea</t>
  </si>
  <si>
    <t>Algiers</t>
  </si>
  <si>
    <t>Hongarije</t>
  </si>
  <si>
    <t>Tunis</t>
  </si>
  <si>
    <t>Syrie</t>
  </si>
  <si>
    <t>Arabie</t>
  </si>
  <si>
    <t>Aden</t>
  </si>
  <si>
    <t>Wladiwostok</t>
  </si>
  <si>
    <t>incl  Tsjechoslowakije</t>
  </si>
  <si>
    <t>Mesopotamie</t>
  </si>
  <si>
    <t>Belanda</t>
  </si>
  <si>
    <t>Keradjaan Inggeris dan Irlandia</t>
  </si>
  <si>
    <t>Djerman</t>
  </si>
  <si>
    <t>Ustria</t>
  </si>
  <si>
    <t>Perantjis</t>
  </si>
  <si>
    <t>Belgia dan Luksemburg</t>
  </si>
  <si>
    <t xml:space="preserve">Italia </t>
  </si>
  <si>
    <t>Hongaria</t>
  </si>
  <si>
    <t>Tjekoslowakia</t>
  </si>
  <si>
    <t>Swis</t>
  </si>
  <si>
    <t>Spanjol</t>
  </si>
  <si>
    <t>Portugis</t>
  </si>
  <si>
    <t>Danmark</t>
  </si>
  <si>
    <t>Norwegia</t>
  </si>
  <si>
    <t>Swedia</t>
  </si>
  <si>
    <t>Finlandia</t>
  </si>
  <si>
    <t>Polandia</t>
  </si>
  <si>
    <t>Rusia bagian Eropa</t>
  </si>
  <si>
    <t>Negeri2 Balkan</t>
  </si>
  <si>
    <t>Eropa lainnja</t>
  </si>
  <si>
    <t>Jugoslavia</t>
  </si>
  <si>
    <t>1000 rupiah</t>
  </si>
  <si>
    <t>Amerika Selatan lainnja</t>
  </si>
  <si>
    <t>Amerika Serikat</t>
  </si>
  <si>
    <t>Meksiko</t>
  </si>
  <si>
    <t>Amerika lainnja</t>
  </si>
  <si>
    <t>Chili</t>
  </si>
  <si>
    <t>Birma</t>
  </si>
  <si>
    <t>Arab dan Aden</t>
  </si>
  <si>
    <t>Selong</t>
  </si>
  <si>
    <t>Muang Thai</t>
  </si>
  <si>
    <t>Malaka Inggeris</t>
  </si>
  <si>
    <t>Tiongkok</t>
  </si>
  <si>
    <t>Djepang</t>
  </si>
  <si>
    <t>Dalni (Dairen)</t>
  </si>
  <si>
    <t>Kalimantan Inggeris</t>
  </si>
  <si>
    <t>Irak</t>
  </si>
  <si>
    <t>Iran</t>
  </si>
  <si>
    <t>Silandia Baru</t>
  </si>
  <si>
    <t>Djadjahan Perantjis di India</t>
  </si>
  <si>
    <t>Indo-Tjina Perantjis</t>
  </si>
  <si>
    <t>Afrika Timur Inggeris</t>
  </si>
  <si>
    <t>Uni Afrika Selatan</t>
  </si>
  <si>
    <t>Afrika lainnja</t>
  </si>
  <si>
    <t>Barang2 tidak, diperintji, diimpor oleh penumpang dan dengan paket pas</t>
  </si>
  <si>
    <t>Melalui Sabang, P. Sambu, Tg. Uban dan tidak diketahui</t>
  </si>
  <si>
    <t>rupiah</t>
  </si>
  <si>
    <t>India Barat Belanda</t>
  </si>
  <si>
    <t>Afrika Timur Portugis</t>
  </si>
  <si>
    <t>Makao</t>
  </si>
  <si>
    <t>Amerika Tengah</t>
  </si>
  <si>
    <t>Republik Dominika</t>
  </si>
  <si>
    <t>Kuba</t>
  </si>
  <si>
    <t>Central America</t>
  </si>
  <si>
    <t>Afrika Barat Perantjis</t>
  </si>
  <si>
    <t>Junani</t>
  </si>
  <si>
    <t>Kurasao</t>
  </si>
  <si>
    <t>Djadjahan inggeris dan Perantjis lainnja di Amerika</t>
  </si>
  <si>
    <t>Saudi Arab</t>
  </si>
  <si>
    <t>Pakistan</t>
  </si>
  <si>
    <t>Port Sudan</t>
  </si>
  <si>
    <t>Afrika Barat Inggeris</t>
  </si>
  <si>
    <t>Triesta</t>
  </si>
  <si>
    <t>Eslandia</t>
  </si>
  <si>
    <t>Suriname</t>
  </si>
  <si>
    <t>Siria dan Libanon</t>
  </si>
  <si>
    <t>Palestina</t>
  </si>
  <si>
    <t>Rusia bagian Asia</t>
  </si>
  <si>
    <t>Oseania lainnja</t>
  </si>
  <si>
    <t>Maroko, Algeria dan Tunis</t>
  </si>
  <si>
    <t>Nederland a. p.</t>
  </si>
  <si>
    <t>Gr Brittannie en Iersche Vrijstaat a. p.</t>
  </si>
  <si>
    <t>Duitschland a.p.</t>
  </si>
  <si>
    <t>Frankrijk a.p.</t>
  </si>
  <si>
    <t>Beglie un Luxemburg a.p.</t>
  </si>
  <si>
    <t>Italie a.p.</t>
  </si>
  <si>
    <t>For order</t>
  </si>
  <si>
    <t>Turki baglan Eropa</t>
  </si>
  <si>
    <t>Port Said a.p.</t>
  </si>
  <si>
    <t>Aleksandria a.p.</t>
  </si>
  <si>
    <t>Jemen</t>
  </si>
  <si>
    <t>Koweit</t>
  </si>
  <si>
    <t>Suez a.p.</t>
  </si>
  <si>
    <t>Portugal a.p.</t>
  </si>
  <si>
    <t>Gibraltar en Cyprus</t>
  </si>
  <si>
    <t>Alle overige lander</t>
  </si>
  <si>
    <t>Selong; included with British India before 1932</t>
  </si>
  <si>
    <t>country of destination</t>
  </si>
  <si>
    <t>Includes government goods, but excludes gold and specie</t>
  </si>
  <si>
    <t>Indisch Verslag (1751.491)</t>
  </si>
  <si>
    <t>country of origin</t>
  </si>
  <si>
    <t>Includes Nieuw Zeeland before 1931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</si>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</sst>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7"/>
  <sheetViews>
    <sheetView zoomScale="70" zoomScaleNormal="70" workbookViewId="0">
      <pane xSplit="4" ySplit="3" topLeftCell="AA79" activePane="bottomRight" state="frozen"/>
      <selection activeCell="B47" sqref="B47"/>
      <selection pane="topRight" activeCell="B47" sqref="B47"/>
      <selection pane="bottomLeft" activeCell="B47" sqref="B47"/>
      <selection pane="bottomRight" activeCell="B121" sqref="B121"/>
    </sheetView>
  </sheetViews>
  <sheetFormatPr defaultRowHeight="15"/>
  <cols>
    <col min="29" max="29" width="10.5703125" bestFit="1" customWidth="1"/>
    <col min="33" max="33" width="10.7109375" customWidth="1"/>
    <col min="34" max="34" width="12" customWidth="1"/>
    <col min="46" max="51" width="9.140625" customWidth="1"/>
    <col min="52" max="52" width="10.5703125" bestFit="1" customWidth="1"/>
    <col min="53" max="55" width="11.5703125" bestFit="1" customWidth="1"/>
    <col min="56" max="56" width="10.5703125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</v>
      </c>
      <c r="BA2">
        <v>1</v>
      </c>
      <c r="BB2">
        <v>1</v>
      </c>
      <c r="BC2">
        <v>1</v>
      </c>
    </row>
    <row r="3" spans="1:55"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145</v>
      </c>
      <c r="BA3" t="s">
        <v>145</v>
      </c>
      <c r="BB3" t="s">
        <v>145</v>
      </c>
      <c r="BC3" t="s">
        <v>145</v>
      </c>
    </row>
    <row r="4" spans="1:55">
      <c r="A4" t="s">
        <v>2</v>
      </c>
      <c r="B4" t="s">
        <v>3</v>
      </c>
      <c r="C4" t="s">
        <v>99</v>
      </c>
      <c r="T4">
        <v>99902</v>
      </c>
      <c r="U4">
        <v>90771</v>
      </c>
      <c r="V4">
        <v>47947</v>
      </c>
      <c r="W4">
        <v>11355</v>
      </c>
      <c r="X4">
        <v>83359</v>
      </c>
      <c r="Y4">
        <v>263049</v>
      </c>
      <c r="Z4">
        <v>269742</v>
      </c>
      <c r="AA4">
        <v>156217</v>
      </c>
      <c r="AB4">
        <v>128678</v>
      </c>
      <c r="AC4">
        <f>+Sheet2!AC4</f>
        <v>147316252</v>
      </c>
      <c r="AD4">
        <f>+Sheet2!AD4</f>
        <v>165991550</v>
      </c>
      <c r="AE4">
        <f>+Sheet2!AE4</f>
        <v>169999495</v>
      </c>
      <c r="AF4">
        <f>+Sheet2!AF4</f>
        <v>167631672</v>
      </c>
      <c r="AG4">
        <f>+Sheet2!AG4</f>
        <v>196942277</v>
      </c>
      <c r="AH4">
        <f>+Sheet2!AH4</f>
        <v>213504650</v>
      </c>
      <c r="AI4">
        <v>163315</v>
      </c>
      <c r="AJ4">
        <v>98557</v>
      </c>
      <c r="AK4">
        <v>58096</v>
      </c>
      <c r="AL4">
        <v>39354</v>
      </c>
      <c r="AM4">
        <v>37951</v>
      </c>
      <c r="AN4">
        <v>36423</v>
      </c>
      <c r="AO4">
        <v>47116</v>
      </c>
      <c r="AP4">
        <v>93890</v>
      </c>
      <c r="AQ4">
        <v>106170</v>
      </c>
      <c r="AR4">
        <v>99271</v>
      </c>
      <c r="AS4">
        <v>54070</v>
      </c>
      <c r="AZ4">
        <v>114853917</v>
      </c>
      <c r="BA4">
        <v>235413178</v>
      </c>
      <c r="BB4">
        <v>361287243</v>
      </c>
      <c r="BC4">
        <v>288953120</v>
      </c>
    </row>
    <row r="5" spans="1:55">
      <c r="B5" t="s">
        <v>4</v>
      </c>
      <c r="C5" t="s">
        <v>100</v>
      </c>
      <c r="T5">
        <v>79922</v>
      </c>
      <c r="U5">
        <v>84651</v>
      </c>
      <c r="V5">
        <v>70807</v>
      </c>
      <c r="W5">
        <v>78630</v>
      </c>
      <c r="X5">
        <v>90860</v>
      </c>
      <c r="Y5">
        <v>206070</v>
      </c>
      <c r="Z5">
        <v>144353</v>
      </c>
      <c r="AA5">
        <v>101883</v>
      </c>
      <c r="AB5">
        <v>92321</v>
      </c>
      <c r="AC5">
        <f>+Sheet2!AC5</f>
        <v>99926608</v>
      </c>
      <c r="AD5">
        <f>+Sheet2!AD5</f>
        <v>123777110</v>
      </c>
      <c r="AE5">
        <f>+Sheet2!AE5</f>
        <v>107118999</v>
      </c>
      <c r="AF5">
        <f>+Sheet2!AF5</f>
        <v>106151424</v>
      </c>
      <c r="AG5">
        <f>+Sheet2!AG5</f>
        <v>119927981</v>
      </c>
      <c r="AH5">
        <f>+Sheet2!AH5</f>
        <v>117312970</v>
      </c>
      <c r="AI5">
        <v>87924</v>
      </c>
      <c r="AJ5">
        <v>43941</v>
      </c>
      <c r="AK5">
        <v>35498</v>
      </c>
      <c r="AL5">
        <v>30640</v>
      </c>
      <c r="AM5">
        <v>23573</v>
      </c>
      <c r="AN5">
        <v>21822</v>
      </c>
      <c r="AO5">
        <v>22117</v>
      </c>
      <c r="AP5">
        <v>40898</v>
      </c>
      <c r="AQ5">
        <v>38162</v>
      </c>
      <c r="AR5">
        <v>33328</v>
      </c>
      <c r="AS5">
        <v>36105</v>
      </c>
      <c r="AZ5">
        <v>66230017</v>
      </c>
      <c r="BA5">
        <v>115056489</v>
      </c>
      <c r="BB5">
        <v>171777251</v>
      </c>
      <c r="BC5">
        <v>124656008</v>
      </c>
    </row>
    <row r="6" spans="1:55">
      <c r="B6" t="s">
        <v>5</v>
      </c>
      <c r="C6" t="s">
        <v>101</v>
      </c>
      <c r="T6">
        <v>4302</v>
      </c>
      <c r="U6">
        <v>842</v>
      </c>
      <c r="V6">
        <v>361</v>
      </c>
      <c r="W6">
        <v>477</v>
      </c>
      <c r="X6">
        <v>957</v>
      </c>
      <c r="Y6">
        <v>36748</v>
      </c>
      <c r="Z6">
        <v>56851</v>
      </c>
      <c r="AA6">
        <v>45904</v>
      </c>
      <c r="AB6">
        <v>48588</v>
      </c>
      <c r="AC6">
        <f>+Sheet2!AC6</f>
        <v>47958057</v>
      </c>
      <c r="AD6">
        <f>+Sheet2!AD6</f>
        <v>59424101</v>
      </c>
      <c r="AE6">
        <f>+Sheet2!AE6</f>
        <v>79059553</v>
      </c>
      <c r="AF6">
        <f>+Sheet2!AF6</f>
        <v>81476994</v>
      </c>
      <c r="AG6">
        <f>+Sheet2!AG6</f>
        <v>104732569</v>
      </c>
      <c r="AH6">
        <f>+Sheet2!AH6</f>
        <v>116105038</v>
      </c>
      <c r="AI6">
        <v>86025</v>
      </c>
      <c r="AJ6">
        <v>51953</v>
      </c>
      <c r="AK6">
        <v>28374</v>
      </c>
      <c r="AL6">
        <v>24264</v>
      </c>
      <c r="AM6">
        <v>21258</v>
      </c>
      <c r="AN6">
        <v>22041</v>
      </c>
      <c r="AO6">
        <v>25667</v>
      </c>
      <c r="AP6">
        <v>41874</v>
      </c>
      <c r="AQ6">
        <v>49053</v>
      </c>
      <c r="AR6">
        <v>41205</v>
      </c>
      <c r="AS6">
        <v>8571</v>
      </c>
      <c r="AZ6">
        <v>152474</v>
      </c>
      <c r="BA6">
        <v>2486915</v>
      </c>
      <c r="BB6">
        <v>28514719</v>
      </c>
      <c r="BC6">
        <v>48558408</v>
      </c>
    </row>
    <row r="7" spans="1:55">
      <c r="B7" t="s">
        <v>6</v>
      </c>
      <c r="C7" t="s">
        <v>102</v>
      </c>
      <c r="T7">
        <v>85</v>
      </c>
      <c r="U7">
        <v>53</v>
      </c>
      <c r="V7">
        <v>21</v>
      </c>
      <c r="AC7">
        <f>+Sheet2!AC7</f>
        <v>355031</v>
      </c>
      <c r="AD7">
        <f>+Sheet2!AD7</f>
        <v>681363</v>
      </c>
      <c r="AE7">
        <f>+Sheet2!AE7</f>
        <v>898140</v>
      </c>
      <c r="AF7">
        <f>+Sheet2!AF7</f>
        <v>423005</v>
      </c>
      <c r="AG7">
        <f>+Sheet2!AG7</f>
        <v>452200</v>
      </c>
      <c r="AH7">
        <f>+Sheet2!AH7</f>
        <v>0</v>
      </c>
      <c r="AK7">
        <v>204</v>
      </c>
      <c r="AL7">
        <v>264</v>
      </c>
      <c r="AM7">
        <v>232</v>
      </c>
      <c r="AN7">
        <v>351</v>
      </c>
      <c r="AO7">
        <v>563</v>
      </c>
      <c r="AP7">
        <v>1470</v>
      </c>
      <c r="AZ7">
        <v>153095</v>
      </c>
      <c r="BA7">
        <v>304311</v>
      </c>
      <c r="BB7">
        <v>494766</v>
      </c>
      <c r="BC7">
        <v>1304642</v>
      </c>
    </row>
    <row r="8" spans="1:55">
      <c r="B8" t="s">
        <v>7</v>
      </c>
      <c r="C8" t="s">
        <v>103</v>
      </c>
      <c r="T8">
        <v>1930</v>
      </c>
      <c r="U8">
        <v>2686</v>
      </c>
      <c r="V8">
        <v>2670</v>
      </c>
      <c r="W8">
        <v>1820</v>
      </c>
      <c r="X8">
        <v>4830</v>
      </c>
      <c r="Y8">
        <v>5331</v>
      </c>
      <c r="Z8">
        <v>8801</v>
      </c>
      <c r="AA8">
        <v>5474</v>
      </c>
      <c r="AB8">
        <v>4699</v>
      </c>
      <c r="AC8">
        <f>+Sheet2!AC8</f>
        <v>7503367</v>
      </c>
      <c r="AD8">
        <f>+Sheet2!AD8</f>
        <v>9506224</v>
      </c>
      <c r="AE8">
        <f>+Sheet2!AE8</f>
        <v>9406943</v>
      </c>
      <c r="AF8">
        <f>+Sheet2!AF8</f>
        <v>11808303</v>
      </c>
      <c r="AG8">
        <f>+Sheet2!AG8</f>
        <v>11010640</v>
      </c>
      <c r="AH8">
        <f>+Sheet2!AH8</f>
        <v>10725491</v>
      </c>
      <c r="AI8">
        <v>9091</v>
      </c>
      <c r="AJ8">
        <v>6293</v>
      </c>
      <c r="AK8">
        <v>3679</v>
      </c>
      <c r="AL8">
        <v>3284</v>
      </c>
      <c r="AM8">
        <v>2684</v>
      </c>
      <c r="AN8">
        <v>3161</v>
      </c>
      <c r="AO8">
        <v>3678</v>
      </c>
      <c r="AP8">
        <v>7186</v>
      </c>
      <c r="AQ8">
        <v>9410</v>
      </c>
      <c r="AR8">
        <v>9241</v>
      </c>
      <c r="AS8">
        <v>4196</v>
      </c>
      <c r="AZ8">
        <v>2417076</v>
      </c>
      <c r="BA8">
        <v>5782770</v>
      </c>
      <c r="BB8">
        <v>30525753</v>
      </c>
      <c r="BC8">
        <v>21808030</v>
      </c>
    </row>
    <row r="9" spans="1:55">
      <c r="B9" t="s">
        <v>8</v>
      </c>
      <c r="C9" t="s">
        <v>104</v>
      </c>
      <c r="T9">
        <v>170</v>
      </c>
      <c r="U9">
        <v>15</v>
      </c>
      <c r="V9">
        <v>13</v>
      </c>
      <c r="W9">
        <v>6</v>
      </c>
      <c r="X9">
        <v>22</v>
      </c>
      <c r="Y9">
        <v>6302</v>
      </c>
      <c r="Z9">
        <v>6616</v>
      </c>
      <c r="AA9">
        <v>4928</v>
      </c>
      <c r="AB9">
        <v>5904</v>
      </c>
      <c r="AC9">
        <f>+Sheet2!AC9</f>
        <v>9387744</v>
      </c>
      <c r="AD9">
        <f>+Sheet2!AD9</f>
        <v>10764757</v>
      </c>
      <c r="AE9">
        <f>+Sheet2!AE9</f>
        <v>13622465</v>
      </c>
      <c r="AF9">
        <f>+Sheet2!AF9</f>
        <v>17781912</v>
      </c>
      <c r="AG9">
        <f>+Sheet2!AG9</f>
        <v>18964890</v>
      </c>
      <c r="AH9">
        <f>+Sheet2!AH9</f>
        <v>19068601</v>
      </c>
      <c r="AI9">
        <v>13980</v>
      </c>
      <c r="AJ9">
        <v>8731</v>
      </c>
      <c r="AK9">
        <v>5728</v>
      </c>
      <c r="AL9">
        <v>5502</v>
      </c>
      <c r="AM9">
        <v>3954</v>
      </c>
      <c r="AN9">
        <v>5948</v>
      </c>
      <c r="AO9">
        <v>7052</v>
      </c>
      <c r="AP9">
        <v>15485</v>
      </c>
      <c r="AQ9">
        <v>13189</v>
      </c>
      <c r="AR9">
        <v>12603</v>
      </c>
      <c r="AS9">
        <v>14318</v>
      </c>
      <c r="AZ9">
        <v>9435178</v>
      </c>
      <c r="BA9">
        <v>33710701</v>
      </c>
      <c r="BB9">
        <v>61022780</v>
      </c>
      <c r="BC9">
        <f>55864226+1696</f>
        <v>55865922</v>
      </c>
    </row>
    <row r="10" spans="1:55">
      <c r="B10" t="s">
        <v>9</v>
      </c>
      <c r="C10" t="s">
        <v>105</v>
      </c>
      <c r="T10">
        <v>6363</v>
      </c>
      <c r="U10">
        <v>5219</v>
      </c>
      <c r="V10">
        <v>3501</v>
      </c>
      <c r="W10">
        <v>1197</v>
      </c>
      <c r="X10">
        <v>1036</v>
      </c>
      <c r="Y10">
        <v>8319</v>
      </c>
      <c r="Z10">
        <v>10009</v>
      </c>
      <c r="AA10">
        <v>10282</v>
      </c>
      <c r="AB10">
        <v>10985</v>
      </c>
      <c r="AC10">
        <f>+Sheet2!AC10</f>
        <v>12434155</v>
      </c>
      <c r="AD10">
        <f>+Sheet2!AD10</f>
        <v>18774712</v>
      </c>
      <c r="AE10">
        <f>+Sheet2!AE10</f>
        <v>17333164</v>
      </c>
      <c r="AF10">
        <f>+Sheet2!AF10</f>
        <v>18295741</v>
      </c>
      <c r="AG10">
        <f>+Sheet2!AG10</f>
        <v>20486256</v>
      </c>
      <c r="AH10">
        <f>+Sheet2!AH10</f>
        <v>18452602</v>
      </c>
      <c r="AI10">
        <v>13312</v>
      </c>
      <c r="AJ10">
        <v>7196</v>
      </c>
      <c r="AK10">
        <v>3931</v>
      </c>
      <c r="AL10">
        <v>2517</v>
      </c>
      <c r="AM10">
        <v>1832</v>
      </c>
      <c r="AN10">
        <v>1534</v>
      </c>
      <c r="AO10">
        <v>604</v>
      </c>
      <c r="AP10">
        <v>4596</v>
      </c>
      <c r="AQ10">
        <v>5052</v>
      </c>
      <c r="AR10">
        <v>6198</v>
      </c>
      <c r="AS10">
        <v>4182</v>
      </c>
      <c r="AZ10">
        <v>12905868</v>
      </c>
      <c r="BA10">
        <v>23399943</v>
      </c>
      <c r="BB10">
        <v>19962229</v>
      </c>
      <c r="BC10">
        <v>22477057</v>
      </c>
    </row>
    <row r="11" spans="1:55">
      <c r="B11" t="s">
        <v>161</v>
      </c>
      <c r="BC11">
        <v>752</v>
      </c>
    </row>
    <row r="12" spans="1:55">
      <c r="B12" t="s">
        <v>63</v>
      </c>
      <c r="X12">
        <v>22</v>
      </c>
      <c r="Y12">
        <v>126</v>
      </c>
      <c r="Z12">
        <v>269</v>
      </c>
      <c r="AA12">
        <v>123</v>
      </c>
      <c r="AB12">
        <v>224</v>
      </c>
      <c r="AC12">
        <f>+Sheet2!AC11</f>
        <v>0</v>
      </c>
      <c r="AD12">
        <f>+Sheet2!AD11</f>
        <v>0</v>
      </c>
      <c r="AE12">
        <f>+Sheet2!AE11</f>
        <v>0</v>
      </c>
      <c r="AF12">
        <f>+Sheet2!AF11</f>
        <v>0</v>
      </c>
      <c r="AG12">
        <f>+Sheet2!AG11</f>
        <v>0</v>
      </c>
      <c r="AH12">
        <f>+Sheet2!AH11</f>
        <v>638879</v>
      </c>
      <c r="AI12">
        <v>777</v>
      </c>
      <c r="AJ12">
        <v>618</v>
      </c>
    </row>
    <row r="13" spans="1:55">
      <c r="B13" t="s">
        <v>10</v>
      </c>
      <c r="AC13">
        <f>+Sheet2!AC12</f>
        <v>0</v>
      </c>
      <c r="AD13">
        <f>+Sheet2!AD12</f>
        <v>0</v>
      </c>
      <c r="AE13">
        <f>+Sheet2!AE12</f>
        <v>0</v>
      </c>
      <c r="AF13">
        <f>+Sheet2!AF12</f>
        <v>0</v>
      </c>
      <c r="AG13">
        <f>+Sheet2!AG12</f>
        <v>0</v>
      </c>
      <c r="AH13">
        <f>+Sheet2!AH12</f>
        <v>0</v>
      </c>
      <c r="AK13">
        <v>559</v>
      </c>
      <c r="AL13">
        <v>620</v>
      </c>
      <c r="AM13">
        <v>529</v>
      </c>
      <c r="AN13">
        <v>1274</v>
      </c>
      <c r="AO13">
        <v>1532</v>
      </c>
    </row>
    <row r="14" spans="1:55">
      <c r="B14" t="s">
        <v>91</v>
      </c>
      <c r="C14" t="s">
        <v>106</v>
      </c>
      <c r="AC14">
        <f>+Sheet2!AC13</f>
        <v>48</v>
      </c>
      <c r="AD14">
        <f>+Sheet2!AD13</f>
        <v>3373</v>
      </c>
      <c r="AE14">
        <f>+Sheet2!AE13</f>
        <v>3802</v>
      </c>
      <c r="AF14">
        <f>+Sheet2!AF13</f>
        <v>9170</v>
      </c>
      <c r="AG14">
        <f>+Sheet2!AG13</f>
        <v>6792</v>
      </c>
      <c r="AH14">
        <f>+Sheet2!AH13</f>
        <v>0</v>
      </c>
      <c r="AP14">
        <v>494</v>
      </c>
      <c r="AQ14">
        <v>987</v>
      </c>
      <c r="AR14">
        <v>752</v>
      </c>
      <c r="AS14">
        <v>194</v>
      </c>
      <c r="BA14">
        <v>205726</v>
      </c>
      <c r="BB14">
        <v>1597883</v>
      </c>
      <c r="BC14">
        <v>884273</v>
      </c>
    </row>
    <row r="15" spans="1:55">
      <c r="B15" t="s">
        <v>85</v>
      </c>
      <c r="C15" t="s">
        <v>107</v>
      </c>
      <c r="AC15">
        <f>+Sheet2!AC14</f>
        <v>16363</v>
      </c>
      <c r="AD15">
        <f>+Sheet2!AD14</f>
        <v>151196</v>
      </c>
      <c r="AE15">
        <f>+Sheet2!AE14</f>
        <v>248622</v>
      </c>
      <c r="AF15">
        <f>+Sheet2!AF14</f>
        <v>184554</v>
      </c>
      <c r="AG15">
        <f>+Sheet2!AG14</f>
        <v>258894</v>
      </c>
      <c r="AH15">
        <f>+Sheet2!AH14</f>
        <v>0</v>
      </c>
      <c r="AP15">
        <v>3092</v>
      </c>
      <c r="AQ15">
        <v>4745</v>
      </c>
      <c r="AR15">
        <v>2726</v>
      </c>
      <c r="AS15">
        <v>335</v>
      </c>
      <c r="AZ15">
        <v>2411110</v>
      </c>
      <c r="BA15">
        <v>10418250</v>
      </c>
      <c r="BB15">
        <v>14843191</v>
      </c>
      <c r="BC15">
        <v>7052813</v>
      </c>
    </row>
    <row r="16" spans="1:55">
      <c r="B16" t="s">
        <v>11</v>
      </c>
      <c r="C16" t="s">
        <v>108</v>
      </c>
      <c r="T16">
        <v>1546</v>
      </c>
      <c r="U16">
        <v>1506</v>
      </c>
      <c r="V16">
        <v>889</v>
      </c>
      <c r="W16">
        <v>1163</v>
      </c>
      <c r="X16">
        <v>1640</v>
      </c>
      <c r="Y16">
        <v>4214</v>
      </c>
      <c r="Z16">
        <v>4093</v>
      </c>
      <c r="AA16">
        <v>3287</v>
      </c>
      <c r="AB16">
        <v>7472</v>
      </c>
      <c r="AC16">
        <f>+Sheet2!AC15</f>
        <v>5253310</v>
      </c>
      <c r="AD16">
        <f>+Sheet2!AD15</f>
        <v>10350025</v>
      </c>
      <c r="AE16">
        <f>+Sheet2!AE15</f>
        <v>11035467</v>
      </c>
      <c r="AF16">
        <f>+Sheet2!AF15</f>
        <v>13928629</v>
      </c>
      <c r="AG16">
        <f>+Sheet2!AG15</f>
        <v>12419794</v>
      </c>
      <c r="AH16">
        <f>+Sheet2!AH15</f>
        <v>10951726</v>
      </c>
      <c r="AI16">
        <v>8995</v>
      </c>
      <c r="AJ16">
        <v>5152</v>
      </c>
      <c r="AK16">
        <v>3187</v>
      </c>
      <c r="AL16">
        <v>2278</v>
      </c>
      <c r="AM16">
        <v>1623</v>
      </c>
      <c r="AN16">
        <v>1586</v>
      </c>
      <c r="AO16">
        <v>1698</v>
      </c>
      <c r="AP16">
        <v>2754</v>
      </c>
      <c r="AQ16">
        <v>4421</v>
      </c>
      <c r="AR16">
        <v>4147</v>
      </c>
      <c r="AS16">
        <v>4085</v>
      </c>
      <c r="AZ16">
        <v>2829072</v>
      </c>
      <c r="BA16">
        <v>5444712</v>
      </c>
      <c r="BB16">
        <v>10359649</v>
      </c>
      <c r="BC16">
        <v>10412345</v>
      </c>
    </row>
    <row r="17" spans="2:55">
      <c r="B17" t="s">
        <v>12</v>
      </c>
      <c r="C17" t="s">
        <v>109</v>
      </c>
      <c r="T17">
        <v>246</v>
      </c>
      <c r="U17">
        <v>30</v>
      </c>
      <c r="V17">
        <v>47</v>
      </c>
      <c r="W17">
        <v>11</v>
      </c>
      <c r="X17">
        <v>113</v>
      </c>
      <c r="Y17">
        <v>114</v>
      </c>
      <c r="Z17">
        <v>270</v>
      </c>
      <c r="AA17">
        <v>159</v>
      </c>
      <c r="AB17">
        <v>67</v>
      </c>
      <c r="AC17">
        <f>+Sheet2!AC16</f>
        <v>82518</v>
      </c>
      <c r="AD17">
        <f>+Sheet2!AD16</f>
        <v>117960</v>
      </c>
      <c r="AE17">
        <f>+Sheet2!AE16</f>
        <v>161327</v>
      </c>
      <c r="AF17">
        <f>+Sheet2!AF16</f>
        <v>135459</v>
      </c>
      <c r="AG17">
        <f>+Sheet2!AG16</f>
        <v>147155</v>
      </c>
      <c r="AH17">
        <f>+Sheet2!AH16</f>
        <v>172819</v>
      </c>
      <c r="AI17">
        <v>135</v>
      </c>
      <c r="AJ17">
        <v>171</v>
      </c>
      <c r="AK17">
        <v>94</v>
      </c>
      <c r="AL17">
        <v>100</v>
      </c>
      <c r="AM17">
        <v>116</v>
      </c>
      <c r="AN17">
        <v>188</v>
      </c>
      <c r="AO17">
        <v>244</v>
      </c>
      <c r="AP17">
        <v>307</v>
      </c>
      <c r="AQ17">
        <v>276</v>
      </c>
      <c r="AR17">
        <v>181</v>
      </c>
      <c r="AS17">
        <v>153</v>
      </c>
      <c r="AZ17">
        <v>74051</v>
      </c>
      <c r="BA17">
        <v>3735393</v>
      </c>
      <c r="BB17">
        <v>5712222</v>
      </c>
      <c r="BC17">
        <v>202407</v>
      </c>
    </row>
    <row r="18" spans="2:55">
      <c r="B18" t="s">
        <v>13</v>
      </c>
      <c r="C18" t="s">
        <v>110</v>
      </c>
      <c r="T18">
        <v>57</v>
      </c>
      <c r="U18">
        <v>37</v>
      </c>
      <c r="V18">
        <v>16</v>
      </c>
      <c r="W18">
        <v>34</v>
      </c>
      <c r="X18">
        <v>53</v>
      </c>
      <c r="Y18">
        <v>113</v>
      </c>
      <c r="Z18">
        <v>16</v>
      </c>
      <c r="AA18">
        <v>67</v>
      </c>
      <c r="AB18">
        <v>68</v>
      </c>
      <c r="AC18">
        <f>+Sheet2!AC17</f>
        <v>43343</v>
      </c>
      <c r="AD18">
        <f>+Sheet2!AD17</f>
        <v>76405</v>
      </c>
      <c r="AE18">
        <f>+Sheet2!AE17</f>
        <v>76047</v>
      </c>
      <c r="AF18">
        <f>+Sheet2!AF17</f>
        <v>73872</v>
      </c>
      <c r="AG18">
        <f>+Sheet2!AG17</f>
        <v>33104</v>
      </c>
      <c r="AH18">
        <f>+Sheet2!AH17</f>
        <v>55063</v>
      </c>
      <c r="AK18">
        <v>22</v>
      </c>
      <c r="AL18">
        <v>51</v>
      </c>
      <c r="AM18">
        <v>41</v>
      </c>
      <c r="AN18">
        <v>78</v>
      </c>
      <c r="AO18">
        <v>118</v>
      </c>
      <c r="AP18">
        <v>265</v>
      </c>
      <c r="AQ18">
        <v>279</v>
      </c>
      <c r="AR18">
        <v>398</v>
      </c>
      <c r="AS18">
        <v>490</v>
      </c>
      <c r="AZ18">
        <v>216404</v>
      </c>
      <c r="BA18">
        <v>647436</v>
      </c>
      <c r="BB18">
        <v>1419658</v>
      </c>
      <c r="BC18">
        <v>1244500</v>
      </c>
    </row>
    <row r="19" spans="2:55">
      <c r="B19" t="s">
        <v>14</v>
      </c>
      <c r="C19" t="s">
        <v>111</v>
      </c>
      <c r="T19">
        <v>184</v>
      </c>
      <c r="U19">
        <v>201</v>
      </c>
      <c r="V19">
        <v>174</v>
      </c>
      <c r="W19">
        <v>489</v>
      </c>
      <c r="X19">
        <v>432</v>
      </c>
      <c r="Y19">
        <v>683</v>
      </c>
      <c r="Z19">
        <v>479</v>
      </c>
      <c r="AA19">
        <v>765</v>
      </c>
      <c r="AB19">
        <v>1042</v>
      </c>
      <c r="AC19">
        <f>+Sheet2!AC18</f>
        <v>703787</v>
      </c>
      <c r="AD19">
        <f>+Sheet2!AD18</f>
        <v>308181</v>
      </c>
      <c r="AE19">
        <f>+Sheet2!AE18</f>
        <v>333556</v>
      </c>
      <c r="AF19">
        <f>+Sheet2!AF18</f>
        <v>387808</v>
      </c>
      <c r="AG19">
        <f>+Sheet2!AG18</f>
        <v>817462</v>
      </c>
      <c r="AH19">
        <f>+Sheet2!AH18</f>
        <v>1048671</v>
      </c>
      <c r="AI19">
        <v>728</v>
      </c>
      <c r="AJ19">
        <v>453</v>
      </c>
      <c r="AK19">
        <v>383</v>
      </c>
      <c r="AL19">
        <v>288</v>
      </c>
      <c r="AM19">
        <v>296</v>
      </c>
      <c r="AN19">
        <v>470</v>
      </c>
      <c r="AO19">
        <v>443</v>
      </c>
      <c r="AP19">
        <v>632</v>
      </c>
      <c r="AQ19">
        <v>729</v>
      </c>
      <c r="AR19">
        <v>621</v>
      </c>
      <c r="AS19">
        <v>180</v>
      </c>
      <c r="AZ19">
        <v>1837709</v>
      </c>
      <c r="BA19">
        <v>1291277</v>
      </c>
      <c r="BB19">
        <v>4837118</v>
      </c>
      <c r="BC19">
        <v>2253819</v>
      </c>
    </row>
    <row r="20" spans="2:55">
      <c r="B20" t="s">
        <v>162</v>
      </c>
      <c r="BC20">
        <v>60106</v>
      </c>
    </row>
    <row r="21" spans="2:55">
      <c r="B21" t="s">
        <v>15</v>
      </c>
      <c r="C21" t="s">
        <v>112</v>
      </c>
      <c r="T21">
        <v>164</v>
      </c>
      <c r="U21">
        <v>88</v>
      </c>
      <c r="V21">
        <v>101</v>
      </c>
      <c r="W21">
        <v>198</v>
      </c>
      <c r="X21">
        <v>541</v>
      </c>
      <c r="Y21">
        <v>386</v>
      </c>
      <c r="Z21">
        <v>252</v>
      </c>
      <c r="AA21">
        <v>494</v>
      </c>
      <c r="AB21">
        <v>466</v>
      </c>
      <c r="AC21">
        <f>+Sheet2!AC19</f>
        <v>820678</v>
      </c>
      <c r="AD21">
        <f>+Sheet2!AD19</f>
        <v>335760</v>
      </c>
      <c r="AE21">
        <f>+Sheet2!AE19</f>
        <v>392116</v>
      </c>
      <c r="AF21">
        <f>+Sheet2!AF19</f>
        <v>610308</v>
      </c>
      <c r="AG21">
        <f>+Sheet2!AG19</f>
        <v>1011264</v>
      </c>
      <c r="AH21">
        <f>+Sheet2!AH19</f>
        <v>1475453</v>
      </c>
      <c r="AI21">
        <v>1275</v>
      </c>
      <c r="AJ21">
        <v>1292</v>
      </c>
      <c r="AK21">
        <v>675</v>
      </c>
      <c r="AL21">
        <v>593</v>
      </c>
      <c r="AM21">
        <v>420</v>
      </c>
      <c r="AN21">
        <v>585</v>
      </c>
      <c r="AO21">
        <v>603</v>
      </c>
      <c r="AP21">
        <v>1019</v>
      </c>
      <c r="AQ21">
        <v>920</v>
      </c>
      <c r="AR21">
        <v>965</v>
      </c>
      <c r="AS21">
        <v>732</v>
      </c>
      <c r="AZ21">
        <v>678915</v>
      </c>
      <c r="BA21">
        <v>1564708</v>
      </c>
      <c r="BB21">
        <v>1614263</v>
      </c>
      <c r="BC21">
        <v>2578642</v>
      </c>
    </row>
    <row r="22" spans="2:55">
      <c r="B22" t="s">
        <v>16</v>
      </c>
      <c r="C22" t="s">
        <v>113</v>
      </c>
      <c r="T22">
        <v>1481</v>
      </c>
      <c r="U22">
        <v>1852</v>
      </c>
      <c r="V22">
        <v>1196</v>
      </c>
      <c r="W22">
        <v>628</v>
      </c>
      <c r="X22">
        <v>2181</v>
      </c>
      <c r="Y22">
        <v>8711</v>
      </c>
      <c r="Z22">
        <v>4364</v>
      </c>
      <c r="AA22">
        <v>3643</v>
      </c>
      <c r="AB22">
        <v>3789</v>
      </c>
      <c r="AC22">
        <f>+Sheet2!AC20</f>
        <v>3103135</v>
      </c>
      <c r="AD22">
        <f>+Sheet2!AD20</f>
        <v>4659198</v>
      </c>
      <c r="AE22">
        <f>+Sheet2!AE20</f>
        <v>7538208</v>
      </c>
      <c r="AF22">
        <f>+Sheet2!AF20</f>
        <v>7051250</v>
      </c>
      <c r="AG22">
        <f>+Sheet2!AG20</f>
        <v>8429944</v>
      </c>
      <c r="AH22">
        <f>+Sheet2!AH20</f>
        <v>8760008</v>
      </c>
      <c r="AI22">
        <v>8029</v>
      </c>
      <c r="AJ22">
        <v>6075</v>
      </c>
      <c r="AK22">
        <v>3721</v>
      </c>
      <c r="AL22">
        <v>2345</v>
      </c>
      <c r="AM22">
        <v>1804</v>
      </c>
      <c r="AN22">
        <v>1981</v>
      </c>
      <c r="AO22">
        <v>2192</v>
      </c>
      <c r="AP22">
        <v>3351</v>
      </c>
      <c r="AQ22">
        <v>3544</v>
      </c>
      <c r="AR22">
        <v>3060</v>
      </c>
      <c r="AS22">
        <v>2337</v>
      </c>
      <c r="AZ22">
        <v>3374845</v>
      </c>
      <c r="BA22">
        <v>14055076</v>
      </c>
      <c r="BB22">
        <v>21313560</v>
      </c>
      <c r="BC22">
        <v>16572178</v>
      </c>
    </row>
    <row r="23" spans="2:55">
      <c r="B23" t="s">
        <v>17</v>
      </c>
      <c r="C23" t="s">
        <v>114</v>
      </c>
      <c r="AC23">
        <f>+Sheet2!AC21</f>
        <v>870</v>
      </c>
      <c r="AD23">
        <f>+Sheet2!AD21</f>
        <v>4647</v>
      </c>
      <c r="AE23">
        <f>+Sheet2!AE21</f>
        <v>47630</v>
      </c>
      <c r="AF23">
        <f>+Sheet2!AF21</f>
        <v>57494</v>
      </c>
      <c r="AG23">
        <f>+Sheet2!AG21</f>
        <v>140160</v>
      </c>
      <c r="AH23">
        <f>+Sheet2!AH21</f>
        <v>254736</v>
      </c>
      <c r="AI23">
        <v>121</v>
      </c>
      <c r="AJ23">
        <v>52</v>
      </c>
      <c r="AK23">
        <v>465</v>
      </c>
      <c r="AL23">
        <v>329</v>
      </c>
      <c r="AM23">
        <v>372</v>
      </c>
      <c r="AN23">
        <v>557</v>
      </c>
      <c r="AO23">
        <v>501</v>
      </c>
      <c r="AP23">
        <v>960</v>
      </c>
      <c r="AQ23">
        <v>975</v>
      </c>
      <c r="AR23">
        <v>682</v>
      </c>
      <c r="AS23">
        <v>255</v>
      </c>
      <c r="AZ23">
        <v>292205</v>
      </c>
      <c r="BA23">
        <v>1020275</v>
      </c>
      <c r="BB23">
        <v>2440348</v>
      </c>
      <c r="BC23">
        <v>3296408</v>
      </c>
    </row>
    <row r="24" spans="2:55">
      <c r="B24" t="s">
        <v>18</v>
      </c>
      <c r="D24" t="s">
        <v>60</v>
      </c>
      <c r="AC24">
        <f>+Sheet2!AC22</f>
        <v>0</v>
      </c>
      <c r="AD24">
        <f>+Sheet2!AD22</f>
        <v>0</v>
      </c>
      <c r="AE24">
        <f>+Sheet2!AE22</f>
        <v>0</v>
      </c>
      <c r="AF24">
        <f>+Sheet2!AF22</f>
        <v>1923</v>
      </c>
      <c r="AG24">
        <f>+Sheet2!AG22</f>
        <v>0</v>
      </c>
      <c r="AH24">
        <f>+Sheet2!AH22</f>
        <v>0</v>
      </c>
      <c r="AK24">
        <v>3</v>
      </c>
      <c r="AL24">
        <v>2</v>
      </c>
      <c r="AM24">
        <v>8</v>
      </c>
      <c r="AN24">
        <v>81</v>
      </c>
      <c r="AO24">
        <v>69</v>
      </c>
      <c r="AP24">
        <v>168</v>
      </c>
      <c r="AQ24">
        <v>333</v>
      </c>
      <c r="AR24">
        <v>230</v>
      </c>
      <c r="AS24">
        <v>60</v>
      </c>
    </row>
    <row r="25" spans="2:55">
      <c r="B25" t="s">
        <v>69</v>
      </c>
      <c r="AC25">
        <f>+Sheet2!AC23</f>
        <v>0</v>
      </c>
      <c r="AD25">
        <f>+Sheet2!AD23</f>
        <v>0</v>
      </c>
      <c r="AE25">
        <f>+Sheet2!AE23</f>
        <v>0</v>
      </c>
      <c r="AF25">
        <f>+Sheet2!AF23</f>
        <v>0</v>
      </c>
      <c r="AG25">
        <f>+Sheet2!AG23</f>
        <v>0</v>
      </c>
      <c r="AH25">
        <f>+Sheet2!AH23</f>
        <v>0</v>
      </c>
    </row>
    <row r="26" spans="2:55">
      <c r="B26" t="s">
        <v>19</v>
      </c>
      <c r="C26" t="s">
        <v>115</v>
      </c>
      <c r="AC26">
        <f>+Sheet2!AC24</f>
        <v>0</v>
      </c>
      <c r="AD26">
        <f>+Sheet2!AD24</f>
        <v>1716</v>
      </c>
      <c r="AE26">
        <f>+Sheet2!AE24</f>
        <v>0</v>
      </c>
      <c r="AF26">
        <f>+Sheet2!AF24</f>
        <v>0</v>
      </c>
      <c r="AG26">
        <f>+Sheet2!AG24</f>
        <v>918</v>
      </c>
      <c r="AH26">
        <f>+Sheet2!AH24</f>
        <v>64395</v>
      </c>
      <c r="AJ26">
        <v>9</v>
      </c>
      <c r="AK26">
        <v>1</v>
      </c>
      <c r="AL26">
        <v>22</v>
      </c>
      <c r="AM26">
        <v>38</v>
      </c>
      <c r="AN26">
        <v>104</v>
      </c>
      <c r="AO26">
        <v>312</v>
      </c>
      <c r="AP26">
        <v>1212</v>
      </c>
      <c r="AQ26">
        <v>1005</v>
      </c>
      <c r="AR26">
        <v>1217</v>
      </c>
      <c r="AS26">
        <v>20</v>
      </c>
      <c r="BA26">
        <v>54064</v>
      </c>
      <c r="BB26">
        <v>355304</v>
      </c>
      <c r="BC26">
        <v>181044</v>
      </c>
    </row>
    <row r="27" spans="2:55">
      <c r="B27" t="s">
        <v>20</v>
      </c>
      <c r="C27" t="s">
        <v>116</v>
      </c>
      <c r="AC27">
        <f>+Sheet2!AC25</f>
        <v>5</v>
      </c>
      <c r="AD27">
        <f>+Sheet2!AD25</f>
        <v>2163</v>
      </c>
      <c r="AE27">
        <f>+Sheet2!AE25</f>
        <v>2439</v>
      </c>
      <c r="AF27">
        <f>+Sheet2!AF25</f>
        <v>2393</v>
      </c>
      <c r="AG27">
        <f>+Sheet2!AG25</f>
        <v>180</v>
      </c>
      <c r="AH27">
        <f>+Sheet2!AH25</f>
        <v>0</v>
      </c>
      <c r="AI27">
        <v>152</v>
      </c>
      <c r="AJ27">
        <v>99</v>
      </c>
      <c r="AK27">
        <v>196</v>
      </c>
      <c r="AL27">
        <v>205</v>
      </c>
      <c r="AM27">
        <v>321</v>
      </c>
      <c r="AN27">
        <v>365</v>
      </c>
      <c r="AO27">
        <v>111</v>
      </c>
      <c r="AP27">
        <v>201</v>
      </c>
      <c r="AQ27">
        <v>282</v>
      </c>
      <c r="AR27">
        <v>41</v>
      </c>
      <c r="AS27">
        <v>18</v>
      </c>
      <c r="BC27">
        <v>144148</v>
      </c>
    </row>
    <row r="28" spans="2:55">
      <c r="B28" t="s">
        <v>86</v>
      </c>
      <c r="C28" t="s">
        <v>154</v>
      </c>
      <c r="AC28">
        <f>+Sheet2!AC26</f>
        <v>1997</v>
      </c>
      <c r="AD28">
        <f>+Sheet2!AD26</f>
        <v>387</v>
      </c>
      <c r="AE28">
        <f>+Sheet2!AE26</f>
        <v>0</v>
      </c>
      <c r="AF28">
        <f>+Sheet2!AF26</f>
        <v>0</v>
      </c>
      <c r="AG28">
        <f>+Sheet2!AG26</f>
        <v>0</v>
      </c>
      <c r="AH28">
        <f>+Sheet2!AH26</f>
        <v>0</v>
      </c>
      <c r="BB28">
        <v>38204</v>
      </c>
      <c r="BC28">
        <v>47568</v>
      </c>
    </row>
    <row r="29" spans="2:55">
      <c r="B29" t="s">
        <v>87</v>
      </c>
      <c r="AC29">
        <f>+Sheet2!AC27</f>
        <v>1</v>
      </c>
      <c r="AD29">
        <f>+Sheet2!AD27</f>
        <v>3</v>
      </c>
      <c r="AE29">
        <f>+Sheet2!AE27</f>
        <v>0</v>
      </c>
      <c r="AF29">
        <f>+Sheet2!AF27</f>
        <v>0</v>
      </c>
      <c r="AG29">
        <f>+Sheet2!AG27</f>
        <v>0</v>
      </c>
      <c r="AH29">
        <f>+Sheet2!AH27</f>
        <v>0</v>
      </c>
    </row>
    <row r="30" spans="2:55">
      <c r="B30" t="s">
        <v>61</v>
      </c>
      <c r="AC30">
        <f>+Sheet2!AC28</f>
        <v>0</v>
      </c>
      <c r="AD30">
        <f>+Sheet2!AD28</f>
        <v>0</v>
      </c>
      <c r="AE30">
        <f>+Sheet2!AE28</f>
        <v>0</v>
      </c>
      <c r="AF30">
        <f>+Sheet2!AF28</f>
        <v>0</v>
      </c>
      <c r="AG30">
        <f>+Sheet2!AG28</f>
        <v>0</v>
      </c>
      <c r="AH30">
        <f>+Sheet2!AH28</f>
        <v>0</v>
      </c>
      <c r="AI30">
        <v>4</v>
      </c>
      <c r="AJ30">
        <v>8</v>
      </c>
      <c r="AK30">
        <v>17</v>
      </c>
      <c r="AL30">
        <v>14</v>
      </c>
      <c r="AM30">
        <v>21</v>
      </c>
      <c r="AN30">
        <v>53</v>
      </c>
      <c r="AO30">
        <v>43</v>
      </c>
    </row>
    <row r="31" spans="2:55">
      <c r="B31" t="s">
        <v>21</v>
      </c>
      <c r="C31" t="s">
        <v>117</v>
      </c>
      <c r="AC31">
        <f>+Sheet2!AC29</f>
        <v>0</v>
      </c>
      <c r="AD31">
        <f>+Sheet2!AD29</f>
        <v>0</v>
      </c>
      <c r="AE31">
        <f>+Sheet2!AE29</f>
        <v>7807</v>
      </c>
      <c r="AF31">
        <f>+Sheet2!AF29</f>
        <v>8795</v>
      </c>
      <c r="AG31">
        <f>+Sheet2!AG29</f>
        <v>7883</v>
      </c>
      <c r="AH31">
        <f>+Sheet2!AH29</f>
        <v>7317</v>
      </c>
      <c r="AP31">
        <v>19</v>
      </c>
      <c r="AQ31">
        <v>135</v>
      </c>
      <c r="AR31">
        <v>50</v>
      </c>
      <c r="AS31">
        <v>28</v>
      </c>
      <c r="BA31">
        <v>1929</v>
      </c>
    </row>
    <row r="32" spans="2:55">
      <c r="B32" t="s">
        <v>22</v>
      </c>
      <c r="C32" t="s">
        <v>119</v>
      </c>
      <c r="AC32">
        <f>+Sheet2!AC30</f>
        <v>0</v>
      </c>
      <c r="AD32">
        <f>+Sheet2!AD30</f>
        <v>0</v>
      </c>
      <c r="AE32">
        <f>+Sheet2!AE30</f>
        <v>0</v>
      </c>
      <c r="AF32">
        <f>+Sheet2!AF30</f>
        <v>0</v>
      </c>
      <c r="AG32">
        <f>+Sheet2!AG30</f>
        <v>0</v>
      </c>
      <c r="AH32">
        <f>+Sheet2!AH30</f>
        <v>0</v>
      </c>
      <c r="AP32">
        <v>126</v>
      </c>
      <c r="AQ32">
        <v>119</v>
      </c>
      <c r="AR32">
        <v>126</v>
      </c>
      <c r="AS32">
        <v>201</v>
      </c>
      <c r="AZ32">
        <v>128792</v>
      </c>
      <c r="BA32">
        <v>272</v>
      </c>
      <c r="BB32">
        <v>42548</v>
      </c>
      <c r="BC32">
        <v>35312</v>
      </c>
    </row>
    <row r="33" spans="2:55">
      <c r="B33" t="s">
        <v>70</v>
      </c>
      <c r="AC33">
        <f>+Sheet2!AC31</f>
        <v>0</v>
      </c>
      <c r="AD33">
        <f>+Sheet2!AD31</f>
        <v>0</v>
      </c>
      <c r="AE33">
        <f>+Sheet2!AE31</f>
        <v>0</v>
      </c>
      <c r="AF33">
        <f>+Sheet2!AF31</f>
        <v>700</v>
      </c>
      <c r="AG33">
        <f>+Sheet2!AG31</f>
        <v>0</v>
      </c>
      <c r="AH33">
        <f>+Sheet2!AH31</f>
        <v>295240</v>
      </c>
      <c r="AZ33">
        <v>57143</v>
      </c>
      <c r="BB33">
        <v>385</v>
      </c>
    </row>
    <row r="34" spans="2:55">
      <c r="B34" t="s">
        <v>183</v>
      </c>
      <c r="U34">
        <v>2</v>
      </c>
      <c r="V34">
        <v>2</v>
      </c>
      <c r="W34">
        <v>6</v>
      </c>
      <c r="X34">
        <v>23</v>
      </c>
      <c r="Y34">
        <v>13</v>
      </c>
      <c r="Z34">
        <v>26</v>
      </c>
      <c r="AA34">
        <v>1</v>
      </c>
      <c r="AB34">
        <v>2</v>
      </c>
    </row>
    <row r="35" spans="2:55">
      <c r="B35" t="s">
        <v>71</v>
      </c>
      <c r="AC35">
        <f>+Sheet2!AC32</f>
        <v>0</v>
      </c>
      <c r="AD35">
        <f>+Sheet2!AD32</f>
        <v>0</v>
      </c>
      <c r="AE35">
        <f>+Sheet2!AE32</f>
        <v>1077</v>
      </c>
      <c r="AF35">
        <f>+Sheet2!AF32</f>
        <v>10707</v>
      </c>
      <c r="AG35">
        <f>+Sheet2!AG32</f>
        <v>1063</v>
      </c>
      <c r="AH35">
        <f>+Sheet2!AH32</f>
        <v>1227</v>
      </c>
      <c r="AZ35">
        <v>12101</v>
      </c>
    </row>
    <row r="36" spans="2:55">
      <c r="B36" t="s">
        <v>23</v>
      </c>
      <c r="C36" t="s">
        <v>118</v>
      </c>
      <c r="T36">
        <v>5</v>
      </c>
      <c r="U36">
        <v>1</v>
      </c>
      <c r="Y36">
        <v>5</v>
      </c>
      <c r="AB36">
        <v>14</v>
      </c>
      <c r="AC36">
        <f>+Sheet2!AC33</f>
        <v>0</v>
      </c>
      <c r="AD36">
        <f>+Sheet2!AD33</f>
        <v>0</v>
      </c>
      <c r="AE36">
        <f>+Sheet2!AE33</f>
        <v>0</v>
      </c>
      <c r="AF36">
        <f>+Sheet2!AF33</f>
        <v>0</v>
      </c>
      <c r="AG36">
        <f>+Sheet2!AG33</f>
        <v>0</v>
      </c>
      <c r="AH36">
        <f>+Sheet2!AH33</f>
        <v>0</v>
      </c>
      <c r="AI36">
        <v>63</v>
      </c>
      <c r="AJ36">
        <v>45</v>
      </c>
      <c r="AK36">
        <v>1</v>
      </c>
      <c r="AN36">
        <v>4</v>
      </c>
      <c r="AO36">
        <v>25</v>
      </c>
      <c r="AP36">
        <v>19</v>
      </c>
      <c r="AR36">
        <v>191</v>
      </c>
      <c r="AS36">
        <v>204</v>
      </c>
      <c r="AZ36">
        <v>8821</v>
      </c>
      <c r="BA36">
        <v>765</v>
      </c>
      <c r="BB36">
        <v>12637</v>
      </c>
      <c r="BC36">
        <v>19449</v>
      </c>
    </row>
    <row r="37" spans="2:55">
      <c r="B37" t="s">
        <v>24</v>
      </c>
      <c r="U37">
        <v>8</v>
      </c>
      <c r="V37">
        <v>36</v>
      </c>
      <c r="W37">
        <v>25</v>
      </c>
      <c r="X37">
        <v>456</v>
      </c>
      <c r="Y37">
        <v>3563</v>
      </c>
      <c r="Z37">
        <v>4100</v>
      </c>
      <c r="AA37">
        <v>847</v>
      </c>
      <c r="AB37">
        <v>971</v>
      </c>
      <c r="AC37">
        <f>+Sheet2!AC34</f>
        <v>878065</v>
      </c>
      <c r="AD37">
        <f>+Sheet2!AD34</f>
        <v>1413245</v>
      </c>
      <c r="AE37">
        <f>+Sheet2!AE34</f>
        <v>3385563</v>
      </c>
      <c r="AF37">
        <f>+Sheet2!AF34</f>
        <v>1308094</v>
      </c>
      <c r="AG37">
        <f>+Sheet2!AG34</f>
        <v>3203036</v>
      </c>
      <c r="AH37">
        <f>+Sheet2!AH34</f>
        <v>7932168</v>
      </c>
      <c r="AI37">
        <v>3102</v>
      </c>
      <c r="AJ37">
        <v>2058</v>
      </c>
      <c r="AK37">
        <v>978</v>
      </c>
      <c r="AL37">
        <v>1453</v>
      </c>
      <c r="AM37">
        <v>1473</v>
      </c>
      <c r="AN37">
        <v>1542</v>
      </c>
      <c r="AO37">
        <v>2289</v>
      </c>
      <c r="AP37">
        <v>3079</v>
      </c>
      <c r="AQ37">
        <v>3667</v>
      </c>
      <c r="AR37">
        <v>3511</v>
      </c>
      <c r="AS37">
        <v>5210</v>
      </c>
      <c r="AZ37">
        <v>8381523</v>
      </c>
      <c r="BA37">
        <v>15096140</v>
      </c>
      <c r="BB37">
        <v>13295736</v>
      </c>
      <c r="BC37">
        <v>11698509</v>
      </c>
    </row>
    <row r="38" spans="2:55">
      <c r="B38" t="s">
        <v>25</v>
      </c>
      <c r="AC38">
        <f>+Sheet2!AC35</f>
        <v>0</v>
      </c>
      <c r="AD38">
        <f>+Sheet2!AD35</f>
        <v>0</v>
      </c>
      <c r="AE38">
        <f>+Sheet2!AE35</f>
        <v>0</v>
      </c>
      <c r="AF38">
        <f>+Sheet2!AF35</f>
        <v>0</v>
      </c>
      <c r="AG38">
        <f>+Sheet2!AG35</f>
        <v>0</v>
      </c>
      <c r="AH38">
        <f>+Sheet2!AH35</f>
        <v>0</v>
      </c>
      <c r="AQ38">
        <v>9</v>
      </c>
      <c r="AR38">
        <v>27</v>
      </c>
      <c r="AS38">
        <v>35</v>
      </c>
      <c r="AZ38">
        <v>3324315</v>
      </c>
      <c r="BA38">
        <v>3687303</v>
      </c>
      <c r="BB38">
        <v>530966</v>
      </c>
      <c r="BC38">
        <v>128179</v>
      </c>
    </row>
    <row r="39" spans="2:55">
      <c r="B39" t="s">
        <v>26</v>
      </c>
      <c r="AC39">
        <f>+Sheet2!AC36</f>
        <v>0</v>
      </c>
      <c r="AD39">
        <f>+Sheet2!AD36</f>
        <v>0</v>
      </c>
      <c r="AE39">
        <f>+Sheet2!AE36</f>
        <v>0</v>
      </c>
      <c r="AF39">
        <f>+Sheet2!AF36</f>
        <v>0</v>
      </c>
      <c r="AG39">
        <f>+Sheet2!AG36</f>
        <v>0</v>
      </c>
      <c r="AH39">
        <f>+Sheet2!AH36</f>
        <v>0</v>
      </c>
      <c r="AQ39">
        <v>122</v>
      </c>
      <c r="AR39">
        <v>75</v>
      </c>
      <c r="AS39">
        <v>34</v>
      </c>
      <c r="AZ39">
        <v>149246</v>
      </c>
      <c r="BA39">
        <v>65388</v>
      </c>
      <c r="BB39">
        <v>46273</v>
      </c>
    </row>
    <row r="40" spans="2:55">
      <c r="B40" t="s">
        <v>27</v>
      </c>
      <c r="AC40">
        <f>+Sheet2!AC37</f>
        <v>0</v>
      </c>
      <c r="AD40">
        <f>+Sheet2!AD37</f>
        <v>0</v>
      </c>
      <c r="AE40">
        <f>+Sheet2!AE37</f>
        <v>0</v>
      </c>
      <c r="AF40">
        <f>+Sheet2!AF37</f>
        <v>0</v>
      </c>
      <c r="AG40">
        <f>+Sheet2!AG37</f>
        <v>0</v>
      </c>
      <c r="AH40">
        <f>+Sheet2!AH37</f>
        <v>0</v>
      </c>
      <c r="AQ40">
        <v>384</v>
      </c>
      <c r="AR40">
        <v>332</v>
      </c>
      <c r="AS40">
        <v>518</v>
      </c>
      <c r="AZ40">
        <v>4765951</v>
      </c>
      <c r="BA40">
        <v>2023027</v>
      </c>
      <c r="BB40">
        <v>3720613</v>
      </c>
      <c r="BC40">
        <v>343724</v>
      </c>
    </row>
    <row r="41" spans="2:55">
      <c r="B41" t="s">
        <v>125</v>
      </c>
      <c r="AS41">
        <v>509</v>
      </c>
      <c r="AZ41">
        <v>8728</v>
      </c>
      <c r="BA41">
        <v>13896</v>
      </c>
      <c r="BB41">
        <v>9781</v>
      </c>
    </row>
    <row r="42" spans="2:55">
      <c r="B42" t="s">
        <v>28</v>
      </c>
      <c r="C42" t="s">
        <v>121</v>
      </c>
      <c r="AI42">
        <v>626</v>
      </c>
      <c r="AJ42">
        <v>374</v>
      </c>
      <c r="AK42">
        <v>63</v>
      </c>
      <c r="AL42">
        <v>321</v>
      </c>
      <c r="AM42">
        <v>275</v>
      </c>
      <c r="AN42">
        <v>445</v>
      </c>
      <c r="AO42">
        <v>229</v>
      </c>
      <c r="AP42">
        <v>658</v>
      </c>
      <c r="AQ42">
        <v>22</v>
      </c>
      <c r="AR42">
        <v>47</v>
      </c>
      <c r="AS42">
        <v>4</v>
      </c>
      <c r="BB42">
        <v>19842</v>
      </c>
      <c r="BC42">
        <v>9893</v>
      </c>
    </row>
    <row r="43" spans="2:55">
      <c r="B43" t="s">
        <v>29</v>
      </c>
      <c r="C43" t="s">
        <v>122</v>
      </c>
      <c r="T43">
        <v>15058</v>
      </c>
      <c r="U43">
        <v>30801</v>
      </c>
      <c r="V43">
        <v>60592</v>
      </c>
      <c r="W43">
        <v>62440</v>
      </c>
      <c r="X43">
        <v>130487</v>
      </c>
      <c r="Y43">
        <v>162861</v>
      </c>
      <c r="Z43">
        <v>108810</v>
      </c>
      <c r="AA43">
        <v>31944</v>
      </c>
      <c r="AB43">
        <v>38793</v>
      </c>
      <c r="AC43">
        <f>+Sheet2!AC39</f>
        <v>45813627</v>
      </c>
      <c r="AD43">
        <f>+Sheet2!AD39</f>
        <v>54022469</v>
      </c>
      <c r="AE43">
        <f>+Sheet2!AE39</f>
        <v>74877253</v>
      </c>
      <c r="AF43">
        <f>+Sheet2!AF39</f>
        <v>92635173</v>
      </c>
      <c r="AG43">
        <f>+Sheet2!AG39</f>
        <v>96849094</v>
      </c>
      <c r="AH43">
        <f>+Sheet2!AH39</f>
        <v>131039540</v>
      </c>
      <c r="AI43">
        <v>90363</v>
      </c>
      <c r="AJ43">
        <v>51380</v>
      </c>
      <c r="AK43">
        <v>24558</v>
      </c>
      <c r="AL43">
        <v>15555</v>
      </c>
      <c r="AM43">
        <v>17670</v>
      </c>
      <c r="AN43">
        <v>18871</v>
      </c>
      <c r="AO43">
        <v>21721</v>
      </c>
      <c r="AP43">
        <v>49926</v>
      </c>
      <c r="AQ43">
        <v>60205</v>
      </c>
      <c r="AR43">
        <v>63706</v>
      </c>
      <c r="AS43">
        <v>99726</v>
      </c>
      <c r="AZ43">
        <v>306419287</v>
      </c>
      <c r="BA43">
        <v>286003498</v>
      </c>
      <c r="BB43">
        <v>441981481</v>
      </c>
      <c r="BC43">
        <v>326454945</v>
      </c>
    </row>
    <row r="44" spans="2:55">
      <c r="B44" t="s">
        <v>72</v>
      </c>
      <c r="AC44">
        <f>+Sheet2!AC40</f>
        <v>0</v>
      </c>
      <c r="AD44">
        <f>+Sheet2!AD40</f>
        <v>1</v>
      </c>
      <c r="AE44">
        <f>+Sheet2!AE40</f>
        <v>282456</v>
      </c>
      <c r="AF44">
        <f>+Sheet2!AF40</f>
        <v>190820</v>
      </c>
      <c r="AG44">
        <f>+Sheet2!AG40</f>
        <v>8300</v>
      </c>
      <c r="AH44">
        <f>+Sheet2!AH40</f>
        <v>7092</v>
      </c>
    </row>
    <row r="45" spans="2:55">
      <c r="B45" t="s">
        <v>123</v>
      </c>
      <c r="AP45">
        <v>106</v>
      </c>
      <c r="AQ45">
        <v>2</v>
      </c>
      <c r="AR45">
        <v>1</v>
      </c>
      <c r="AS45">
        <v>10</v>
      </c>
      <c r="AZ45">
        <v>112153</v>
      </c>
      <c r="BA45">
        <v>63320</v>
      </c>
      <c r="BB45">
        <v>15172155</v>
      </c>
      <c r="BC45">
        <v>121645</v>
      </c>
    </row>
    <row r="46" spans="2:55">
      <c r="B46" t="s">
        <v>73</v>
      </c>
      <c r="AC46">
        <f>+Sheet2!AC41</f>
        <v>1712</v>
      </c>
      <c r="AD46">
        <f>+Sheet2!AD41</f>
        <v>1619</v>
      </c>
      <c r="AE46">
        <f>+Sheet2!AE41</f>
        <v>400</v>
      </c>
      <c r="AF46">
        <f>+Sheet2!AF41</f>
        <v>0</v>
      </c>
      <c r="AG46">
        <f>+Sheet2!AG41</f>
        <v>8600</v>
      </c>
      <c r="AH46">
        <f>+Sheet2!AH41</f>
        <v>1881</v>
      </c>
    </row>
    <row r="47" spans="2:55">
      <c r="B47" t="s">
        <v>74</v>
      </c>
      <c r="AC47">
        <f>+Sheet2!AC42</f>
        <v>4411</v>
      </c>
      <c r="AD47">
        <f>+Sheet2!AD42</f>
        <v>49215</v>
      </c>
      <c r="AE47">
        <f>+Sheet2!AE42</f>
        <v>105347</v>
      </c>
      <c r="AF47">
        <f>+Sheet2!AF42</f>
        <v>184873</v>
      </c>
      <c r="AG47">
        <f>+Sheet2!AG42</f>
        <v>433411</v>
      </c>
      <c r="AH47">
        <f>+Sheet2!AH42</f>
        <v>483503</v>
      </c>
    </row>
    <row r="48" spans="2:55">
      <c r="B48" t="s">
        <v>149</v>
      </c>
      <c r="C48" t="s">
        <v>152</v>
      </c>
      <c r="BA48">
        <v>800456</v>
      </c>
      <c r="BB48">
        <v>44480</v>
      </c>
      <c r="BC48">
        <v>11133</v>
      </c>
    </row>
    <row r="49" spans="2:56">
      <c r="B49" t="s">
        <v>150</v>
      </c>
      <c r="BA49">
        <v>20748</v>
      </c>
    </row>
    <row r="50" spans="2:56">
      <c r="B50" t="s">
        <v>151</v>
      </c>
      <c r="BA50">
        <v>1335601</v>
      </c>
      <c r="BB50">
        <v>119572</v>
      </c>
      <c r="BC50">
        <v>8287</v>
      </c>
    </row>
    <row r="51" spans="2:56">
      <c r="B51" t="s">
        <v>163</v>
      </c>
      <c r="BC51">
        <v>34115</v>
      </c>
    </row>
    <row r="52" spans="2:56">
      <c r="B52" t="s">
        <v>155</v>
      </c>
      <c r="BB52">
        <v>10862</v>
      </c>
      <c r="BC52">
        <v>1199194</v>
      </c>
    </row>
    <row r="53" spans="2:56">
      <c r="B53" t="s">
        <v>146</v>
      </c>
      <c r="AZ53">
        <v>52403</v>
      </c>
      <c r="BA53">
        <v>791781</v>
      </c>
    </row>
    <row r="54" spans="2:56">
      <c r="B54" t="s">
        <v>156</v>
      </c>
      <c r="BB54">
        <v>1700108</v>
      </c>
      <c r="BC54">
        <v>2518</v>
      </c>
    </row>
    <row r="55" spans="2:56">
      <c r="B55" t="s">
        <v>30</v>
      </c>
      <c r="C55" t="s">
        <v>124</v>
      </c>
      <c r="AC55">
        <f>+Sheet2!AC43</f>
        <v>0</v>
      </c>
      <c r="AD55">
        <f>+Sheet2!AD43</f>
        <v>0</v>
      </c>
      <c r="AE55">
        <f>+Sheet2!AE43</f>
        <v>0</v>
      </c>
      <c r="AF55">
        <f>+Sheet2!AF43</f>
        <v>0</v>
      </c>
      <c r="AG55">
        <f>+Sheet2!AG43</f>
        <v>5816</v>
      </c>
      <c r="AH55">
        <f>+Sheet2!AH43</f>
        <v>0</v>
      </c>
      <c r="AI55">
        <v>22</v>
      </c>
      <c r="AJ55">
        <v>3</v>
      </c>
      <c r="AK55">
        <v>2</v>
      </c>
      <c r="AL55">
        <v>9</v>
      </c>
      <c r="AM55">
        <v>8</v>
      </c>
      <c r="AN55">
        <v>5</v>
      </c>
      <c r="AO55">
        <v>5</v>
      </c>
      <c r="AP55">
        <v>7</v>
      </c>
      <c r="AQ55">
        <v>8</v>
      </c>
      <c r="AR55">
        <v>14</v>
      </c>
      <c r="AS55">
        <v>18</v>
      </c>
      <c r="AZ55">
        <v>1470</v>
      </c>
      <c r="BA55">
        <v>12696</v>
      </c>
      <c r="BB55">
        <v>574</v>
      </c>
      <c r="BC55">
        <v>254</v>
      </c>
    </row>
    <row r="56" spans="2:56">
      <c r="B56" t="s">
        <v>31</v>
      </c>
      <c r="C56" t="s">
        <v>127</v>
      </c>
      <c r="AC56">
        <f>+Sheet2!AC44</f>
        <v>54313</v>
      </c>
      <c r="AD56">
        <f>+Sheet2!AD44</f>
        <v>104825</v>
      </c>
      <c r="AE56">
        <f>+Sheet2!AE44</f>
        <v>43588</v>
      </c>
      <c r="AF56">
        <f>+Sheet2!AF44</f>
        <v>0</v>
      </c>
      <c r="AG56">
        <f>+Sheet2!AG44</f>
        <v>0</v>
      </c>
      <c r="AH56">
        <f>+Sheet2!AH44</f>
        <v>24092</v>
      </c>
      <c r="AI56">
        <v>19</v>
      </c>
      <c r="AJ56">
        <v>35</v>
      </c>
      <c r="AK56">
        <v>45</v>
      </c>
      <c r="AL56">
        <v>41</v>
      </c>
      <c r="AM56">
        <v>35</v>
      </c>
      <c r="AN56">
        <v>28</v>
      </c>
      <c r="AO56">
        <v>26</v>
      </c>
      <c r="AP56">
        <v>59</v>
      </c>
      <c r="AQ56">
        <v>38</v>
      </c>
      <c r="AR56">
        <v>14</v>
      </c>
      <c r="AS56">
        <v>33</v>
      </c>
      <c r="BD56">
        <f>SUM(BC56:BC92)</f>
        <v>679437779</v>
      </c>
    </row>
    <row r="57" spans="2:56">
      <c r="B57" t="s">
        <v>94</v>
      </c>
      <c r="T57">
        <v>2</v>
      </c>
      <c r="U57">
        <v>5</v>
      </c>
      <c r="V57">
        <v>6</v>
      </c>
      <c r="AC57">
        <f>+Sheet2!AC45</f>
        <v>0</v>
      </c>
      <c r="AD57">
        <f>+Sheet2!AD45</f>
        <v>2351</v>
      </c>
      <c r="AE57">
        <f>+Sheet2!AE45</f>
        <v>38124</v>
      </c>
      <c r="AF57">
        <f>+Sheet2!AF45</f>
        <v>56515</v>
      </c>
      <c r="AG57">
        <f>+Sheet2!AG45</f>
        <v>36362</v>
      </c>
      <c r="AH57">
        <f>+Sheet2!AH45</f>
        <v>12928</v>
      </c>
      <c r="AZ57">
        <v>131031</v>
      </c>
      <c r="BA57">
        <v>369861</v>
      </c>
    </row>
    <row r="58" spans="2:56">
      <c r="B58" t="s">
        <v>95</v>
      </c>
      <c r="AC58">
        <f>+Sheet2!AC46</f>
        <v>0</v>
      </c>
      <c r="AD58">
        <f>+Sheet2!AD46</f>
        <v>0</v>
      </c>
      <c r="AE58">
        <f>+Sheet2!AE46</f>
        <v>0</v>
      </c>
      <c r="AF58">
        <f>+Sheet2!AF46</f>
        <v>3267</v>
      </c>
      <c r="AG58">
        <f>+Sheet2!AG46</f>
        <v>1364</v>
      </c>
      <c r="AH58">
        <f>+Sheet2!AH46</f>
        <v>0</v>
      </c>
      <c r="BA58">
        <v>1087627</v>
      </c>
      <c r="BC58">
        <v>15397</v>
      </c>
    </row>
    <row r="59" spans="2:56">
      <c r="B59" t="s">
        <v>164</v>
      </c>
      <c r="BC59">
        <v>1075</v>
      </c>
    </row>
    <row r="60" spans="2:56">
      <c r="B60" t="s">
        <v>165</v>
      </c>
      <c r="BC60">
        <v>256741</v>
      </c>
    </row>
    <row r="61" spans="2:56">
      <c r="B61" t="s">
        <v>157</v>
      </c>
      <c r="BB61">
        <v>1186374</v>
      </c>
      <c r="BC61">
        <v>27343</v>
      </c>
    </row>
    <row r="62" spans="2:56">
      <c r="B62" t="s">
        <v>98</v>
      </c>
      <c r="AC62">
        <f>+Sheet2!AC47</f>
        <v>0</v>
      </c>
      <c r="AD62">
        <f>+Sheet2!AD47</f>
        <v>0</v>
      </c>
      <c r="AE62">
        <f>+Sheet2!AE47</f>
        <v>0</v>
      </c>
      <c r="AF62">
        <f>+Sheet2!AF47</f>
        <v>0</v>
      </c>
      <c r="AG62">
        <f>+Sheet2!AG47</f>
        <v>1332</v>
      </c>
      <c r="AH62">
        <f>+Sheet2!AH47</f>
        <v>0</v>
      </c>
    </row>
    <row r="63" spans="2:56">
      <c r="B63" t="s">
        <v>64</v>
      </c>
      <c r="U63">
        <v>1</v>
      </c>
      <c r="V63">
        <v>80</v>
      </c>
      <c r="W63">
        <v>1</v>
      </c>
      <c r="AC63">
        <f>+Sheet2!AC48</f>
        <v>3043</v>
      </c>
      <c r="AD63">
        <f>+Sheet2!AD48</f>
        <v>7021</v>
      </c>
      <c r="AE63">
        <f>+Sheet2!AE48</f>
        <v>5399</v>
      </c>
      <c r="AF63">
        <f>+Sheet2!AF48</f>
        <v>0</v>
      </c>
      <c r="AG63">
        <f>+Sheet2!AG48</f>
        <v>360</v>
      </c>
      <c r="AH63">
        <f>+Sheet2!AH48</f>
        <v>945080</v>
      </c>
      <c r="AI63">
        <v>731</v>
      </c>
      <c r="AJ63">
        <v>335</v>
      </c>
      <c r="AM63">
        <v>1</v>
      </c>
      <c r="AO63">
        <v>6</v>
      </c>
      <c r="AZ63">
        <v>441</v>
      </c>
      <c r="BA63">
        <v>5043</v>
      </c>
      <c r="BB63">
        <v>5303</v>
      </c>
      <c r="BC63">
        <v>1620</v>
      </c>
    </row>
    <row r="64" spans="2:56">
      <c r="B64" t="s">
        <v>65</v>
      </c>
      <c r="AC64">
        <f>+Sheet2!AC49</f>
        <v>0</v>
      </c>
      <c r="AD64">
        <f>+Sheet2!AD49</f>
        <v>0</v>
      </c>
      <c r="AE64">
        <f>+Sheet2!AE49</f>
        <v>0</v>
      </c>
      <c r="AF64">
        <f>+Sheet2!AF49</f>
        <v>0</v>
      </c>
      <c r="AG64">
        <f>+Sheet2!AG49</f>
        <v>0</v>
      </c>
      <c r="AH64">
        <f>+Sheet2!AH49</f>
        <v>0</v>
      </c>
      <c r="AI64">
        <v>217</v>
      </c>
      <c r="AJ64">
        <v>285</v>
      </c>
      <c r="AK64">
        <v>5</v>
      </c>
      <c r="AL64">
        <v>11</v>
      </c>
      <c r="AM64">
        <v>8</v>
      </c>
      <c r="AN64">
        <v>4</v>
      </c>
      <c r="AO64">
        <v>1</v>
      </c>
    </row>
    <row r="65" spans="2:55">
      <c r="B65" t="s">
        <v>82</v>
      </c>
      <c r="T65">
        <v>364</v>
      </c>
      <c r="U65">
        <v>654</v>
      </c>
      <c r="X65">
        <v>3091</v>
      </c>
      <c r="AC65">
        <f>+Sheet2!AC50</f>
        <v>59733</v>
      </c>
      <c r="AD65">
        <f>+Sheet2!AD50</f>
        <v>26309</v>
      </c>
      <c r="AE65">
        <f>+Sheet2!AE50</f>
        <v>17295</v>
      </c>
      <c r="AF65">
        <f>+Sheet2!AF50</f>
        <v>4730873</v>
      </c>
      <c r="AG65">
        <f>+Sheet2!AG50</f>
        <v>619295</v>
      </c>
      <c r="AH65">
        <f>+Sheet2!AH50</f>
        <v>435750</v>
      </c>
    </row>
    <row r="66" spans="2:55">
      <c r="B66" t="s">
        <v>32</v>
      </c>
      <c r="C66" t="s">
        <v>128</v>
      </c>
      <c r="AC66">
        <f>+Sheet2!AC51</f>
        <v>0</v>
      </c>
      <c r="AD66">
        <f>+Sheet2!AD51</f>
        <v>0</v>
      </c>
      <c r="AE66">
        <f>+Sheet2!AE51</f>
        <v>0</v>
      </c>
      <c r="AF66">
        <f>+Sheet2!AF51</f>
        <v>0</v>
      </c>
      <c r="AG66">
        <f>+Sheet2!AG51</f>
        <v>0</v>
      </c>
      <c r="AH66">
        <f>+Sheet2!AH51</f>
        <v>0</v>
      </c>
      <c r="AK66">
        <v>86</v>
      </c>
      <c r="AL66">
        <v>56</v>
      </c>
      <c r="AM66">
        <v>44</v>
      </c>
      <c r="AN66">
        <v>24</v>
      </c>
      <c r="AO66">
        <v>41</v>
      </c>
      <c r="AP66">
        <v>24</v>
      </c>
      <c r="AQ66">
        <v>9</v>
      </c>
      <c r="AR66">
        <v>9</v>
      </c>
      <c r="AS66">
        <v>4</v>
      </c>
      <c r="BA66">
        <v>952318</v>
      </c>
      <c r="BB66">
        <v>763770</v>
      </c>
      <c r="BC66">
        <v>14881</v>
      </c>
    </row>
    <row r="67" spans="2:55">
      <c r="B67" t="s">
        <v>33</v>
      </c>
      <c r="T67">
        <v>16235</v>
      </c>
      <c r="U67">
        <v>27136</v>
      </c>
      <c r="V67">
        <v>30923</v>
      </c>
      <c r="W67">
        <v>32791</v>
      </c>
      <c r="X67">
        <v>16205</v>
      </c>
      <c r="Y67">
        <v>17717</v>
      </c>
      <c r="Z67">
        <v>38763</v>
      </c>
      <c r="AA67">
        <v>26971</v>
      </c>
      <c r="AB67">
        <v>29400</v>
      </c>
      <c r="AC67">
        <f>+Sheet2!AC52</f>
        <v>40984198</v>
      </c>
      <c r="AD67">
        <f>+Sheet2!AD52</f>
        <v>44799296</v>
      </c>
      <c r="AE67">
        <f>+Sheet2!AE52</f>
        <v>58600610</v>
      </c>
      <c r="AF67">
        <f>+Sheet2!AF52</f>
        <v>46224588</v>
      </c>
      <c r="AG67">
        <f>+Sheet2!AG52</f>
        <v>47830247</v>
      </c>
      <c r="AH67">
        <f>+Sheet2!AH52</f>
        <v>60048241</v>
      </c>
      <c r="AI67">
        <v>63306</v>
      </c>
      <c r="AJ67">
        <v>31960</v>
      </c>
      <c r="AK67">
        <v>17323</v>
      </c>
      <c r="AL67">
        <v>11143</v>
      </c>
      <c r="AM67">
        <v>7835</v>
      </c>
      <c r="AN67">
        <v>9272</v>
      </c>
      <c r="AO67">
        <v>8804</v>
      </c>
      <c r="AP67">
        <v>12887</v>
      </c>
      <c r="AQ67">
        <v>11169</v>
      </c>
      <c r="AR67">
        <v>9302</v>
      </c>
      <c r="AS67">
        <v>14546</v>
      </c>
      <c r="AZ67">
        <v>15838796</v>
      </c>
      <c r="BA67">
        <v>16158304</v>
      </c>
      <c r="BB67">
        <v>21834063</v>
      </c>
      <c r="BC67">
        <v>85874456</v>
      </c>
    </row>
    <row r="68" spans="2:55">
      <c r="B68" t="s">
        <v>158</v>
      </c>
      <c r="BB68">
        <v>68900</v>
      </c>
      <c r="BC68">
        <v>20383</v>
      </c>
    </row>
    <row r="69" spans="2:55">
      <c r="B69" t="s">
        <v>126</v>
      </c>
      <c r="AQ69">
        <v>7202</v>
      </c>
      <c r="AR69">
        <v>5581</v>
      </c>
      <c r="AS69">
        <v>961</v>
      </c>
      <c r="AZ69">
        <v>17960527</v>
      </c>
      <c r="BA69">
        <v>23851653</v>
      </c>
      <c r="BB69">
        <v>61717914</v>
      </c>
      <c r="BC69">
        <v>98870286</v>
      </c>
    </row>
    <row r="70" spans="2:55">
      <c r="B70" t="s">
        <v>34</v>
      </c>
      <c r="C70" t="s">
        <v>129</v>
      </c>
      <c r="T70">
        <v>4710</v>
      </c>
      <c r="U70">
        <v>2912</v>
      </c>
      <c r="V70">
        <v>4413</v>
      </c>
      <c r="W70">
        <v>4704</v>
      </c>
      <c r="X70">
        <v>9607</v>
      </c>
      <c r="Y70">
        <v>645</v>
      </c>
      <c r="Z70">
        <v>11004</v>
      </c>
      <c r="AA70">
        <v>8705</v>
      </c>
      <c r="AB70">
        <v>9626</v>
      </c>
      <c r="AC70">
        <f>+Sheet2!AC53</f>
        <v>10845491</v>
      </c>
      <c r="AD70">
        <f>+Sheet2!AD53</f>
        <v>14354074</v>
      </c>
      <c r="AE70">
        <f>+Sheet2!AE53</f>
        <v>22871844</v>
      </c>
      <c r="AF70">
        <f>+Sheet2!AF53</f>
        <v>10984142</v>
      </c>
      <c r="AG70">
        <f>+Sheet2!AG53</f>
        <v>16159427</v>
      </c>
      <c r="AH70">
        <f>+Sheet2!AH53</f>
        <v>17840263</v>
      </c>
      <c r="AI70">
        <v>10600</v>
      </c>
      <c r="AJ70">
        <v>12767</v>
      </c>
      <c r="AK70">
        <v>8047</v>
      </c>
      <c r="AL70">
        <v>3118</v>
      </c>
      <c r="AM70">
        <v>1636</v>
      </c>
      <c r="AN70">
        <v>2023</v>
      </c>
      <c r="AO70">
        <v>914</v>
      </c>
      <c r="AP70">
        <v>1494</v>
      </c>
      <c r="AQ70">
        <v>2584</v>
      </c>
      <c r="AR70">
        <v>4172</v>
      </c>
      <c r="AS70">
        <v>12983</v>
      </c>
      <c r="AZ70">
        <v>15368078</v>
      </c>
      <c r="BA70">
        <v>33801287</v>
      </c>
      <c r="BB70">
        <v>64513059</v>
      </c>
      <c r="BC70">
        <v>52641054</v>
      </c>
    </row>
    <row r="71" spans="2:55">
      <c r="B71" t="s">
        <v>35</v>
      </c>
      <c r="C71" t="s">
        <v>130</v>
      </c>
      <c r="T71">
        <v>216</v>
      </c>
      <c r="U71">
        <v>192</v>
      </c>
      <c r="V71">
        <v>284</v>
      </c>
      <c r="W71">
        <v>291</v>
      </c>
      <c r="X71">
        <v>399</v>
      </c>
      <c r="Y71">
        <v>356</v>
      </c>
      <c r="Z71">
        <v>1407</v>
      </c>
      <c r="AA71">
        <v>1419</v>
      </c>
      <c r="AB71">
        <v>1544</v>
      </c>
      <c r="AC71">
        <f>+Sheet2!AC54</f>
        <v>1014932</v>
      </c>
      <c r="AD71">
        <f>+Sheet2!AD54</f>
        <v>1112287</v>
      </c>
      <c r="AE71">
        <f>+Sheet2!AE54</f>
        <v>671189</v>
      </c>
      <c r="AF71">
        <f>+Sheet2!AF54</f>
        <v>4042435</v>
      </c>
      <c r="AG71">
        <f>+Sheet2!AG54</f>
        <v>1757964</v>
      </c>
      <c r="AH71">
        <f>+Sheet2!AH54</f>
        <v>577709</v>
      </c>
      <c r="AI71">
        <v>577</v>
      </c>
      <c r="AJ71">
        <v>391</v>
      </c>
      <c r="AK71">
        <v>257</v>
      </c>
      <c r="AL71">
        <v>184</v>
      </c>
      <c r="AM71">
        <v>170</v>
      </c>
      <c r="AN71">
        <v>192</v>
      </c>
      <c r="AO71">
        <v>209</v>
      </c>
      <c r="AP71">
        <v>298</v>
      </c>
      <c r="AQ71">
        <v>296</v>
      </c>
      <c r="AR71">
        <v>302</v>
      </c>
      <c r="AS71">
        <v>1361</v>
      </c>
      <c r="AZ71">
        <v>2269386</v>
      </c>
      <c r="BA71">
        <v>764580</v>
      </c>
      <c r="BB71">
        <v>2318652</v>
      </c>
      <c r="BC71">
        <v>2697791</v>
      </c>
    </row>
    <row r="72" spans="2:55">
      <c r="B72" t="s">
        <v>36</v>
      </c>
      <c r="T72">
        <v>13266</v>
      </c>
      <c r="U72">
        <v>14189</v>
      </c>
      <c r="V72">
        <v>17744</v>
      </c>
      <c r="W72">
        <v>21682</v>
      </c>
      <c r="X72">
        <v>14468</v>
      </c>
      <c r="Y72">
        <v>16422</v>
      </c>
      <c r="Z72">
        <v>17979</v>
      </c>
      <c r="AA72">
        <v>16668</v>
      </c>
      <c r="AB72">
        <v>13670</v>
      </c>
      <c r="AC72">
        <f>+Sheet2!AC55</f>
        <v>14745848</v>
      </c>
      <c r="AD72">
        <f>+Sheet2!AD55</f>
        <v>13980198</v>
      </c>
      <c r="AE72">
        <f>+Sheet2!AE55</f>
        <v>14442865</v>
      </c>
      <c r="AF72">
        <f>+Sheet2!AF55</f>
        <v>16232699</v>
      </c>
      <c r="AG72">
        <f>+Sheet2!AG55</f>
        <v>17768486</v>
      </c>
      <c r="AH72">
        <f>+Sheet2!AH55</f>
        <v>15916469</v>
      </c>
      <c r="AI72">
        <v>14222</v>
      </c>
      <c r="AJ72">
        <v>9938</v>
      </c>
      <c r="AK72">
        <v>7233</v>
      </c>
      <c r="AL72">
        <v>4680</v>
      </c>
      <c r="AM72">
        <v>4190</v>
      </c>
      <c r="AN72">
        <v>3697</v>
      </c>
      <c r="AO72">
        <v>3332</v>
      </c>
      <c r="AP72">
        <v>3532</v>
      </c>
      <c r="AQ72">
        <v>4279</v>
      </c>
      <c r="AR72">
        <v>3015</v>
      </c>
      <c r="AS72">
        <v>1012</v>
      </c>
      <c r="AZ72">
        <v>1108382</v>
      </c>
      <c r="BA72">
        <v>1362596</v>
      </c>
      <c r="BB72">
        <v>247940</v>
      </c>
      <c r="BC72">
        <v>1004377</v>
      </c>
    </row>
    <row r="73" spans="2:55">
      <c r="B73" t="s">
        <v>37</v>
      </c>
      <c r="T73">
        <v>66087</v>
      </c>
      <c r="U73">
        <v>76507</v>
      </c>
      <c r="V73">
        <v>119187</v>
      </c>
      <c r="W73">
        <v>134113</v>
      </c>
      <c r="X73">
        <v>132191</v>
      </c>
      <c r="Y73">
        <v>125424</v>
      </c>
      <c r="Z73">
        <v>134417</v>
      </c>
      <c r="AA73">
        <v>95354</v>
      </c>
      <c r="AB73">
        <v>98330</v>
      </c>
      <c r="AC73">
        <f>+Sheet2!AC56</f>
        <v>110055859</v>
      </c>
      <c r="AD73">
        <f>+Sheet2!AD56</f>
        <v>125086707</v>
      </c>
      <c r="AE73">
        <f>+Sheet2!AE56</f>
        <v>124183113</v>
      </c>
      <c r="AF73">
        <f>+Sheet2!AF56</f>
        <v>118834327</v>
      </c>
      <c r="AG73">
        <f>+Sheet2!AG56</f>
        <v>110695662</v>
      </c>
      <c r="AH73">
        <f>+Sheet2!AH56</f>
        <v>111665360</v>
      </c>
      <c r="AI73">
        <v>91209</v>
      </c>
      <c r="AJ73">
        <v>61882</v>
      </c>
      <c r="AK73">
        <v>46275</v>
      </c>
      <c r="AL73">
        <v>34459</v>
      </c>
      <c r="AM73">
        <v>32406</v>
      </c>
      <c r="AN73">
        <v>29301</v>
      </c>
      <c r="AO73">
        <v>28251</v>
      </c>
      <c r="AP73">
        <v>36591</v>
      </c>
      <c r="AQ73">
        <v>36176</v>
      </c>
      <c r="AR73">
        <v>33807</v>
      </c>
      <c r="AS73">
        <v>13634</v>
      </c>
      <c r="AZ73">
        <v>50096530</v>
      </c>
      <c r="BA73">
        <v>32139073</v>
      </c>
      <c r="BB73">
        <v>32266052</v>
      </c>
      <c r="BC73">
        <v>77152253</v>
      </c>
    </row>
    <row r="74" spans="2:55">
      <c r="B74" t="s">
        <v>38</v>
      </c>
      <c r="C74" t="s">
        <v>139</v>
      </c>
      <c r="T74">
        <v>19028</v>
      </c>
      <c r="U74">
        <v>9565</v>
      </c>
      <c r="V74">
        <v>15336</v>
      </c>
      <c r="W74">
        <v>10051</v>
      </c>
      <c r="X74">
        <v>2956</v>
      </c>
      <c r="Y74">
        <v>19371</v>
      </c>
      <c r="Z74">
        <v>57774</v>
      </c>
      <c r="AA74">
        <v>26755</v>
      </c>
      <c r="AB74">
        <v>4450</v>
      </c>
      <c r="AC74">
        <f>+Sheet2!AC57</f>
        <v>9790630</v>
      </c>
      <c r="AD74">
        <f>+Sheet2!AD57</f>
        <v>21179124</v>
      </c>
      <c r="AE74">
        <f>+Sheet2!AE57</f>
        <v>16843048</v>
      </c>
      <c r="AF74">
        <f>+Sheet2!AF57</f>
        <v>8525278</v>
      </c>
      <c r="AG74">
        <f>+Sheet2!AG57</f>
        <v>23493633</v>
      </c>
      <c r="AH74">
        <f>+Sheet2!AH57</f>
        <v>29610866</v>
      </c>
      <c r="AI74">
        <v>17238</v>
      </c>
      <c r="AJ74">
        <v>10268</v>
      </c>
      <c r="AK74">
        <v>5675</v>
      </c>
      <c r="AL74">
        <v>3695</v>
      </c>
      <c r="AM74">
        <v>1419</v>
      </c>
      <c r="AN74">
        <v>3184</v>
      </c>
      <c r="AO74">
        <v>898</v>
      </c>
      <c r="AP74">
        <v>666</v>
      </c>
      <c r="AQ74">
        <v>2112</v>
      </c>
      <c r="AR74">
        <v>2849</v>
      </c>
      <c r="AS74">
        <v>2675</v>
      </c>
      <c r="AZ74">
        <v>2804792</v>
      </c>
      <c r="BA74">
        <v>218073</v>
      </c>
      <c r="BB74">
        <v>90289</v>
      </c>
      <c r="BC74">
        <v>254241</v>
      </c>
    </row>
    <row r="75" spans="2:55">
      <c r="B75" t="s">
        <v>138</v>
      </c>
      <c r="AS75">
        <v>9</v>
      </c>
      <c r="BC75">
        <v>3580</v>
      </c>
    </row>
    <row r="76" spans="2:55">
      <c r="B76" t="s">
        <v>39</v>
      </c>
      <c r="T76">
        <v>9093</v>
      </c>
      <c r="U76">
        <v>8568</v>
      </c>
      <c r="V76">
        <v>10307</v>
      </c>
      <c r="W76">
        <v>15846</v>
      </c>
      <c r="X76">
        <v>20351</v>
      </c>
      <c r="Y76">
        <v>27537</v>
      </c>
      <c r="Z76">
        <v>36572</v>
      </c>
      <c r="AA76">
        <v>23049</v>
      </c>
      <c r="AB76">
        <v>19505</v>
      </c>
      <c r="AC76">
        <f>+Sheet2!AC58</f>
        <v>16912058</v>
      </c>
      <c r="AD76">
        <f>+Sheet2!AD58</f>
        <v>10065414</v>
      </c>
      <c r="AE76">
        <f>+Sheet2!AE58</f>
        <v>4811329</v>
      </c>
      <c r="AF76">
        <f>+Sheet2!AF58</f>
        <v>5573075</v>
      </c>
      <c r="AG76">
        <f>+Sheet2!AG58</f>
        <v>6276268</v>
      </c>
      <c r="AH76">
        <f>+Sheet2!AH58</f>
        <v>8912724</v>
      </c>
      <c r="AI76">
        <v>10224</v>
      </c>
      <c r="AJ76">
        <v>10179</v>
      </c>
      <c r="AK76">
        <v>7763</v>
      </c>
      <c r="AL76">
        <v>6043</v>
      </c>
      <c r="AM76">
        <v>4864</v>
      </c>
      <c r="AN76">
        <v>3457</v>
      </c>
      <c r="AO76">
        <v>4545</v>
      </c>
      <c r="AP76">
        <v>6705</v>
      </c>
      <c r="AQ76">
        <v>6467</v>
      </c>
      <c r="AR76">
        <v>6705</v>
      </c>
      <c r="AS76">
        <v>4225</v>
      </c>
      <c r="AZ76">
        <v>22397320</v>
      </c>
      <c r="BA76">
        <v>26729314</v>
      </c>
      <c r="BB76">
        <v>39710090</v>
      </c>
      <c r="BC76">
        <v>85469182</v>
      </c>
    </row>
    <row r="77" spans="2:55">
      <c r="B77" t="s">
        <v>40</v>
      </c>
      <c r="C77" t="s">
        <v>131</v>
      </c>
      <c r="T77">
        <v>8165</v>
      </c>
      <c r="U77">
        <v>5667</v>
      </c>
      <c r="V77">
        <v>4982</v>
      </c>
      <c r="W77">
        <v>4501</v>
      </c>
      <c r="X77">
        <v>5053</v>
      </c>
      <c r="Y77">
        <v>11449</v>
      </c>
      <c r="Z77">
        <v>10791</v>
      </c>
      <c r="AA77">
        <v>7507</v>
      </c>
      <c r="AB77">
        <v>9121</v>
      </c>
      <c r="AC77">
        <f>+Sheet2!AC59</f>
        <v>13274729</v>
      </c>
      <c r="AD77">
        <f>+Sheet2!AD59</f>
        <v>21766355</v>
      </c>
      <c r="AE77">
        <f>+Sheet2!AE59</f>
        <v>20139290</v>
      </c>
      <c r="AF77">
        <f>+Sheet2!AF59</f>
        <v>18851082</v>
      </c>
      <c r="AG77">
        <f>+Sheet2!AG59</f>
        <v>18870104</v>
      </c>
      <c r="AH77">
        <f>+Sheet2!AH59</f>
        <v>18746413</v>
      </c>
      <c r="AI77">
        <v>18196</v>
      </c>
      <c r="AJ77">
        <v>14191</v>
      </c>
      <c r="AK77">
        <v>6010</v>
      </c>
      <c r="AL77">
        <v>6615</v>
      </c>
      <c r="AM77">
        <v>6679</v>
      </c>
      <c r="AN77">
        <v>5046</v>
      </c>
      <c r="AO77">
        <v>5977</v>
      </c>
      <c r="AP77">
        <v>8724</v>
      </c>
      <c r="AQ77">
        <v>8248</v>
      </c>
      <c r="AR77">
        <v>10138</v>
      </c>
      <c r="AS77">
        <v>17345</v>
      </c>
      <c r="AZ77">
        <v>36312875</v>
      </c>
      <c r="BA77">
        <v>30937379</v>
      </c>
      <c r="BB77">
        <v>29923643</v>
      </c>
      <c r="BC77">
        <v>9422536</v>
      </c>
    </row>
    <row r="78" spans="2:55">
      <c r="B78" t="s">
        <v>148</v>
      </c>
      <c r="AZ78">
        <v>76917</v>
      </c>
      <c r="BA78">
        <v>64327</v>
      </c>
      <c r="BC78">
        <v>18367</v>
      </c>
    </row>
    <row r="79" spans="2:55">
      <c r="B79" t="s">
        <v>88</v>
      </c>
      <c r="C79" t="s">
        <v>133</v>
      </c>
      <c r="AC79">
        <f>+Sheet2!AC60</f>
        <v>8379248</v>
      </c>
      <c r="AD79">
        <f>+Sheet2!AD60</f>
        <v>7940114</v>
      </c>
      <c r="AE79">
        <f>+Sheet2!AE60</f>
        <v>9832110</v>
      </c>
      <c r="AF79">
        <f>+Sheet2!AF60</f>
        <v>9729248</v>
      </c>
      <c r="AG79">
        <f>+Sheet2!AG60</f>
        <v>9930354</v>
      </c>
      <c r="AH79">
        <f>+Sheet2!AH60</f>
        <v>0</v>
      </c>
      <c r="AP79">
        <v>707</v>
      </c>
      <c r="AQ79">
        <v>135</v>
      </c>
      <c r="AR79">
        <v>116</v>
      </c>
      <c r="AS79">
        <v>75</v>
      </c>
    </row>
    <row r="80" spans="2:55">
      <c r="B80" t="s">
        <v>89</v>
      </c>
      <c r="AC80">
        <f>+Sheet2!AC61</f>
        <v>9100</v>
      </c>
      <c r="AD80">
        <f>+Sheet2!AD61</f>
        <v>179</v>
      </c>
      <c r="AE80">
        <f>+Sheet2!AE61</f>
        <v>0</v>
      </c>
      <c r="AF80">
        <f>+Sheet2!AF61</f>
        <v>355</v>
      </c>
      <c r="AG80">
        <f>+Sheet2!AG61</f>
        <v>0</v>
      </c>
      <c r="AH80">
        <f>+Sheet2!AH61</f>
        <v>0</v>
      </c>
      <c r="AP80">
        <v>196</v>
      </c>
      <c r="AQ80">
        <v>127</v>
      </c>
      <c r="AR80">
        <v>44</v>
      </c>
      <c r="AS80">
        <v>8</v>
      </c>
      <c r="BA80">
        <v>1868147</v>
      </c>
      <c r="BB80">
        <v>788143</v>
      </c>
      <c r="BC80">
        <v>6852</v>
      </c>
    </row>
    <row r="81" spans="2:55">
      <c r="B81" t="s">
        <v>96</v>
      </c>
      <c r="T81">
        <v>10</v>
      </c>
      <c r="U81">
        <v>4</v>
      </c>
      <c r="V81">
        <v>3</v>
      </c>
      <c r="W81">
        <v>32</v>
      </c>
      <c r="AC81">
        <f>+Sheet2!AC62</f>
        <v>0</v>
      </c>
      <c r="AD81">
        <f>+Sheet2!AD62</f>
        <v>0</v>
      </c>
      <c r="AE81">
        <f>+Sheet2!AE62</f>
        <v>0</v>
      </c>
      <c r="AF81">
        <f>+Sheet2!AF62</f>
        <v>550</v>
      </c>
      <c r="AG81">
        <f>+Sheet2!AG62</f>
        <v>485</v>
      </c>
      <c r="AH81">
        <f>+Sheet2!AH62</f>
        <v>0</v>
      </c>
    </row>
    <row r="82" spans="2:55">
      <c r="B82" t="s">
        <v>41</v>
      </c>
      <c r="T82">
        <v>2117</v>
      </c>
      <c r="U82">
        <v>1356</v>
      </c>
      <c r="V82">
        <v>1094</v>
      </c>
      <c r="W82">
        <v>1324</v>
      </c>
      <c r="X82">
        <v>815</v>
      </c>
      <c r="Y82">
        <v>3655</v>
      </c>
      <c r="Z82">
        <v>10884</v>
      </c>
      <c r="AA82">
        <v>13450</v>
      </c>
      <c r="AB82">
        <v>9717</v>
      </c>
      <c r="AC82">
        <f>+Sheet2!AC63</f>
        <v>0</v>
      </c>
      <c r="AD82">
        <f>+Sheet2!AD63</f>
        <v>0</v>
      </c>
      <c r="AE82">
        <f>+Sheet2!AE63</f>
        <v>0</v>
      </c>
      <c r="AF82">
        <f>+Sheet2!AF63</f>
        <v>0</v>
      </c>
      <c r="AG82">
        <f>+Sheet2!AG63</f>
        <v>0</v>
      </c>
      <c r="AH82">
        <f>+Sheet2!AH63</f>
        <v>12073986</v>
      </c>
      <c r="AI82">
        <v>11636</v>
      </c>
      <c r="AJ82">
        <v>8641</v>
      </c>
      <c r="AK82">
        <v>4214</v>
      </c>
      <c r="AL82">
        <v>3227</v>
      </c>
      <c r="AM82">
        <v>1676</v>
      </c>
      <c r="AN82">
        <v>657</v>
      </c>
      <c r="AO82">
        <v>492</v>
      </c>
    </row>
    <row r="83" spans="2:55">
      <c r="B83" t="s">
        <v>42</v>
      </c>
      <c r="AC83">
        <f>+Sheet2!AC64</f>
        <v>0</v>
      </c>
      <c r="AD83">
        <f>+Sheet2!AD64</f>
        <v>0</v>
      </c>
      <c r="AE83">
        <f>+Sheet2!AE64</f>
        <v>0</v>
      </c>
      <c r="AF83">
        <f>+Sheet2!AF64</f>
        <v>0</v>
      </c>
      <c r="AG83">
        <f>+Sheet2!AG64</f>
        <v>0</v>
      </c>
      <c r="AH83">
        <f>+Sheet2!AH64</f>
        <v>0</v>
      </c>
      <c r="AK83">
        <v>2956</v>
      </c>
      <c r="AL83">
        <v>1595</v>
      </c>
      <c r="AM83">
        <v>1494</v>
      </c>
      <c r="AN83">
        <v>871</v>
      </c>
      <c r="AO83">
        <v>198</v>
      </c>
      <c r="AP83">
        <v>184</v>
      </c>
      <c r="AQ83">
        <v>141</v>
      </c>
      <c r="AR83">
        <v>114</v>
      </c>
      <c r="AS83">
        <v>77</v>
      </c>
      <c r="AZ83">
        <v>1059406</v>
      </c>
      <c r="BA83">
        <v>149250</v>
      </c>
      <c r="BB83">
        <v>1494870</v>
      </c>
      <c r="BC83">
        <v>408727</v>
      </c>
    </row>
    <row r="84" spans="2:55">
      <c r="B84" t="s">
        <v>43</v>
      </c>
      <c r="C84" t="s">
        <v>132</v>
      </c>
      <c r="T84">
        <v>12810</v>
      </c>
      <c r="U84">
        <v>27238</v>
      </c>
      <c r="V84">
        <v>54879</v>
      </c>
      <c r="W84">
        <v>114580</v>
      </c>
      <c r="X84">
        <v>77075</v>
      </c>
      <c r="Y84">
        <v>134137</v>
      </c>
      <c r="Z84">
        <v>86095</v>
      </c>
      <c r="AA84">
        <v>57494</v>
      </c>
      <c r="AB84">
        <v>49693</v>
      </c>
      <c r="AC84">
        <f>+Sheet2!AC65</f>
        <v>67070109</v>
      </c>
      <c r="AD84">
        <f>+Sheet2!AD65</f>
        <v>90101968</v>
      </c>
      <c r="AE84">
        <f>+Sheet2!AE65</f>
        <v>82171291</v>
      </c>
      <c r="AF84">
        <f>+Sheet2!AF65</f>
        <v>90123457</v>
      </c>
      <c r="AG84">
        <f>+Sheet2!AG65</f>
        <v>93681998</v>
      </c>
      <c r="AH84">
        <f>+Sheet2!AH65</f>
        <v>114868644</v>
      </c>
      <c r="AI84">
        <v>100154</v>
      </c>
      <c r="AJ84">
        <v>92551</v>
      </c>
      <c r="AK84">
        <v>75382</v>
      </c>
      <c r="AL84">
        <v>97120</v>
      </c>
      <c r="AM84">
        <v>91422</v>
      </c>
      <c r="AN84">
        <v>81157</v>
      </c>
      <c r="AO84">
        <v>75010</v>
      </c>
      <c r="AP84">
        <v>124426</v>
      </c>
      <c r="AQ84">
        <v>71827</v>
      </c>
      <c r="AR84">
        <v>85000</v>
      </c>
      <c r="AS84">
        <v>100759</v>
      </c>
      <c r="AZ84">
        <v>60646798</v>
      </c>
      <c r="BA84">
        <v>191099552</v>
      </c>
      <c r="BB84">
        <v>112227942</v>
      </c>
      <c r="BC84">
        <v>167879823</v>
      </c>
    </row>
    <row r="85" spans="2:55">
      <c r="B85" t="s">
        <v>44</v>
      </c>
      <c r="T85">
        <v>106</v>
      </c>
      <c r="U85">
        <v>330</v>
      </c>
      <c r="V85">
        <v>938</v>
      </c>
      <c r="W85">
        <v>1619</v>
      </c>
      <c r="X85">
        <v>1359</v>
      </c>
      <c r="Y85">
        <v>1031</v>
      </c>
      <c r="Z85">
        <v>785</v>
      </c>
      <c r="AA85">
        <v>988</v>
      </c>
      <c r="AB85">
        <v>491</v>
      </c>
      <c r="AC85">
        <f>+Sheet2!AC66</f>
        <v>503125</v>
      </c>
      <c r="AD85">
        <f>+Sheet2!AD66</f>
        <v>603409</v>
      </c>
      <c r="AE85">
        <f>+Sheet2!AE66</f>
        <v>398843</v>
      </c>
      <c r="AF85">
        <f>+Sheet2!AF66</f>
        <v>460714</v>
      </c>
      <c r="AG85">
        <f>+Sheet2!AG66</f>
        <v>659363</v>
      </c>
      <c r="AH85">
        <f>+Sheet2!AH66</f>
        <v>676630</v>
      </c>
      <c r="AI85">
        <v>583</v>
      </c>
      <c r="AJ85">
        <v>380</v>
      </c>
      <c r="AK85">
        <v>289</v>
      </c>
      <c r="AL85">
        <v>190</v>
      </c>
      <c r="AM85">
        <v>284</v>
      </c>
      <c r="AN85">
        <v>375</v>
      </c>
      <c r="AO85">
        <v>479</v>
      </c>
      <c r="AP85">
        <v>748</v>
      </c>
      <c r="AQ85">
        <v>886</v>
      </c>
      <c r="AR85">
        <v>774</v>
      </c>
      <c r="AS85">
        <v>908</v>
      </c>
      <c r="AZ85">
        <v>511501</v>
      </c>
      <c r="BA85">
        <v>1204337</v>
      </c>
      <c r="BB85">
        <v>673857</v>
      </c>
      <c r="BC85">
        <v>613838</v>
      </c>
    </row>
    <row r="86" spans="2:55">
      <c r="B86" t="s">
        <v>45</v>
      </c>
      <c r="C86" t="s">
        <v>134</v>
      </c>
      <c r="T86">
        <v>965</v>
      </c>
      <c r="U86">
        <v>436</v>
      </c>
      <c r="V86">
        <v>588</v>
      </c>
      <c r="W86">
        <v>415</v>
      </c>
      <c r="X86">
        <v>1156</v>
      </c>
      <c r="Y86">
        <v>9790</v>
      </c>
      <c r="Z86">
        <v>6132</v>
      </c>
      <c r="AA86">
        <v>5509</v>
      </c>
      <c r="AB86">
        <v>937</v>
      </c>
      <c r="AC86">
        <f>+Sheet2!AC67</f>
        <v>712654</v>
      </c>
      <c r="AD86">
        <f>+Sheet2!AD67</f>
        <v>355315</v>
      </c>
      <c r="AE86">
        <f>+Sheet2!AE67</f>
        <v>491026</v>
      </c>
      <c r="AF86">
        <f>+Sheet2!AF67</f>
        <v>232768</v>
      </c>
      <c r="AG86">
        <f>+Sheet2!AG67</f>
        <v>636091</v>
      </c>
      <c r="AH86">
        <f>+Sheet2!AH67</f>
        <v>2058435</v>
      </c>
      <c r="AI86">
        <v>2857</v>
      </c>
      <c r="AJ86">
        <v>287</v>
      </c>
      <c r="AK86">
        <v>771</v>
      </c>
      <c r="AL86">
        <v>2476</v>
      </c>
      <c r="AM86">
        <v>1655</v>
      </c>
      <c r="AN86">
        <v>1146</v>
      </c>
      <c r="AO86">
        <v>1431</v>
      </c>
      <c r="AP86">
        <v>1775</v>
      </c>
      <c r="AQ86">
        <v>1678</v>
      </c>
      <c r="AR86">
        <v>1275</v>
      </c>
      <c r="AS86">
        <v>391</v>
      </c>
      <c r="AZ86">
        <v>13726264</v>
      </c>
      <c r="BA86">
        <v>53742325</v>
      </c>
      <c r="BB86">
        <v>76288496</v>
      </c>
      <c r="BC86">
        <v>93839656</v>
      </c>
    </row>
    <row r="87" spans="2:55">
      <c r="B87" t="s">
        <v>46</v>
      </c>
      <c r="T87">
        <v>1082</v>
      </c>
      <c r="U87">
        <v>915</v>
      </c>
      <c r="V87">
        <v>676</v>
      </c>
      <c r="W87">
        <v>269</v>
      </c>
      <c r="X87">
        <v>602</v>
      </c>
      <c r="Y87">
        <v>1682</v>
      </c>
      <c r="Z87">
        <v>1422</v>
      </c>
      <c r="AA87">
        <v>370</v>
      </c>
      <c r="AB87">
        <v>262</v>
      </c>
      <c r="AC87">
        <f>+Sheet2!AC68</f>
        <v>1967102</v>
      </c>
      <c r="AD87">
        <f>+Sheet2!AD68</f>
        <v>2066001</v>
      </c>
      <c r="AE87">
        <f>+Sheet2!AE68</f>
        <v>1541997</v>
      </c>
      <c r="AF87">
        <f>+Sheet2!AF68</f>
        <v>2294879</v>
      </c>
      <c r="AG87">
        <f>+Sheet2!AG68</f>
        <v>1772012</v>
      </c>
      <c r="AH87">
        <f>+Sheet2!AH68</f>
        <v>1146240</v>
      </c>
      <c r="AI87">
        <v>844</v>
      </c>
      <c r="AJ87">
        <v>1773</v>
      </c>
      <c r="AK87">
        <v>508</v>
      </c>
      <c r="AL87">
        <v>372</v>
      </c>
      <c r="AM87">
        <v>348</v>
      </c>
      <c r="AN87">
        <v>253</v>
      </c>
      <c r="AO87">
        <v>294</v>
      </c>
      <c r="AP87">
        <v>180</v>
      </c>
      <c r="AQ87">
        <v>327</v>
      </c>
      <c r="AR87">
        <v>328</v>
      </c>
      <c r="AS87">
        <v>139</v>
      </c>
      <c r="AZ87">
        <v>41682</v>
      </c>
      <c r="BA87">
        <v>51657</v>
      </c>
      <c r="BB87">
        <v>130550</v>
      </c>
      <c r="BC87">
        <v>55755</v>
      </c>
    </row>
    <row r="88" spans="2:55">
      <c r="B88" t="s">
        <v>47</v>
      </c>
      <c r="T88">
        <v>33</v>
      </c>
      <c r="U88">
        <v>29</v>
      </c>
      <c r="V88">
        <v>14</v>
      </c>
      <c r="AC88">
        <f>+Sheet2!AC69</f>
        <v>0</v>
      </c>
      <c r="AD88">
        <f>+Sheet2!AD69</f>
        <v>0</v>
      </c>
      <c r="AE88">
        <f>+Sheet2!AE69</f>
        <v>0</v>
      </c>
      <c r="AF88">
        <f>+Sheet2!AF69</f>
        <v>2602</v>
      </c>
      <c r="AG88">
        <f>+Sheet2!AG69</f>
        <v>0</v>
      </c>
      <c r="AH88">
        <f>+Sheet2!AH69</f>
        <v>0</v>
      </c>
      <c r="AM88">
        <v>8</v>
      </c>
      <c r="AN88">
        <v>43</v>
      </c>
      <c r="AO88">
        <v>73</v>
      </c>
      <c r="AP88">
        <v>127</v>
      </c>
      <c r="AQ88">
        <v>264</v>
      </c>
      <c r="AR88">
        <v>162</v>
      </c>
      <c r="AS88">
        <v>40</v>
      </c>
    </row>
    <row r="89" spans="2:55">
      <c r="B89" t="s">
        <v>135</v>
      </c>
      <c r="AP89">
        <v>23</v>
      </c>
      <c r="AQ89">
        <v>31</v>
      </c>
      <c r="AR89">
        <v>54</v>
      </c>
      <c r="AS89">
        <v>99</v>
      </c>
      <c r="AZ89">
        <v>7106</v>
      </c>
      <c r="BA89">
        <v>76388</v>
      </c>
      <c r="BB89">
        <v>102646</v>
      </c>
      <c r="BC89">
        <v>680478</v>
      </c>
    </row>
    <row r="90" spans="2:55">
      <c r="B90" t="s">
        <v>136</v>
      </c>
      <c r="AP90">
        <v>1</v>
      </c>
      <c r="AQ90">
        <v>325</v>
      </c>
      <c r="AR90">
        <v>329</v>
      </c>
      <c r="AS90">
        <v>1093</v>
      </c>
      <c r="AZ90">
        <v>319107</v>
      </c>
      <c r="BA90">
        <v>414473</v>
      </c>
      <c r="BB90">
        <v>859711</v>
      </c>
      <c r="BC90">
        <v>2201558</v>
      </c>
    </row>
    <row r="91" spans="2:55">
      <c r="B91" t="s">
        <v>166</v>
      </c>
      <c r="BC91">
        <v>5271</v>
      </c>
    </row>
    <row r="92" spans="2:55">
      <c r="B92" t="s">
        <v>48</v>
      </c>
      <c r="AC92">
        <f>+Sheet2!AC70</f>
        <v>0</v>
      </c>
      <c r="AD92">
        <f>+Sheet2!AD70</f>
        <v>0</v>
      </c>
      <c r="AE92">
        <f>+Sheet2!AE70</f>
        <v>0</v>
      </c>
      <c r="AF92">
        <f>+Sheet2!AF70</f>
        <v>0</v>
      </c>
      <c r="AG92">
        <f>+Sheet2!AG70</f>
        <v>0</v>
      </c>
      <c r="AH92">
        <f>+Sheet2!AH70</f>
        <v>0</v>
      </c>
      <c r="AP92">
        <v>1</v>
      </c>
      <c r="AQ92">
        <v>21</v>
      </c>
      <c r="AR92">
        <v>41</v>
      </c>
      <c r="AS92">
        <v>165</v>
      </c>
      <c r="AZ92">
        <v>6858</v>
      </c>
      <c r="BA92">
        <v>116</v>
      </c>
      <c r="BB92">
        <v>4955</v>
      </c>
      <c r="BC92">
        <v>258</v>
      </c>
    </row>
    <row r="93" spans="2:55">
      <c r="B93" t="s">
        <v>49</v>
      </c>
      <c r="C93" t="s">
        <v>66</v>
      </c>
      <c r="T93">
        <v>5340</v>
      </c>
      <c r="U93">
        <v>7276</v>
      </c>
      <c r="V93">
        <v>11705</v>
      </c>
      <c r="W93">
        <v>21487</v>
      </c>
      <c r="X93">
        <v>31745</v>
      </c>
      <c r="Y93">
        <v>35969</v>
      </c>
      <c r="Z93">
        <v>38150</v>
      </c>
      <c r="AA93">
        <v>29406</v>
      </c>
      <c r="AB93">
        <v>23698</v>
      </c>
      <c r="AC93">
        <f>+Sheet2!AC71</f>
        <v>21299048</v>
      </c>
      <c r="AD93">
        <f>+Sheet2!AD71</f>
        <v>23719547</v>
      </c>
      <c r="AE93">
        <f>+Sheet2!AE71</f>
        <v>24809414</v>
      </c>
      <c r="AF93">
        <f>+Sheet2!AF71</f>
        <v>25025977</v>
      </c>
      <c r="AG93">
        <f>+Sheet2!AG71</f>
        <v>26082681</v>
      </c>
      <c r="AH93">
        <f>+Sheet2!AH71</f>
        <v>26638520</v>
      </c>
      <c r="AI93">
        <v>25382</v>
      </c>
      <c r="AJ93">
        <v>17773</v>
      </c>
      <c r="AK93">
        <v>12122</v>
      </c>
      <c r="AL93">
        <v>10096</v>
      </c>
      <c r="AM93">
        <v>9571</v>
      </c>
      <c r="AN93">
        <v>9021</v>
      </c>
      <c r="AO93">
        <v>8319</v>
      </c>
      <c r="AP93">
        <v>12126</v>
      </c>
      <c r="AQ93">
        <v>13239</v>
      </c>
      <c r="AR93">
        <v>15321</v>
      </c>
      <c r="AS93">
        <v>16370</v>
      </c>
      <c r="AZ93">
        <v>18666517</v>
      </c>
      <c r="BA93">
        <v>36105155</v>
      </c>
      <c r="BB93">
        <v>5708207</v>
      </c>
      <c r="BC93">
        <v>13139796</v>
      </c>
    </row>
    <row r="94" spans="2:55">
      <c r="B94" t="s">
        <v>50</v>
      </c>
      <c r="AC94">
        <f>+Sheet2!AC72</f>
        <v>0</v>
      </c>
      <c r="AD94">
        <f>+Sheet2!AD72</f>
        <v>0</v>
      </c>
      <c r="AE94">
        <f>+Sheet2!AE72</f>
        <v>0</v>
      </c>
      <c r="AF94">
        <f>+Sheet2!AF72</f>
        <v>1185</v>
      </c>
      <c r="AG94">
        <f>+Sheet2!AG72</f>
        <v>132</v>
      </c>
      <c r="AH94">
        <f>+Sheet2!AH72</f>
        <v>19767</v>
      </c>
      <c r="AI94">
        <v>8</v>
      </c>
      <c r="AJ94">
        <v>22</v>
      </c>
      <c r="AK94">
        <v>23</v>
      </c>
      <c r="AL94">
        <v>57</v>
      </c>
      <c r="AM94">
        <v>26</v>
      </c>
      <c r="AN94">
        <v>24</v>
      </c>
      <c r="AO94">
        <v>10</v>
      </c>
      <c r="AP94">
        <v>19</v>
      </c>
      <c r="AQ94">
        <v>32</v>
      </c>
      <c r="AR94">
        <v>44</v>
      </c>
      <c r="AS94">
        <v>41</v>
      </c>
      <c r="AZ94">
        <v>45</v>
      </c>
    </row>
    <row r="95" spans="2:55">
      <c r="B95" t="s">
        <v>167</v>
      </c>
      <c r="BC95">
        <v>31680</v>
      </c>
    </row>
    <row r="96" spans="2:55">
      <c r="B96" t="s">
        <v>51</v>
      </c>
      <c r="C96" t="s">
        <v>137</v>
      </c>
      <c r="AC96">
        <f>+Sheet2!AC73</f>
        <v>1487</v>
      </c>
      <c r="AD96">
        <f>+Sheet2!AD73</f>
        <v>2619</v>
      </c>
      <c r="AE96">
        <f>+Sheet2!AE73</f>
        <v>31</v>
      </c>
      <c r="AF96">
        <f>+Sheet2!AF73</f>
        <v>4423</v>
      </c>
      <c r="AG96">
        <f>+Sheet2!AG73</f>
        <v>9912</v>
      </c>
      <c r="AH96">
        <f>+Sheet2!AH73</f>
        <v>0</v>
      </c>
      <c r="AK96">
        <v>4</v>
      </c>
      <c r="AL96">
        <v>2</v>
      </c>
      <c r="AM96">
        <v>3</v>
      </c>
      <c r="AN96">
        <v>3</v>
      </c>
      <c r="AO96">
        <v>3</v>
      </c>
      <c r="AP96">
        <v>10</v>
      </c>
      <c r="AQ96">
        <v>19</v>
      </c>
      <c r="AR96">
        <v>14</v>
      </c>
      <c r="AS96">
        <v>10</v>
      </c>
      <c r="AZ96">
        <v>1179015</v>
      </c>
      <c r="BA96">
        <v>123616</v>
      </c>
      <c r="BB96">
        <v>57171</v>
      </c>
      <c r="BC96">
        <v>2801674</v>
      </c>
    </row>
    <row r="97" spans="2:55">
      <c r="B97" t="s">
        <v>90</v>
      </c>
      <c r="AC97">
        <f>+Sheet2!AC74</f>
        <v>44133</v>
      </c>
      <c r="AD97">
        <f>+Sheet2!AD74</f>
        <v>48632</v>
      </c>
      <c r="AE97">
        <f>+Sheet2!AE74</f>
        <v>85947</v>
      </c>
      <c r="AF97">
        <f>+Sheet2!AF74</f>
        <v>0</v>
      </c>
      <c r="AG97">
        <f>+Sheet2!AG74</f>
        <v>0</v>
      </c>
      <c r="AH97">
        <f>+Sheet2!AH74</f>
        <v>0</v>
      </c>
    </row>
    <row r="98" spans="2:55">
      <c r="B98" t="s">
        <v>92</v>
      </c>
      <c r="AC98">
        <f>+Sheet2!AC75</f>
        <v>0</v>
      </c>
      <c r="AD98">
        <f>+Sheet2!AD75</f>
        <v>1576</v>
      </c>
      <c r="AE98">
        <f>+Sheet2!AE75</f>
        <v>0</v>
      </c>
      <c r="AF98">
        <f>+Sheet2!AF75</f>
        <v>0</v>
      </c>
      <c r="AG98">
        <f>+Sheet2!AG75</f>
        <v>0</v>
      </c>
      <c r="AH98">
        <f>+Sheet2!AH75</f>
        <v>0</v>
      </c>
    </row>
    <row r="99" spans="2:55">
      <c r="B99" t="s">
        <v>52</v>
      </c>
      <c r="AC99">
        <f>+Sheet2!AC76</f>
        <v>0</v>
      </c>
      <c r="AD99">
        <f>+Sheet2!AD76</f>
        <v>0</v>
      </c>
      <c r="AE99">
        <f>+Sheet2!AE76</f>
        <v>420</v>
      </c>
      <c r="AF99">
        <f>+Sheet2!AF76</f>
        <v>8981</v>
      </c>
      <c r="AG99">
        <f>+Sheet2!AG76</f>
        <v>11155</v>
      </c>
      <c r="AH99">
        <f>+Sheet2!AH76</f>
        <v>385</v>
      </c>
      <c r="AI99">
        <v>4</v>
      </c>
      <c r="AJ99">
        <v>2</v>
      </c>
      <c r="AK99">
        <v>2</v>
      </c>
      <c r="AL99">
        <v>2</v>
      </c>
      <c r="AM99">
        <v>2</v>
      </c>
      <c r="AN99">
        <v>22</v>
      </c>
      <c r="AO99">
        <v>33</v>
      </c>
      <c r="AP99">
        <v>31</v>
      </c>
      <c r="AQ99">
        <v>43</v>
      </c>
      <c r="AR99">
        <v>49</v>
      </c>
      <c r="AS99">
        <v>49</v>
      </c>
      <c r="AZ99">
        <v>14160</v>
      </c>
      <c r="BA99">
        <v>361743</v>
      </c>
      <c r="BB99">
        <v>820120</v>
      </c>
    </row>
    <row r="100" spans="2:55">
      <c r="B100" t="s">
        <v>168</v>
      </c>
      <c r="BC100">
        <v>390772</v>
      </c>
    </row>
    <row r="101" spans="2:55">
      <c r="B101" t="s">
        <v>75</v>
      </c>
      <c r="AC101">
        <f>+Sheet2!AC77</f>
        <v>0</v>
      </c>
      <c r="AD101">
        <f>+Sheet2!AD77</f>
        <v>0</v>
      </c>
      <c r="AE101">
        <f>+Sheet2!AE77</f>
        <v>3</v>
      </c>
      <c r="AF101">
        <f>+Sheet2!AF77</f>
        <v>0</v>
      </c>
      <c r="AG101">
        <f>+Sheet2!AG77</f>
        <v>0</v>
      </c>
      <c r="AH101">
        <f>+Sheet2!AH77</f>
        <v>0</v>
      </c>
    </row>
    <row r="102" spans="2:55">
      <c r="B102" t="s">
        <v>53</v>
      </c>
      <c r="T102">
        <v>185</v>
      </c>
      <c r="U102">
        <v>150</v>
      </c>
      <c r="V102">
        <v>403</v>
      </c>
      <c r="W102">
        <v>487</v>
      </c>
      <c r="X102">
        <v>1407</v>
      </c>
      <c r="Y102">
        <v>795</v>
      </c>
      <c r="Z102">
        <v>1486</v>
      </c>
      <c r="AA102">
        <v>3486</v>
      </c>
      <c r="AB102">
        <v>306</v>
      </c>
      <c r="AC102">
        <f>+Sheet2!AC78</f>
        <v>358423</v>
      </c>
      <c r="AD102">
        <f>+Sheet2!AD78</f>
        <v>544789</v>
      </c>
      <c r="AE102">
        <f>+Sheet2!AE78</f>
        <v>1523456</v>
      </c>
      <c r="AF102">
        <f>+Sheet2!AF78</f>
        <v>1512128</v>
      </c>
      <c r="AG102">
        <f>+Sheet2!AG78</f>
        <v>2022604</v>
      </c>
      <c r="AH102">
        <f>+Sheet2!AH78</f>
        <v>2367597</v>
      </c>
      <c r="AI102">
        <v>2026</v>
      </c>
      <c r="AJ102">
        <v>1408</v>
      </c>
      <c r="AK102">
        <v>891</v>
      </c>
      <c r="AL102">
        <v>601</v>
      </c>
      <c r="AM102">
        <v>550</v>
      </c>
      <c r="AN102">
        <v>354</v>
      </c>
      <c r="AO102">
        <v>353</v>
      </c>
      <c r="AP102">
        <v>546</v>
      </c>
      <c r="AQ102">
        <v>426</v>
      </c>
      <c r="AR102">
        <v>594</v>
      </c>
      <c r="AS102">
        <v>541</v>
      </c>
      <c r="AZ102">
        <v>2154848</v>
      </c>
      <c r="BA102">
        <v>605343</v>
      </c>
      <c r="BB102">
        <v>1932947</v>
      </c>
      <c r="BC102">
        <v>2394123</v>
      </c>
    </row>
    <row r="103" spans="2:55">
      <c r="B103" t="s">
        <v>159</v>
      </c>
      <c r="BB103">
        <v>6195</v>
      </c>
    </row>
    <row r="104" spans="2:55">
      <c r="B104" t="s">
        <v>93</v>
      </c>
      <c r="AC104">
        <f>+Sheet2!AC79</f>
        <v>0</v>
      </c>
      <c r="AD104">
        <f>+Sheet2!AD79</f>
        <v>356</v>
      </c>
      <c r="AE104">
        <f>+Sheet2!AE79</f>
        <v>0</v>
      </c>
      <c r="AF104">
        <f>+Sheet2!AF79</f>
        <v>0</v>
      </c>
      <c r="AG104">
        <f>+Sheet2!AG79</f>
        <v>0</v>
      </c>
      <c r="AH104">
        <f>+Sheet2!AH79</f>
        <v>0</v>
      </c>
    </row>
    <row r="105" spans="2:55">
      <c r="B105" t="s">
        <v>76</v>
      </c>
      <c r="AC105">
        <f>+Sheet2!AC80</f>
        <v>0</v>
      </c>
      <c r="AD105">
        <f>+Sheet2!AD80</f>
        <v>0</v>
      </c>
      <c r="AE105">
        <f>+Sheet2!AE80</f>
        <v>0</v>
      </c>
      <c r="AF105">
        <f>+Sheet2!AF80</f>
        <v>0</v>
      </c>
      <c r="AG105">
        <f>+Sheet2!AG80</f>
        <v>0</v>
      </c>
      <c r="AH105">
        <f>+Sheet2!AH80</f>
        <v>0</v>
      </c>
    </row>
    <row r="106" spans="2:55">
      <c r="B106" t="s">
        <v>77</v>
      </c>
      <c r="AC106">
        <f>+Sheet2!AC81</f>
        <v>0</v>
      </c>
      <c r="AD106">
        <f>+Sheet2!AD81</f>
        <v>0</v>
      </c>
      <c r="AE106">
        <f>+Sheet2!AE81</f>
        <v>0</v>
      </c>
      <c r="AF106">
        <f>+Sheet2!AF81</f>
        <v>0</v>
      </c>
      <c r="AG106">
        <f>+Sheet2!AG81</f>
        <v>0</v>
      </c>
      <c r="AH106">
        <f>+Sheet2!AH81</f>
        <v>0</v>
      </c>
    </row>
    <row r="107" spans="2:55">
      <c r="B107" t="s">
        <v>78</v>
      </c>
      <c r="AC107">
        <f>+Sheet2!AC82</f>
        <v>0</v>
      </c>
      <c r="AD107">
        <f>+Sheet2!AD82</f>
        <v>0</v>
      </c>
      <c r="AE107">
        <f>+Sheet2!AE82</f>
        <v>0</v>
      </c>
      <c r="AF107">
        <f>+Sheet2!AF82</f>
        <v>0</v>
      </c>
      <c r="AG107">
        <f>+Sheet2!AG82</f>
        <v>0</v>
      </c>
      <c r="AH107">
        <f>+Sheet2!AH82</f>
        <v>0</v>
      </c>
    </row>
    <row r="108" spans="2:55">
      <c r="B108" t="s">
        <v>54</v>
      </c>
      <c r="C108" t="s">
        <v>140</v>
      </c>
      <c r="AC108">
        <f>+Sheet2!AC83</f>
        <v>0</v>
      </c>
      <c r="AD108">
        <f>+Sheet2!AD83</f>
        <v>81265</v>
      </c>
      <c r="AE108">
        <f>+Sheet2!AE83</f>
        <v>759106</v>
      </c>
      <c r="AF108">
        <f>+Sheet2!AF83</f>
        <v>1252976</v>
      </c>
      <c r="AG108">
        <f>+Sheet2!AG83</f>
        <v>1982693</v>
      </c>
      <c r="AH108">
        <f>+Sheet2!AH83</f>
        <v>2068958</v>
      </c>
      <c r="AI108">
        <v>2794</v>
      </c>
      <c r="AJ108">
        <v>3317</v>
      </c>
      <c r="AK108">
        <v>1083</v>
      </c>
      <c r="AL108">
        <v>1298</v>
      </c>
      <c r="AM108">
        <v>1638</v>
      </c>
      <c r="AN108">
        <v>1243</v>
      </c>
      <c r="AO108">
        <v>1950</v>
      </c>
      <c r="AP108">
        <v>2552</v>
      </c>
      <c r="AQ108">
        <v>3209</v>
      </c>
      <c r="AR108">
        <v>3874</v>
      </c>
      <c r="AS108">
        <v>4092</v>
      </c>
      <c r="AZ108">
        <v>750910</v>
      </c>
      <c r="BA108">
        <v>5871925</v>
      </c>
      <c r="BB108">
        <v>7779917</v>
      </c>
      <c r="BC108">
        <v>18988614</v>
      </c>
    </row>
    <row r="109" spans="2:55">
      <c r="B109" t="s">
        <v>79</v>
      </c>
      <c r="C109" t="s">
        <v>147</v>
      </c>
      <c r="AC109">
        <f>+Sheet2!AC84</f>
        <v>0</v>
      </c>
      <c r="AD109">
        <f>+Sheet2!AD84</f>
        <v>0</v>
      </c>
      <c r="AE109">
        <f>+Sheet2!AE84</f>
        <v>0</v>
      </c>
      <c r="AF109">
        <f>+Sheet2!AF84</f>
        <v>0</v>
      </c>
      <c r="AG109">
        <f>+Sheet2!AG84</f>
        <v>0</v>
      </c>
      <c r="AH109">
        <f>+Sheet2!AH84</f>
        <v>0</v>
      </c>
      <c r="AZ109">
        <v>160</v>
      </c>
      <c r="BB109">
        <v>28595</v>
      </c>
    </row>
    <row r="110" spans="2:55">
      <c r="B110" t="s">
        <v>55</v>
      </c>
      <c r="C110" t="s">
        <v>141</v>
      </c>
      <c r="T110">
        <v>107</v>
      </c>
      <c r="U110">
        <v>51</v>
      </c>
      <c r="V110">
        <v>8</v>
      </c>
      <c r="W110">
        <v>139</v>
      </c>
      <c r="X110">
        <v>123</v>
      </c>
      <c r="Y110">
        <v>359</v>
      </c>
      <c r="Z110">
        <v>14</v>
      </c>
      <c r="AA110">
        <v>1540</v>
      </c>
      <c r="AB110">
        <v>488</v>
      </c>
      <c r="AC110">
        <f>+Sheet2!AC85</f>
        <v>849694</v>
      </c>
      <c r="AD110">
        <f>+Sheet2!AD85</f>
        <v>572336</v>
      </c>
      <c r="AE110">
        <f>+Sheet2!AE85</f>
        <v>109482</v>
      </c>
      <c r="AF110">
        <f>+Sheet2!AF85</f>
        <v>762381</v>
      </c>
      <c r="AG110">
        <f>+Sheet2!AG85</f>
        <v>1006911</v>
      </c>
      <c r="AH110">
        <f>+Sheet2!AH85</f>
        <v>1216706</v>
      </c>
      <c r="AI110">
        <v>717</v>
      </c>
      <c r="AJ110">
        <v>470</v>
      </c>
      <c r="AK110">
        <v>282</v>
      </c>
      <c r="AL110">
        <v>306</v>
      </c>
      <c r="AM110">
        <v>196</v>
      </c>
      <c r="AN110">
        <v>133</v>
      </c>
      <c r="AO110">
        <v>171</v>
      </c>
      <c r="AP110">
        <v>172</v>
      </c>
      <c r="AQ110">
        <v>169</v>
      </c>
      <c r="AR110">
        <v>344</v>
      </c>
      <c r="AS110">
        <v>634</v>
      </c>
      <c r="AZ110">
        <v>923610</v>
      </c>
      <c r="BA110">
        <v>1030300</v>
      </c>
      <c r="BB110">
        <v>1957813</v>
      </c>
      <c r="BC110">
        <v>2072907</v>
      </c>
    </row>
    <row r="111" spans="2:55">
      <c r="B111" t="s">
        <v>56</v>
      </c>
      <c r="AC111">
        <f>+Sheet2!AC86</f>
        <v>0</v>
      </c>
      <c r="AD111">
        <f>+Sheet2!AD86</f>
        <v>0</v>
      </c>
      <c r="AE111">
        <f>+Sheet2!AE86</f>
        <v>0</v>
      </c>
      <c r="AF111">
        <f>+Sheet2!AF86</f>
        <v>26615</v>
      </c>
      <c r="AG111">
        <f>+Sheet2!AG86</f>
        <v>0</v>
      </c>
      <c r="AH111">
        <f>+Sheet2!AH86</f>
        <v>3717</v>
      </c>
      <c r="AK111">
        <v>2</v>
      </c>
      <c r="AN111">
        <v>201</v>
      </c>
      <c r="AO111">
        <v>40</v>
      </c>
      <c r="AP111">
        <v>181</v>
      </c>
      <c r="AQ111">
        <v>469</v>
      </c>
      <c r="AR111">
        <v>1499</v>
      </c>
      <c r="AS111">
        <v>56</v>
      </c>
      <c r="AZ111">
        <v>133907</v>
      </c>
      <c r="BA111">
        <v>47278</v>
      </c>
      <c r="BB111">
        <v>1275402</v>
      </c>
      <c r="BC111">
        <v>2840527</v>
      </c>
    </row>
    <row r="112" spans="2:55">
      <c r="B112" t="s">
        <v>80</v>
      </c>
      <c r="AC112">
        <f>+Sheet2!AC87</f>
        <v>0</v>
      </c>
      <c r="AD112">
        <f>+Sheet2!AD87</f>
        <v>0</v>
      </c>
      <c r="AE112">
        <f>+Sheet2!AE87</f>
        <v>0</v>
      </c>
      <c r="AF112">
        <f>+Sheet2!AF87</f>
        <v>0</v>
      </c>
      <c r="AG112">
        <f>+Sheet2!AG87</f>
        <v>0</v>
      </c>
      <c r="AH112">
        <f>+Sheet2!AH87</f>
        <v>0</v>
      </c>
    </row>
    <row r="113" spans="2:55">
      <c r="B113" t="s">
        <v>81</v>
      </c>
      <c r="AC113">
        <f>+Sheet2!AC88</f>
        <v>0</v>
      </c>
      <c r="AD113">
        <f>+Sheet2!AD88</f>
        <v>52</v>
      </c>
      <c r="AE113">
        <f>+Sheet2!AE88</f>
        <v>46</v>
      </c>
      <c r="AF113">
        <f>+Sheet2!AF88</f>
        <v>0</v>
      </c>
      <c r="AG113">
        <f>+Sheet2!AG88</f>
        <v>1194</v>
      </c>
      <c r="AH113">
        <f>+Sheet2!AH88</f>
        <v>27793</v>
      </c>
    </row>
    <row r="114" spans="2:55">
      <c r="B114" t="s">
        <v>160</v>
      </c>
      <c r="BB114">
        <v>983719</v>
      </c>
      <c r="BC114">
        <v>47577</v>
      </c>
    </row>
    <row r="115" spans="2:55">
      <c r="B115" t="s">
        <v>153</v>
      </c>
      <c r="BA115">
        <v>120580</v>
      </c>
    </row>
    <row r="116" spans="2:55">
      <c r="B116" t="s">
        <v>57</v>
      </c>
      <c r="C116" t="s">
        <v>142</v>
      </c>
      <c r="AC116">
        <f>+Sheet2!AC89</f>
        <v>0</v>
      </c>
      <c r="AD116">
        <f>+Sheet2!AD89</f>
        <v>0</v>
      </c>
      <c r="AE116">
        <f>+Sheet2!AE89</f>
        <v>0</v>
      </c>
      <c r="AF116">
        <f>+Sheet2!AF89</f>
        <v>0</v>
      </c>
      <c r="AG116">
        <f>+Sheet2!AG89</f>
        <v>0</v>
      </c>
      <c r="AH116">
        <f>+Sheet2!AH89</f>
        <v>0</v>
      </c>
      <c r="AI116">
        <v>20</v>
      </c>
      <c r="AJ116">
        <v>177</v>
      </c>
      <c r="AK116">
        <v>20</v>
      </c>
      <c r="AL116">
        <v>4</v>
      </c>
      <c r="AN116">
        <v>16</v>
      </c>
      <c r="AO116">
        <v>13</v>
      </c>
      <c r="AP116">
        <v>74</v>
      </c>
      <c r="AQ116">
        <v>82</v>
      </c>
      <c r="AR116">
        <v>137</v>
      </c>
      <c r="AS116">
        <v>149</v>
      </c>
      <c r="AZ116">
        <v>59753</v>
      </c>
      <c r="BB116">
        <v>5472</v>
      </c>
    </row>
    <row r="117" spans="2:55">
      <c r="B117" t="s">
        <v>184</v>
      </c>
      <c r="T117">
        <v>982</v>
      </c>
      <c r="U117">
        <v>851</v>
      </c>
      <c r="V117">
        <v>2821</v>
      </c>
      <c r="W117">
        <v>6144</v>
      </c>
      <c r="X117">
        <v>2441</v>
      </c>
      <c r="Y117">
        <v>3266</v>
      </c>
      <c r="Z117">
        <v>5128</v>
      </c>
      <c r="AA117">
        <v>6400</v>
      </c>
      <c r="AB117">
        <v>1480</v>
      </c>
      <c r="AC117">
        <f>+Sheet2!AC90</f>
        <v>717191</v>
      </c>
      <c r="AD117">
        <f>+Sheet2!AD90</f>
        <v>582978</v>
      </c>
      <c r="AE117">
        <f>+Sheet2!AE90</f>
        <v>4482479</v>
      </c>
      <c r="AF117">
        <f>+Sheet2!AF90</f>
        <v>2645938</v>
      </c>
      <c r="AG117">
        <f>+Sheet2!AG90</f>
        <v>4255358</v>
      </c>
      <c r="AH117">
        <f>+Sheet2!AH90</f>
        <v>2140497</v>
      </c>
    </row>
    <row r="118" spans="2:55">
      <c r="B118" t="s">
        <v>58</v>
      </c>
      <c r="C118" t="s">
        <v>144</v>
      </c>
      <c r="AC118">
        <f>+Sheet2!AC91</f>
        <v>0</v>
      </c>
      <c r="AD118">
        <f>+Sheet2!AD91</f>
        <v>40</v>
      </c>
      <c r="AE118">
        <f>+Sheet2!AE91</f>
        <v>0</v>
      </c>
      <c r="AF118">
        <f>+Sheet2!AF91</f>
        <v>0</v>
      </c>
      <c r="AG118">
        <f>+Sheet2!AG91</f>
        <v>0</v>
      </c>
      <c r="AH118">
        <f>+Sheet2!AH91</f>
        <v>0</v>
      </c>
      <c r="AI118">
        <v>1391</v>
      </c>
      <c r="AJ118">
        <v>1693</v>
      </c>
      <c r="AK118">
        <v>1055</v>
      </c>
      <c r="AL118">
        <v>743</v>
      </c>
      <c r="AM118">
        <v>1504</v>
      </c>
      <c r="AN118">
        <v>1227</v>
      </c>
      <c r="AO118">
        <v>987</v>
      </c>
      <c r="AP118">
        <v>1726</v>
      </c>
      <c r="AQ118">
        <v>2215</v>
      </c>
      <c r="AR118">
        <v>1490</v>
      </c>
      <c r="AS118">
        <v>1240</v>
      </c>
      <c r="AZ118">
        <v>3764052</v>
      </c>
      <c r="BA118">
        <v>4146953</v>
      </c>
      <c r="BB118">
        <v>16160503</v>
      </c>
      <c r="BC118">
        <v>1792110</v>
      </c>
    </row>
    <row r="119" spans="2:55">
      <c r="B119" t="s">
        <v>59</v>
      </c>
      <c r="C119" t="s">
        <v>143</v>
      </c>
      <c r="AI119">
        <v>25010</v>
      </c>
      <c r="AJ119">
        <v>27338</v>
      </c>
      <c r="AK119">
        <v>15396</v>
      </c>
      <c r="AL119">
        <v>11234</v>
      </c>
      <c r="AM119">
        <v>4814</v>
      </c>
      <c r="AN119">
        <v>4055</v>
      </c>
      <c r="AO119">
        <v>5063</v>
      </c>
      <c r="AP119">
        <v>7748</v>
      </c>
      <c r="AQ119">
        <v>7498</v>
      </c>
      <c r="AR119">
        <v>5708</v>
      </c>
      <c r="AS119">
        <v>5156</v>
      </c>
    </row>
    <row r="121" spans="2:55">
      <c r="B121" t="s">
        <v>191</v>
      </c>
      <c r="T121">
        <f t="shared" ref="T121:W121" si="0">SUM(T4:T120)</f>
        <v>372318</v>
      </c>
      <c r="U121">
        <f t="shared" si="0"/>
        <v>402795</v>
      </c>
      <c r="V121">
        <f t="shared" si="0"/>
        <v>464764</v>
      </c>
      <c r="W121">
        <f t="shared" si="0"/>
        <v>528955</v>
      </c>
      <c r="X121">
        <f t="shared" ref="X121:AA121" si="1">SUM(X4:X120)</f>
        <v>638056</v>
      </c>
      <c r="Y121">
        <f t="shared" si="1"/>
        <v>1116213</v>
      </c>
      <c r="Z121">
        <f t="shared" si="1"/>
        <v>1077854</v>
      </c>
      <c r="AA121">
        <f t="shared" si="1"/>
        <v>691089</v>
      </c>
      <c r="AB121">
        <f t="shared" ref="AB121:AJ121" si="2">SUM(AB4:AB120)</f>
        <v>616801</v>
      </c>
      <c r="AC121">
        <f t="shared" si="2"/>
        <v>701257232</v>
      </c>
      <c r="AD121">
        <f t="shared" si="2"/>
        <v>839522517</v>
      </c>
      <c r="AE121">
        <f t="shared" si="2"/>
        <v>884811221</v>
      </c>
      <c r="AF121">
        <f t="shared" si="2"/>
        <v>888494531</v>
      </c>
      <c r="AG121">
        <f t="shared" si="2"/>
        <v>981863130</v>
      </c>
      <c r="AH121">
        <f t="shared" si="2"/>
        <v>1088402840</v>
      </c>
      <c r="AI121">
        <f t="shared" si="2"/>
        <v>888004</v>
      </c>
      <c r="AJ121">
        <f t="shared" si="2"/>
        <v>592523</v>
      </c>
      <c r="AK121">
        <f>SUM(AK4:AK120)</f>
        <v>384154</v>
      </c>
      <c r="AL121">
        <f t="shared" ref="AL121:BC121" si="3">SUM(AL4:AL120)</f>
        <v>329378</v>
      </c>
      <c r="AM121">
        <f t="shared" si="3"/>
        <v>290977</v>
      </c>
      <c r="AN121">
        <f t="shared" si="3"/>
        <v>276498</v>
      </c>
      <c r="AO121">
        <f t="shared" si="3"/>
        <v>286855</v>
      </c>
      <c r="AP121">
        <f t="shared" si="3"/>
        <v>498327</v>
      </c>
      <c r="AQ121">
        <f t="shared" si="3"/>
        <v>485948</v>
      </c>
      <c r="AR121">
        <f t="shared" si="3"/>
        <v>478151</v>
      </c>
      <c r="AS121">
        <f t="shared" si="3"/>
        <v>437678</v>
      </c>
      <c r="AT121">
        <f t="shared" si="3"/>
        <v>0</v>
      </c>
      <c r="AU121">
        <f t="shared" si="3"/>
        <v>0</v>
      </c>
      <c r="AV121">
        <f t="shared" si="3"/>
        <v>0</v>
      </c>
      <c r="AW121">
        <f t="shared" si="3"/>
        <v>0</v>
      </c>
      <c r="AX121">
        <f t="shared" si="3"/>
        <v>0</v>
      </c>
      <c r="AY121">
        <f t="shared" si="3"/>
        <v>0</v>
      </c>
      <c r="AZ121">
        <f t="shared" si="3"/>
        <v>809614643</v>
      </c>
      <c r="BA121">
        <f t="shared" si="3"/>
        <v>1229968617</v>
      </c>
      <c r="BB121">
        <f t="shared" si="3"/>
        <v>1698757434</v>
      </c>
      <c r="BC121">
        <f t="shared" si="3"/>
        <v>1672558906</v>
      </c>
    </row>
    <row r="123" spans="2:55">
      <c r="T123">
        <f>372318-T121</f>
        <v>0</v>
      </c>
      <c r="U123">
        <f>402795-U121</f>
        <v>0</v>
      </c>
      <c r="V123">
        <f>464764-V121</f>
        <v>0</v>
      </c>
      <c r="W123">
        <f>528955-W121</f>
        <v>0</v>
      </c>
      <c r="X123">
        <f>638056-X121</f>
        <v>0</v>
      </c>
      <c r="Y123">
        <f>1116213-Y121</f>
        <v>0</v>
      </c>
      <c r="Z123">
        <f>1077854-Z121</f>
        <v>0</v>
      </c>
      <c r="AA123">
        <f>691089-AA121</f>
        <v>0</v>
      </c>
      <c r="AB123">
        <f>616801-AB121</f>
        <v>0</v>
      </c>
      <c r="AI123">
        <f>888004-AI121</f>
        <v>0</v>
      </c>
      <c r="AJ123">
        <f>592523-AJ121</f>
        <v>0</v>
      </c>
      <c r="AK123">
        <f>384154-AK121</f>
        <v>0</v>
      </c>
      <c r="AL123">
        <f>329378-AL121</f>
        <v>0</v>
      </c>
      <c r="AM123">
        <f>290977-AM121</f>
        <v>0</v>
      </c>
      <c r="AN123">
        <f>276498-AN121</f>
        <v>0</v>
      </c>
      <c r="AO123">
        <f>286855-AO121</f>
        <v>0</v>
      </c>
      <c r="AP123">
        <f>498327-AP121</f>
        <v>0</v>
      </c>
      <c r="AQ123">
        <f>485948-AQ121</f>
        <v>0</v>
      </c>
      <c r="AR123">
        <f>478151-AR121</f>
        <v>0</v>
      </c>
      <c r="AS123">
        <f>437678-AS121</f>
        <v>0</v>
      </c>
      <c r="AZ123">
        <f>809614643-AZ121</f>
        <v>0</v>
      </c>
      <c r="BA123">
        <f>1229968617-BA121</f>
        <v>0</v>
      </c>
      <c r="BB123">
        <f>1698757434-BB121</f>
        <v>0</v>
      </c>
      <c r="BC123">
        <f>1672558906-BC121</f>
        <v>0</v>
      </c>
    </row>
    <row r="125" spans="2:55"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 t="s">
        <v>67</v>
      </c>
      <c r="AO125" t="s">
        <v>67</v>
      </c>
      <c r="AP125" t="s">
        <v>67</v>
      </c>
      <c r="AQ125" t="s">
        <v>67</v>
      </c>
    </row>
    <row r="127" spans="2:55">
      <c r="AJ127" t="s">
        <v>189</v>
      </c>
      <c r="AK127" t="s">
        <v>189</v>
      </c>
      <c r="AL127" t="s">
        <v>189</v>
      </c>
      <c r="AM127" t="s">
        <v>189</v>
      </c>
      <c r="AN127" t="s">
        <v>189</v>
      </c>
      <c r="AO127" t="s">
        <v>189</v>
      </c>
      <c r="AP127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39"/>
  <sheetViews>
    <sheetView tabSelected="1" workbookViewId="0">
      <pane xSplit="4" ySplit="3" topLeftCell="AC109" activePane="bottomRight" state="frozen"/>
      <selection pane="topRight" activeCell="E1" sqref="E1"/>
      <selection pane="bottomLeft" activeCell="A4" sqref="A4"/>
      <selection pane="bottomRight" activeCell="B131" sqref="B131"/>
    </sheetView>
  </sheetViews>
  <sheetFormatPr defaultRowHeight="15"/>
  <cols>
    <col min="52" max="52" width="10" bestFit="1" customWidth="1"/>
    <col min="53" max="56" width="11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</v>
      </c>
      <c r="BA2">
        <v>1</v>
      </c>
      <c r="BB2">
        <v>1</v>
      </c>
      <c r="BC2">
        <v>1</v>
      </c>
    </row>
    <row r="3" spans="1:55"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145</v>
      </c>
      <c r="BA3" t="s">
        <v>145</v>
      </c>
      <c r="BB3" t="s">
        <v>145</v>
      </c>
      <c r="BC3" t="s">
        <v>145</v>
      </c>
    </row>
    <row r="4" spans="1:55">
      <c r="A4" t="s">
        <v>2</v>
      </c>
      <c r="B4" t="s">
        <v>3</v>
      </c>
      <c r="C4" t="s">
        <v>99</v>
      </c>
      <c r="AG4">
        <v>262985</v>
      </c>
      <c r="AH4">
        <v>231320</v>
      </c>
      <c r="AI4">
        <v>177865</v>
      </c>
      <c r="AJ4">
        <v>130432</v>
      </c>
      <c r="AK4">
        <v>103653</v>
      </c>
      <c r="AL4">
        <v>86723</v>
      </c>
      <c r="AM4">
        <v>104327</v>
      </c>
      <c r="AN4">
        <v>100201</v>
      </c>
      <c r="AO4">
        <v>126966</v>
      </c>
      <c r="AP4">
        <v>191583</v>
      </c>
      <c r="AQ4">
        <v>134109</v>
      </c>
      <c r="AR4">
        <v>109089</v>
      </c>
      <c r="AS4">
        <v>49022</v>
      </c>
      <c r="AZ4">
        <v>151230459</v>
      </c>
      <c r="BA4">
        <v>373724564</v>
      </c>
      <c r="BB4">
        <v>512372652</v>
      </c>
      <c r="BC4">
        <v>732785393</v>
      </c>
    </row>
    <row r="5" spans="1:55">
      <c r="B5" t="s">
        <v>169</v>
      </c>
      <c r="C5" t="s">
        <v>175</v>
      </c>
      <c r="AZ5">
        <v>1683844</v>
      </c>
      <c r="BA5">
        <v>2705487</v>
      </c>
      <c r="BB5">
        <v>7300220</v>
      </c>
      <c r="BC5">
        <v>35092231</v>
      </c>
    </row>
    <row r="6" spans="1:55">
      <c r="B6" t="s">
        <v>4</v>
      </c>
      <c r="C6" t="s">
        <v>100</v>
      </c>
      <c r="AG6">
        <v>128381</v>
      </c>
      <c r="AH6">
        <v>127690</v>
      </c>
      <c r="AI6">
        <v>96356</v>
      </c>
      <c r="AJ6">
        <v>68547</v>
      </c>
      <c r="AK6">
        <v>48380</v>
      </c>
      <c r="AL6">
        <v>25967</v>
      </c>
      <c r="AM6">
        <v>38308</v>
      </c>
      <c r="AN6">
        <v>30547</v>
      </c>
      <c r="AO6">
        <v>27339</v>
      </c>
      <c r="AP6">
        <v>50224</v>
      </c>
      <c r="AQ6">
        <v>35131</v>
      </c>
      <c r="AR6">
        <v>34197</v>
      </c>
      <c r="AS6">
        <v>53843</v>
      </c>
      <c r="AZ6">
        <v>8130386</v>
      </c>
      <c r="BA6">
        <v>20615318</v>
      </c>
      <c r="BB6">
        <v>66983761</v>
      </c>
      <c r="BC6">
        <v>120064873</v>
      </c>
    </row>
    <row r="7" spans="1:55">
      <c r="B7" t="s">
        <v>170</v>
      </c>
      <c r="C7" t="s">
        <v>175</v>
      </c>
      <c r="AZ7">
        <v>56516</v>
      </c>
      <c r="BA7">
        <v>205126</v>
      </c>
      <c r="BB7">
        <v>909201</v>
      </c>
      <c r="BC7">
        <v>461187</v>
      </c>
    </row>
    <row r="8" spans="1:55">
      <c r="B8" t="s">
        <v>5</v>
      </c>
      <c r="C8" t="s">
        <v>101</v>
      </c>
      <c r="AG8">
        <v>47247</v>
      </c>
      <c r="AH8">
        <v>37468</v>
      </c>
      <c r="AI8">
        <v>24502</v>
      </c>
      <c r="AJ8">
        <v>16699</v>
      </c>
      <c r="AK8">
        <v>10994</v>
      </c>
      <c r="AL8">
        <v>11203</v>
      </c>
      <c r="AM8">
        <v>12486</v>
      </c>
      <c r="AN8">
        <v>9110</v>
      </c>
      <c r="AO8">
        <v>12928</v>
      </c>
      <c r="AP8">
        <v>28099</v>
      </c>
      <c r="AQ8">
        <v>23775</v>
      </c>
      <c r="AR8">
        <v>14019</v>
      </c>
      <c r="AZ8">
        <v>212681</v>
      </c>
      <c r="BA8">
        <v>17362008</v>
      </c>
      <c r="BB8">
        <v>32581343</v>
      </c>
      <c r="BC8">
        <v>85960716</v>
      </c>
    </row>
    <row r="9" spans="1:55">
      <c r="B9" t="s">
        <v>171</v>
      </c>
      <c r="C9" t="s">
        <v>175</v>
      </c>
      <c r="BC9">
        <v>119651</v>
      </c>
    </row>
    <row r="10" spans="1:55">
      <c r="B10" t="s">
        <v>6</v>
      </c>
      <c r="C10" t="s">
        <v>102</v>
      </c>
      <c r="BB10">
        <v>26373</v>
      </c>
    </row>
    <row r="11" spans="1:55">
      <c r="B11" t="s">
        <v>7</v>
      </c>
      <c r="C11" t="s">
        <v>103</v>
      </c>
      <c r="AG11">
        <v>68949</v>
      </c>
      <c r="AH11">
        <v>59535</v>
      </c>
      <c r="AI11">
        <v>33057</v>
      </c>
      <c r="AJ11">
        <v>23452</v>
      </c>
      <c r="AK11">
        <v>19630</v>
      </c>
      <c r="AL11">
        <v>19441</v>
      </c>
      <c r="AM11">
        <v>17206</v>
      </c>
      <c r="AN11">
        <v>14513</v>
      </c>
      <c r="AO11">
        <v>13089</v>
      </c>
      <c r="AP11">
        <v>23963</v>
      </c>
      <c r="AQ11">
        <v>11198</v>
      </c>
      <c r="AR11">
        <v>10953</v>
      </c>
      <c r="AS11">
        <v>2547</v>
      </c>
      <c r="AZ11">
        <v>4428184</v>
      </c>
      <c r="BA11">
        <v>11403132</v>
      </c>
      <c r="BB11">
        <v>5006406</v>
      </c>
      <c r="BC11">
        <v>24727291</v>
      </c>
    </row>
    <row r="12" spans="1:55">
      <c r="B12" t="s">
        <v>172</v>
      </c>
      <c r="C12" t="s">
        <v>175</v>
      </c>
      <c r="AZ12">
        <v>89915</v>
      </c>
      <c r="BA12">
        <v>238645</v>
      </c>
      <c r="BB12">
        <v>733467</v>
      </c>
      <c r="BC12">
        <v>667775</v>
      </c>
    </row>
    <row r="13" spans="1:55">
      <c r="B13" t="s">
        <v>8</v>
      </c>
      <c r="C13" t="s">
        <v>104</v>
      </c>
      <c r="AG13">
        <v>13094</v>
      </c>
      <c r="AH13">
        <v>11206</v>
      </c>
      <c r="AI13">
        <v>5480</v>
      </c>
      <c r="AJ13">
        <v>5816</v>
      </c>
      <c r="AK13">
        <v>5007</v>
      </c>
      <c r="AL13">
        <v>7038</v>
      </c>
      <c r="AM13">
        <v>5147</v>
      </c>
      <c r="AN13">
        <v>3036</v>
      </c>
      <c r="AO13">
        <v>4948</v>
      </c>
      <c r="AP13">
        <v>7238</v>
      </c>
      <c r="AQ13">
        <v>5362</v>
      </c>
      <c r="AR13">
        <v>3510</v>
      </c>
      <c r="AS13">
        <v>213</v>
      </c>
      <c r="AZ13">
        <v>1131357</v>
      </c>
      <c r="BA13">
        <v>6894884</v>
      </c>
      <c r="BB13">
        <v>3602000</v>
      </c>
      <c r="BC13">
        <v>18753225</v>
      </c>
    </row>
    <row r="14" spans="1:55">
      <c r="B14" t="s">
        <v>173</v>
      </c>
      <c r="C14" t="s">
        <v>175</v>
      </c>
      <c r="AZ14">
        <v>3343</v>
      </c>
      <c r="BA14">
        <v>130620</v>
      </c>
      <c r="BB14">
        <v>18687</v>
      </c>
      <c r="BC14">
        <v>351799</v>
      </c>
    </row>
    <row r="15" spans="1:55">
      <c r="B15" t="s">
        <v>9</v>
      </c>
      <c r="C15" t="s">
        <v>105</v>
      </c>
      <c r="AG15">
        <v>12295</v>
      </c>
      <c r="AH15">
        <v>11046</v>
      </c>
      <c r="AI15">
        <v>9033</v>
      </c>
      <c r="AJ15">
        <v>5541</v>
      </c>
      <c r="AK15">
        <v>7370</v>
      </c>
      <c r="AL15">
        <v>6662</v>
      </c>
      <c r="AM15">
        <v>7402</v>
      </c>
      <c r="AN15">
        <v>6824</v>
      </c>
      <c r="AO15">
        <v>3465</v>
      </c>
      <c r="AP15">
        <v>12913</v>
      </c>
      <c r="AQ15">
        <v>9255</v>
      </c>
      <c r="AR15">
        <v>16619</v>
      </c>
      <c r="AS15">
        <v>12899</v>
      </c>
      <c r="AZ15">
        <v>919641</v>
      </c>
      <c r="BA15">
        <v>4388310</v>
      </c>
      <c r="BB15">
        <v>5189082</v>
      </c>
      <c r="BC15">
        <v>9768055</v>
      </c>
    </row>
    <row r="16" spans="1:55">
      <c r="B16" t="s">
        <v>174</v>
      </c>
      <c r="C16" t="s">
        <v>175</v>
      </c>
      <c r="AZ16">
        <v>113708</v>
      </c>
      <c r="BA16">
        <v>310419</v>
      </c>
      <c r="BB16">
        <v>4158</v>
      </c>
      <c r="BC16">
        <v>1872666</v>
      </c>
    </row>
    <row r="17" spans="2:55">
      <c r="B17" t="s">
        <v>161</v>
      </c>
      <c r="BC17">
        <v>1120316</v>
      </c>
    </row>
    <row r="18" spans="2:55">
      <c r="B18" t="s">
        <v>63</v>
      </c>
    </row>
    <row r="19" spans="2:55">
      <c r="B19" t="s">
        <v>10</v>
      </c>
    </row>
    <row r="20" spans="2:55">
      <c r="B20" t="s">
        <v>91</v>
      </c>
      <c r="C20" t="s">
        <v>106</v>
      </c>
    </row>
    <row r="21" spans="2:55">
      <c r="B21" t="s">
        <v>85</v>
      </c>
      <c r="C21" t="s">
        <v>107</v>
      </c>
      <c r="AP21">
        <v>36</v>
      </c>
      <c r="AQ21">
        <v>2488</v>
      </c>
      <c r="AR21">
        <v>809</v>
      </c>
      <c r="AZ21">
        <v>2032814</v>
      </c>
      <c r="BA21">
        <v>1677542</v>
      </c>
      <c r="BB21">
        <v>1329060</v>
      </c>
    </row>
    <row r="22" spans="2:55">
      <c r="B22" t="s">
        <v>11</v>
      </c>
      <c r="C22" t="s">
        <v>108</v>
      </c>
      <c r="AZ22">
        <v>844027</v>
      </c>
      <c r="BA22">
        <v>4408283</v>
      </c>
      <c r="BB22">
        <v>673352</v>
      </c>
      <c r="BC22">
        <v>1682049</v>
      </c>
    </row>
    <row r="23" spans="2:55">
      <c r="B23" t="s">
        <v>12</v>
      </c>
      <c r="C23" t="s">
        <v>109</v>
      </c>
      <c r="AG23">
        <v>4608</v>
      </c>
      <c r="AH23">
        <v>4272</v>
      </c>
      <c r="AI23">
        <v>2888</v>
      </c>
      <c r="AJ23">
        <v>2676</v>
      </c>
      <c r="AK23">
        <v>2762</v>
      </c>
      <c r="AL23">
        <v>2829</v>
      </c>
      <c r="AM23">
        <v>2263</v>
      </c>
      <c r="AN23">
        <v>3264</v>
      </c>
      <c r="AO23">
        <v>1143</v>
      </c>
      <c r="AP23">
        <v>3</v>
      </c>
      <c r="AQ23">
        <v>397</v>
      </c>
      <c r="AR23">
        <v>213</v>
      </c>
      <c r="AS23">
        <v>39</v>
      </c>
      <c r="AZ23">
        <v>42183</v>
      </c>
      <c r="BA23">
        <v>3958714</v>
      </c>
      <c r="BB23">
        <v>552762</v>
      </c>
      <c r="BC23">
        <v>458436</v>
      </c>
    </row>
    <row r="24" spans="2:55">
      <c r="B24" t="s">
        <v>13</v>
      </c>
      <c r="C24" t="s">
        <v>110</v>
      </c>
      <c r="AP24">
        <v>67</v>
      </c>
      <c r="AQ24">
        <v>644</v>
      </c>
      <c r="AR24">
        <v>141</v>
      </c>
      <c r="AS24">
        <v>15</v>
      </c>
      <c r="AZ24">
        <v>88599</v>
      </c>
      <c r="BA24">
        <v>32904</v>
      </c>
      <c r="BB24">
        <v>51183</v>
      </c>
      <c r="BC24">
        <v>201195</v>
      </c>
    </row>
    <row r="25" spans="2:55">
      <c r="B25" t="s">
        <v>182</v>
      </c>
    </row>
    <row r="26" spans="2:55">
      <c r="B26" t="s">
        <v>14</v>
      </c>
      <c r="C26" t="s">
        <v>111</v>
      </c>
      <c r="AG26">
        <v>19996</v>
      </c>
      <c r="AH26">
        <v>16940</v>
      </c>
      <c r="AI26">
        <v>13135</v>
      </c>
      <c r="AJ26">
        <v>9820</v>
      </c>
      <c r="AK26">
        <v>9596</v>
      </c>
      <c r="AL26">
        <v>10470</v>
      </c>
      <c r="AM26">
        <v>7458</v>
      </c>
      <c r="AN26">
        <v>7614</v>
      </c>
      <c r="AO26">
        <v>10840</v>
      </c>
      <c r="AP26">
        <v>18346</v>
      </c>
      <c r="AQ26">
        <v>9869</v>
      </c>
      <c r="AR26">
        <v>5279</v>
      </c>
      <c r="AS26">
        <v>2517</v>
      </c>
      <c r="AZ26">
        <v>3687040</v>
      </c>
      <c r="BA26">
        <v>3394928</v>
      </c>
      <c r="BB26">
        <v>2871825</v>
      </c>
      <c r="BC26">
        <v>4901736</v>
      </c>
    </row>
    <row r="27" spans="2:55">
      <c r="B27" t="s">
        <v>162</v>
      </c>
    </row>
    <row r="28" spans="2:55">
      <c r="B28" t="s">
        <v>15</v>
      </c>
      <c r="C28" t="s">
        <v>112</v>
      </c>
      <c r="AG28">
        <v>4574</v>
      </c>
      <c r="AH28">
        <v>4564</v>
      </c>
      <c r="AI28">
        <v>3331</v>
      </c>
      <c r="AJ28">
        <v>3336</v>
      </c>
      <c r="AK28">
        <v>4090</v>
      </c>
      <c r="AL28">
        <v>3143</v>
      </c>
      <c r="AM28">
        <v>1588</v>
      </c>
      <c r="AN28">
        <v>2717</v>
      </c>
      <c r="AO28">
        <v>4572</v>
      </c>
      <c r="AP28">
        <v>7247</v>
      </c>
      <c r="AQ28">
        <v>5262</v>
      </c>
      <c r="AR28">
        <v>6152</v>
      </c>
      <c r="AS28">
        <v>3810</v>
      </c>
      <c r="AZ28">
        <v>2230818</v>
      </c>
      <c r="BA28">
        <v>3171668</v>
      </c>
      <c r="BB28">
        <v>2966899</v>
      </c>
      <c r="BC28">
        <v>6095491</v>
      </c>
    </row>
    <row r="29" spans="2:55">
      <c r="B29" t="s">
        <v>16</v>
      </c>
      <c r="C29" t="s">
        <v>113</v>
      </c>
      <c r="AG29">
        <v>1758</v>
      </c>
      <c r="AH29">
        <v>3593</v>
      </c>
      <c r="AI29">
        <v>1026</v>
      </c>
      <c r="AJ29">
        <v>1048</v>
      </c>
      <c r="AK29">
        <v>780</v>
      </c>
      <c r="AL29">
        <v>878</v>
      </c>
      <c r="AM29">
        <v>887</v>
      </c>
      <c r="AN29">
        <v>1150</v>
      </c>
      <c r="AO29">
        <v>1524</v>
      </c>
      <c r="AP29">
        <v>2926</v>
      </c>
      <c r="AQ29">
        <v>2051</v>
      </c>
      <c r="AR29">
        <v>1551</v>
      </c>
      <c r="AS29">
        <v>1220</v>
      </c>
      <c r="AZ29">
        <v>1790543</v>
      </c>
      <c r="BA29">
        <v>10311938</v>
      </c>
      <c r="BB29">
        <v>7799543</v>
      </c>
      <c r="BC29">
        <v>8366404</v>
      </c>
    </row>
    <row r="30" spans="2:55">
      <c r="B30" t="s">
        <v>17</v>
      </c>
      <c r="C30" t="s">
        <v>114</v>
      </c>
      <c r="AZ30">
        <v>16284</v>
      </c>
      <c r="BA30">
        <v>27656</v>
      </c>
      <c r="BB30">
        <v>57859</v>
      </c>
      <c r="BC30">
        <v>1775679</v>
      </c>
    </row>
    <row r="31" spans="2:55">
      <c r="B31" t="s">
        <v>18</v>
      </c>
      <c r="D31" t="s">
        <v>60</v>
      </c>
      <c r="AP31">
        <v>7</v>
      </c>
      <c r="AQ31">
        <v>101</v>
      </c>
      <c r="AR31">
        <v>157</v>
      </c>
    </row>
    <row r="32" spans="2:55">
      <c r="B32" t="s">
        <v>69</v>
      </c>
    </row>
    <row r="33" spans="2:55">
      <c r="B33" t="s">
        <v>19</v>
      </c>
      <c r="C33" t="s">
        <v>115</v>
      </c>
      <c r="AG33">
        <v>86</v>
      </c>
      <c r="AH33">
        <v>319</v>
      </c>
      <c r="AI33">
        <v>76</v>
      </c>
      <c r="AJ33">
        <v>77</v>
      </c>
      <c r="AK33">
        <v>134</v>
      </c>
      <c r="AL33">
        <v>51</v>
      </c>
      <c r="AM33">
        <v>105</v>
      </c>
      <c r="AN33">
        <v>69</v>
      </c>
      <c r="AO33">
        <v>251</v>
      </c>
      <c r="AP33">
        <v>226</v>
      </c>
      <c r="AQ33">
        <v>955</v>
      </c>
      <c r="AR33">
        <v>1282</v>
      </c>
      <c r="AZ33">
        <v>247572</v>
      </c>
      <c r="BA33">
        <v>2032562</v>
      </c>
      <c r="BB33">
        <v>1444878</v>
      </c>
      <c r="BC33">
        <v>1496411</v>
      </c>
    </row>
    <row r="34" spans="2:55">
      <c r="B34" t="s">
        <v>20</v>
      </c>
      <c r="C34" t="s">
        <v>116</v>
      </c>
      <c r="AG34">
        <v>763</v>
      </c>
      <c r="AH34">
        <v>1174</v>
      </c>
      <c r="AI34">
        <v>748</v>
      </c>
      <c r="AJ34">
        <v>360</v>
      </c>
      <c r="AK34">
        <v>408</v>
      </c>
      <c r="AL34">
        <v>210</v>
      </c>
      <c r="AM34">
        <v>81</v>
      </c>
      <c r="AN34">
        <v>172</v>
      </c>
      <c r="AO34">
        <v>28</v>
      </c>
      <c r="AP34">
        <v>2012</v>
      </c>
      <c r="AQ34">
        <v>3373</v>
      </c>
      <c r="AR34">
        <v>628</v>
      </c>
    </row>
    <row r="35" spans="2:55">
      <c r="B35" t="s">
        <v>86</v>
      </c>
      <c r="C35" t="s">
        <v>154</v>
      </c>
      <c r="BB35">
        <v>280479</v>
      </c>
      <c r="BC35">
        <v>196330</v>
      </c>
    </row>
    <row r="36" spans="2:55">
      <c r="B36" t="s">
        <v>87</v>
      </c>
    </row>
    <row r="37" spans="2:55">
      <c r="B37" t="s">
        <v>61</v>
      </c>
      <c r="AG37">
        <v>1230</v>
      </c>
      <c r="AH37">
        <v>1066</v>
      </c>
      <c r="AI37">
        <v>928</v>
      </c>
      <c r="AJ37">
        <v>264</v>
      </c>
      <c r="AK37">
        <v>562</v>
      </c>
      <c r="AL37">
        <v>620</v>
      </c>
      <c r="AM37">
        <v>365</v>
      </c>
      <c r="AN37">
        <v>493</v>
      </c>
      <c r="AO37">
        <v>573</v>
      </c>
    </row>
    <row r="38" spans="2:55">
      <c r="B38" t="s">
        <v>21</v>
      </c>
      <c r="C38" t="s">
        <v>117</v>
      </c>
      <c r="AP38">
        <v>630</v>
      </c>
      <c r="AQ38">
        <v>797</v>
      </c>
      <c r="AR38">
        <v>2119</v>
      </c>
      <c r="AS38">
        <v>1891</v>
      </c>
      <c r="AZ38">
        <v>12516</v>
      </c>
      <c r="BA38">
        <v>162845</v>
      </c>
    </row>
    <row r="39" spans="2:55">
      <c r="B39" t="s">
        <v>22</v>
      </c>
      <c r="C39" t="s">
        <v>119</v>
      </c>
      <c r="AP39">
        <v>534</v>
      </c>
      <c r="AQ39">
        <v>212</v>
      </c>
      <c r="AR39">
        <v>169</v>
      </c>
      <c r="AS39">
        <v>85</v>
      </c>
      <c r="BA39">
        <v>230811</v>
      </c>
      <c r="BB39">
        <v>60253</v>
      </c>
    </row>
    <row r="40" spans="2:55">
      <c r="B40" t="s">
        <v>70</v>
      </c>
      <c r="C40" t="s">
        <v>176</v>
      </c>
      <c r="AG40">
        <v>425</v>
      </c>
      <c r="AH40">
        <v>220</v>
      </c>
      <c r="AI40">
        <v>180</v>
      </c>
      <c r="AJ40">
        <v>127</v>
      </c>
      <c r="AK40">
        <v>86</v>
      </c>
      <c r="AL40">
        <v>59</v>
      </c>
      <c r="AM40">
        <v>158</v>
      </c>
      <c r="AN40">
        <v>69</v>
      </c>
      <c r="AO40">
        <v>154</v>
      </c>
      <c r="AP40">
        <v>138</v>
      </c>
      <c r="AQ40">
        <v>248</v>
      </c>
      <c r="AR40">
        <v>763</v>
      </c>
      <c r="AS40">
        <v>720</v>
      </c>
      <c r="AZ40">
        <v>71033</v>
      </c>
      <c r="BA40">
        <v>64595</v>
      </c>
      <c r="BB40">
        <v>37824</v>
      </c>
      <c r="BC40">
        <v>1291736</v>
      </c>
    </row>
    <row r="41" spans="2:55">
      <c r="B41" t="s">
        <v>71</v>
      </c>
      <c r="AG41">
        <v>9093</v>
      </c>
      <c r="AH41">
        <v>17535</v>
      </c>
      <c r="AI41">
        <v>10374</v>
      </c>
      <c r="AJ41">
        <v>646</v>
      </c>
      <c r="AK41">
        <v>2359</v>
      </c>
      <c r="AL41">
        <v>7508</v>
      </c>
      <c r="AM41">
        <v>6334</v>
      </c>
      <c r="AN41">
        <v>15</v>
      </c>
      <c r="AO41">
        <v>23</v>
      </c>
      <c r="AP41">
        <v>20</v>
      </c>
      <c r="AQ41">
        <v>288</v>
      </c>
      <c r="AR41">
        <v>70</v>
      </c>
      <c r="AS41">
        <v>10</v>
      </c>
    </row>
    <row r="42" spans="2:55">
      <c r="B42" t="s">
        <v>23</v>
      </c>
      <c r="C42" t="s">
        <v>118</v>
      </c>
      <c r="AG42">
        <v>90</v>
      </c>
      <c r="AH42">
        <v>120</v>
      </c>
      <c r="AI42">
        <v>122</v>
      </c>
      <c r="AJ42">
        <v>56</v>
      </c>
      <c r="AK42">
        <v>37</v>
      </c>
      <c r="AL42">
        <v>89</v>
      </c>
      <c r="AM42">
        <v>145</v>
      </c>
      <c r="AN42">
        <v>119</v>
      </c>
      <c r="AO42">
        <v>118</v>
      </c>
      <c r="AP42">
        <v>82</v>
      </c>
      <c r="AQ42">
        <v>114</v>
      </c>
      <c r="AR42">
        <v>167</v>
      </c>
      <c r="AS42">
        <v>190</v>
      </c>
      <c r="BA42">
        <v>10423</v>
      </c>
      <c r="BB42">
        <v>151502</v>
      </c>
      <c r="BC42">
        <v>16411</v>
      </c>
    </row>
    <row r="43" spans="2:55">
      <c r="B43" t="s">
        <v>24</v>
      </c>
      <c r="AG43">
        <v>665</v>
      </c>
      <c r="AH43">
        <v>692</v>
      </c>
      <c r="AI43">
        <v>721</v>
      </c>
      <c r="AJ43">
        <v>615</v>
      </c>
      <c r="AK43">
        <v>350</v>
      </c>
      <c r="AL43">
        <v>767</v>
      </c>
      <c r="AM43">
        <v>361</v>
      </c>
      <c r="AN43">
        <v>695</v>
      </c>
      <c r="AO43">
        <v>952</v>
      </c>
      <c r="AP43">
        <v>893</v>
      </c>
      <c r="AQ43">
        <v>1225</v>
      </c>
      <c r="AR43">
        <v>857</v>
      </c>
      <c r="AS43">
        <v>1657</v>
      </c>
      <c r="AZ43">
        <v>9066</v>
      </c>
      <c r="BA43">
        <v>6766478</v>
      </c>
      <c r="BB43">
        <v>2710386</v>
      </c>
      <c r="BC43">
        <v>1714417</v>
      </c>
    </row>
    <row r="44" spans="2:55">
      <c r="B44" t="s">
        <v>25</v>
      </c>
      <c r="AQ44">
        <v>426</v>
      </c>
      <c r="AR44">
        <v>339</v>
      </c>
      <c r="AS44">
        <v>194</v>
      </c>
      <c r="BA44">
        <v>8095</v>
      </c>
      <c r="BB44">
        <v>17412</v>
      </c>
      <c r="BC44">
        <v>45704</v>
      </c>
    </row>
    <row r="45" spans="2:55">
      <c r="B45" t="s">
        <v>26</v>
      </c>
      <c r="AQ45">
        <v>309</v>
      </c>
      <c r="AR45">
        <v>923</v>
      </c>
      <c r="AS45">
        <v>2124</v>
      </c>
      <c r="AZ45">
        <v>33123</v>
      </c>
      <c r="BA45">
        <v>15108</v>
      </c>
      <c r="BB45">
        <v>2111</v>
      </c>
      <c r="BC45">
        <v>73642</v>
      </c>
    </row>
    <row r="46" spans="2:55">
      <c r="B46" t="s">
        <v>27</v>
      </c>
      <c r="AQ46">
        <v>2256</v>
      </c>
      <c r="AR46">
        <v>2917</v>
      </c>
      <c r="AS46">
        <v>1649</v>
      </c>
      <c r="AZ46">
        <v>105972</v>
      </c>
      <c r="BA46">
        <v>357062</v>
      </c>
      <c r="BB46">
        <v>158443</v>
      </c>
      <c r="BC46">
        <v>6159079</v>
      </c>
    </row>
    <row r="47" spans="2:55">
      <c r="B47" t="s">
        <v>125</v>
      </c>
      <c r="AS47">
        <v>1087</v>
      </c>
      <c r="BB47">
        <v>109851</v>
      </c>
      <c r="BC47">
        <v>646214</v>
      </c>
    </row>
    <row r="48" spans="2:55">
      <c r="B48" t="s">
        <v>28</v>
      </c>
      <c r="C48" t="s">
        <v>121</v>
      </c>
      <c r="AG48">
        <v>1847</v>
      </c>
      <c r="AH48">
        <v>1617</v>
      </c>
      <c r="AI48">
        <v>1096</v>
      </c>
      <c r="AJ48">
        <v>1450</v>
      </c>
      <c r="AK48">
        <v>787</v>
      </c>
      <c r="AL48">
        <v>330</v>
      </c>
      <c r="AM48">
        <v>933</v>
      </c>
      <c r="AN48">
        <v>1381</v>
      </c>
      <c r="AO48">
        <v>2613</v>
      </c>
      <c r="AP48">
        <v>4690</v>
      </c>
      <c r="AQ48">
        <v>2938</v>
      </c>
      <c r="AR48">
        <v>2496</v>
      </c>
      <c r="AS48">
        <v>693</v>
      </c>
      <c r="BA48">
        <v>78230</v>
      </c>
      <c r="BB48">
        <v>130282</v>
      </c>
      <c r="BC48">
        <v>12033</v>
      </c>
    </row>
    <row r="49" spans="2:55">
      <c r="B49" t="s">
        <v>29</v>
      </c>
      <c r="C49" t="s">
        <v>122</v>
      </c>
      <c r="AG49">
        <v>201363</v>
      </c>
      <c r="AH49">
        <v>165278</v>
      </c>
      <c r="AI49">
        <v>141545</v>
      </c>
      <c r="AJ49">
        <v>87923</v>
      </c>
      <c r="AK49">
        <v>65587</v>
      </c>
      <c r="AL49">
        <v>54516</v>
      </c>
      <c r="AM49">
        <v>55654</v>
      </c>
      <c r="AN49">
        <v>63704</v>
      </c>
      <c r="AO49">
        <v>95260</v>
      </c>
      <c r="AP49">
        <v>177859</v>
      </c>
      <c r="AQ49">
        <v>89295</v>
      </c>
      <c r="AR49">
        <v>146932</v>
      </c>
      <c r="AS49">
        <v>293609</v>
      </c>
      <c r="AZ49">
        <v>60880408</v>
      </c>
      <c r="BA49">
        <v>182558618</v>
      </c>
      <c r="BB49">
        <v>234393310</v>
      </c>
      <c r="BC49">
        <v>505543797</v>
      </c>
    </row>
    <row r="50" spans="2:55">
      <c r="B50" t="s">
        <v>72</v>
      </c>
    </row>
    <row r="51" spans="2:55">
      <c r="B51" t="s">
        <v>123</v>
      </c>
      <c r="AG51">
        <v>14</v>
      </c>
      <c r="AH51">
        <v>73</v>
      </c>
      <c r="AI51">
        <v>131</v>
      </c>
      <c r="AJ51">
        <v>24</v>
      </c>
      <c r="AK51">
        <v>89</v>
      </c>
      <c r="AL51">
        <v>54</v>
      </c>
      <c r="AM51">
        <v>215</v>
      </c>
      <c r="AN51">
        <v>787</v>
      </c>
      <c r="AO51">
        <v>2455</v>
      </c>
      <c r="AP51">
        <v>1177</v>
      </c>
      <c r="AQ51">
        <v>264</v>
      </c>
      <c r="AR51">
        <v>258</v>
      </c>
      <c r="AS51">
        <v>473</v>
      </c>
      <c r="AZ51">
        <v>500</v>
      </c>
      <c r="BA51">
        <v>223835</v>
      </c>
      <c r="BB51">
        <v>308554</v>
      </c>
      <c r="BC51">
        <v>300713</v>
      </c>
    </row>
    <row r="52" spans="2:55">
      <c r="B52" t="s">
        <v>73</v>
      </c>
    </row>
    <row r="53" spans="2:55">
      <c r="B53" t="s">
        <v>74</v>
      </c>
    </row>
    <row r="54" spans="2:55">
      <c r="B54" t="s">
        <v>149</v>
      </c>
      <c r="C54" t="s">
        <v>152</v>
      </c>
      <c r="AL54">
        <v>29</v>
      </c>
      <c r="AN54">
        <v>91</v>
      </c>
      <c r="AO54">
        <v>70</v>
      </c>
      <c r="AP54">
        <v>54</v>
      </c>
      <c r="BA54">
        <v>428055</v>
      </c>
      <c r="BB54">
        <v>749525</v>
      </c>
      <c r="BC54">
        <v>1155818</v>
      </c>
    </row>
    <row r="55" spans="2:55">
      <c r="B55" t="s">
        <v>150</v>
      </c>
    </row>
    <row r="56" spans="2:55">
      <c r="B56" t="s">
        <v>151</v>
      </c>
      <c r="BA56">
        <v>6636</v>
      </c>
      <c r="BB56">
        <v>10023</v>
      </c>
      <c r="BC56">
        <v>65296</v>
      </c>
    </row>
    <row r="57" spans="2:55">
      <c r="B57" t="s">
        <v>163</v>
      </c>
    </row>
    <row r="58" spans="2:55">
      <c r="B58" t="s">
        <v>155</v>
      </c>
      <c r="BC58">
        <v>1490322</v>
      </c>
    </row>
    <row r="59" spans="2:55">
      <c r="B59" t="s">
        <v>146</v>
      </c>
      <c r="AG59">
        <v>16</v>
      </c>
      <c r="AH59">
        <v>3</v>
      </c>
      <c r="AI59">
        <v>15</v>
      </c>
      <c r="AJ59">
        <v>15</v>
      </c>
      <c r="AK59">
        <v>13</v>
      </c>
      <c r="AL59">
        <v>67</v>
      </c>
      <c r="AM59">
        <v>15</v>
      </c>
      <c r="AN59">
        <v>7</v>
      </c>
      <c r="AO59">
        <v>855</v>
      </c>
      <c r="AP59">
        <v>1003</v>
      </c>
      <c r="AQ59">
        <v>2292</v>
      </c>
      <c r="AR59">
        <v>1485</v>
      </c>
      <c r="AS59">
        <v>306</v>
      </c>
      <c r="BA59">
        <v>42633</v>
      </c>
    </row>
    <row r="60" spans="2:55">
      <c r="B60" t="s">
        <v>156</v>
      </c>
      <c r="BB60">
        <v>45334</v>
      </c>
    </row>
    <row r="61" spans="2:55">
      <c r="B61" t="s">
        <v>30</v>
      </c>
      <c r="C61" t="s">
        <v>124</v>
      </c>
      <c r="AG61">
        <v>15</v>
      </c>
      <c r="AH61">
        <v>43</v>
      </c>
      <c r="AI61">
        <v>27</v>
      </c>
      <c r="AJ61">
        <v>6</v>
      </c>
      <c r="AK61">
        <v>8</v>
      </c>
      <c r="AL61">
        <v>6</v>
      </c>
      <c r="AM61">
        <v>9</v>
      </c>
      <c r="AN61">
        <v>66</v>
      </c>
      <c r="AO61">
        <v>59</v>
      </c>
      <c r="AP61">
        <v>172</v>
      </c>
      <c r="AQ61">
        <v>190</v>
      </c>
      <c r="AR61">
        <v>215</v>
      </c>
      <c r="AS61">
        <v>563</v>
      </c>
      <c r="AZ61">
        <v>8918</v>
      </c>
    </row>
    <row r="62" spans="2:55">
      <c r="B62" t="s">
        <v>31</v>
      </c>
      <c r="C62" t="s">
        <v>127</v>
      </c>
      <c r="AG62">
        <v>3896</v>
      </c>
      <c r="AH62">
        <v>4246</v>
      </c>
      <c r="AI62">
        <v>5883</v>
      </c>
      <c r="AJ62">
        <v>1218</v>
      </c>
      <c r="AK62">
        <v>568</v>
      </c>
      <c r="AL62">
        <v>613</v>
      </c>
      <c r="AM62">
        <v>951</v>
      </c>
      <c r="AN62">
        <v>742</v>
      </c>
      <c r="AO62">
        <v>889</v>
      </c>
      <c r="AP62">
        <v>1088</v>
      </c>
      <c r="AQ62">
        <v>1407</v>
      </c>
      <c r="AR62">
        <v>2356</v>
      </c>
      <c r="AS62">
        <v>932</v>
      </c>
    </row>
    <row r="63" spans="2:55">
      <c r="B63" t="s">
        <v>94</v>
      </c>
      <c r="AZ63">
        <v>46586</v>
      </c>
      <c r="BA63">
        <v>758734</v>
      </c>
    </row>
    <row r="64" spans="2:55">
      <c r="B64" t="s">
        <v>95</v>
      </c>
      <c r="AZ64">
        <v>72448</v>
      </c>
      <c r="BA64">
        <v>5564</v>
      </c>
      <c r="BB64">
        <v>613330</v>
      </c>
      <c r="BC64">
        <v>24331</v>
      </c>
    </row>
    <row r="65" spans="2:55">
      <c r="B65" t="s">
        <v>164</v>
      </c>
      <c r="BB65">
        <v>1413785</v>
      </c>
      <c r="BC65">
        <v>273353</v>
      </c>
    </row>
    <row r="66" spans="2:55">
      <c r="B66" t="s">
        <v>165</v>
      </c>
    </row>
    <row r="67" spans="2:55">
      <c r="B67" t="s">
        <v>157</v>
      </c>
      <c r="BB67">
        <v>1350513</v>
      </c>
      <c r="BC67">
        <v>1344942</v>
      </c>
    </row>
    <row r="68" spans="2:55">
      <c r="B68" t="s">
        <v>179</v>
      </c>
      <c r="BB68">
        <v>326634</v>
      </c>
    </row>
    <row r="69" spans="2:55">
      <c r="B69" t="s">
        <v>180</v>
      </c>
      <c r="BB69">
        <v>85091</v>
      </c>
    </row>
    <row r="70" spans="2:55">
      <c r="B70" t="s">
        <v>98</v>
      </c>
    </row>
    <row r="71" spans="2:55">
      <c r="B71" t="s">
        <v>64</v>
      </c>
      <c r="AG71">
        <v>63</v>
      </c>
      <c r="AH71">
        <v>57</v>
      </c>
      <c r="AI71">
        <v>56</v>
      </c>
      <c r="AJ71">
        <v>30</v>
      </c>
      <c r="AK71">
        <v>21</v>
      </c>
      <c r="AL71">
        <v>22</v>
      </c>
      <c r="AM71">
        <v>22</v>
      </c>
      <c r="AN71">
        <v>39</v>
      </c>
      <c r="AO71">
        <v>91</v>
      </c>
      <c r="AP71">
        <v>389</v>
      </c>
      <c r="AQ71">
        <v>202</v>
      </c>
      <c r="AR71">
        <v>152</v>
      </c>
      <c r="AS71">
        <v>191</v>
      </c>
      <c r="AZ71">
        <v>929142</v>
      </c>
      <c r="BA71">
        <v>85786</v>
      </c>
      <c r="BB71">
        <v>8754</v>
      </c>
      <c r="BC71">
        <v>56072</v>
      </c>
    </row>
    <row r="72" spans="2:55">
      <c r="B72" t="s">
        <v>65</v>
      </c>
      <c r="AG72">
        <v>2156</v>
      </c>
      <c r="AH72">
        <v>2177</v>
      </c>
      <c r="AI72">
        <v>2652</v>
      </c>
      <c r="AJ72">
        <v>3287</v>
      </c>
      <c r="AK72">
        <v>1104</v>
      </c>
      <c r="AL72">
        <v>1633</v>
      </c>
      <c r="AM72">
        <v>1401</v>
      </c>
      <c r="AN72">
        <v>1453</v>
      </c>
      <c r="AO72">
        <v>2967</v>
      </c>
    </row>
    <row r="73" spans="2:55">
      <c r="B73" t="s">
        <v>82</v>
      </c>
    </row>
    <row r="74" spans="2:55">
      <c r="B74" t="s">
        <v>32</v>
      </c>
      <c r="C74" t="s">
        <v>185</v>
      </c>
      <c r="AK74">
        <v>8740</v>
      </c>
      <c r="AL74">
        <v>5003</v>
      </c>
      <c r="AM74">
        <v>3957</v>
      </c>
      <c r="AN74">
        <v>4124</v>
      </c>
      <c r="AO74">
        <v>3510</v>
      </c>
      <c r="AP74">
        <v>4066</v>
      </c>
      <c r="AQ74">
        <v>3735</v>
      </c>
      <c r="AR74">
        <v>7195</v>
      </c>
      <c r="AS74">
        <v>6071</v>
      </c>
      <c r="BA74">
        <v>1389839</v>
      </c>
      <c r="BB74">
        <v>1082316</v>
      </c>
      <c r="BC74">
        <v>856221</v>
      </c>
    </row>
    <row r="75" spans="2:55">
      <c r="B75" t="s">
        <v>33</v>
      </c>
      <c r="AG75">
        <v>175466</v>
      </c>
      <c r="AH75">
        <v>143595</v>
      </c>
      <c r="AI75">
        <v>132841</v>
      </c>
      <c r="AJ75">
        <v>58146</v>
      </c>
      <c r="AK75">
        <v>29593</v>
      </c>
      <c r="AL75">
        <v>19214</v>
      </c>
      <c r="AM75">
        <v>15641</v>
      </c>
      <c r="AN75">
        <v>13522</v>
      </c>
      <c r="AO75">
        <v>4099</v>
      </c>
      <c r="AP75">
        <v>6175</v>
      </c>
      <c r="AQ75">
        <v>5088</v>
      </c>
      <c r="AR75">
        <v>23413</v>
      </c>
      <c r="AS75">
        <v>11479</v>
      </c>
      <c r="AZ75">
        <v>162794</v>
      </c>
      <c r="BA75">
        <v>1682445</v>
      </c>
      <c r="BB75">
        <v>6361148</v>
      </c>
      <c r="BC75">
        <v>9232666</v>
      </c>
    </row>
    <row r="76" spans="2:55">
      <c r="B76" t="s">
        <v>158</v>
      </c>
      <c r="BB76">
        <v>212395</v>
      </c>
      <c r="BC76">
        <v>1779479</v>
      </c>
    </row>
    <row r="77" spans="2:55">
      <c r="B77" t="s">
        <v>126</v>
      </c>
      <c r="AQ77">
        <v>106</v>
      </c>
      <c r="AR77">
        <v>529</v>
      </c>
      <c r="AS77">
        <v>1857</v>
      </c>
      <c r="BA77">
        <v>524996</v>
      </c>
      <c r="BB77">
        <v>2445726</v>
      </c>
      <c r="BC77">
        <v>320658</v>
      </c>
    </row>
    <row r="78" spans="2:55">
      <c r="B78" t="s">
        <v>34</v>
      </c>
      <c r="C78" t="s">
        <v>129</v>
      </c>
      <c r="AG78">
        <v>7127</v>
      </c>
      <c r="AH78">
        <v>6354</v>
      </c>
      <c r="AI78">
        <v>6979</v>
      </c>
      <c r="AJ78">
        <v>4717</v>
      </c>
      <c r="AK78">
        <v>2964</v>
      </c>
      <c r="AL78">
        <v>2936</v>
      </c>
      <c r="AM78">
        <v>1993</v>
      </c>
      <c r="AN78">
        <v>1989</v>
      </c>
      <c r="AO78">
        <v>1879</v>
      </c>
      <c r="AP78">
        <v>2636</v>
      </c>
      <c r="AQ78">
        <v>2739</v>
      </c>
      <c r="AR78">
        <v>3123</v>
      </c>
      <c r="AS78">
        <v>2876</v>
      </c>
      <c r="AZ78">
        <v>312969</v>
      </c>
      <c r="BA78">
        <v>3191455</v>
      </c>
      <c r="BB78">
        <v>9429737</v>
      </c>
      <c r="BC78">
        <v>12501826</v>
      </c>
    </row>
    <row r="79" spans="2:55">
      <c r="B79" t="s">
        <v>35</v>
      </c>
      <c r="C79" t="s">
        <v>130</v>
      </c>
      <c r="AG79">
        <v>3469</v>
      </c>
      <c r="AH79">
        <v>5418</v>
      </c>
      <c r="AI79">
        <v>5001</v>
      </c>
      <c r="AJ79">
        <v>4614</v>
      </c>
      <c r="AK79">
        <v>3145</v>
      </c>
      <c r="AL79">
        <v>2227</v>
      </c>
      <c r="AM79">
        <v>1781</v>
      </c>
      <c r="AN79">
        <v>1484</v>
      </c>
      <c r="AO79">
        <v>2342</v>
      </c>
      <c r="AP79">
        <v>3473</v>
      </c>
      <c r="AQ79">
        <v>3470</v>
      </c>
      <c r="AR79">
        <v>3713</v>
      </c>
      <c r="AS79">
        <v>5768</v>
      </c>
      <c r="AZ79">
        <v>4177371</v>
      </c>
      <c r="BA79">
        <v>14111200</v>
      </c>
      <c r="BB79">
        <v>26450102</v>
      </c>
      <c r="BC79">
        <v>28016208</v>
      </c>
    </row>
    <row r="80" spans="2:55">
      <c r="B80" t="s">
        <v>36</v>
      </c>
      <c r="AG80">
        <v>22686</v>
      </c>
      <c r="AH80">
        <v>21975</v>
      </c>
      <c r="AI80">
        <v>16965</v>
      </c>
      <c r="AJ80">
        <v>10141</v>
      </c>
      <c r="AK80">
        <v>5928</v>
      </c>
      <c r="AL80">
        <v>5255</v>
      </c>
      <c r="AM80">
        <v>6631</v>
      </c>
      <c r="AN80">
        <v>5856</v>
      </c>
      <c r="AO80">
        <v>6902</v>
      </c>
      <c r="AP80">
        <v>11719</v>
      </c>
      <c r="AQ80">
        <v>7570</v>
      </c>
      <c r="AR80">
        <v>19328</v>
      </c>
      <c r="AS80">
        <v>12686</v>
      </c>
      <c r="AZ80">
        <v>566998</v>
      </c>
      <c r="BA80">
        <v>8339504</v>
      </c>
      <c r="BB80">
        <v>11053685</v>
      </c>
      <c r="BC80">
        <v>67758447</v>
      </c>
    </row>
    <row r="81" spans="2:55">
      <c r="B81" t="s">
        <v>37</v>
      </c>
      <c r="AG81">
        <v>304138</v>
      </c>
      <c r="AH81">
        <v>302968</v>
      </c>
      <c r="AI81">
        <v>246012</v>
      </c>
      <c r="AJ81">
        <v>141090</v>
      </c>
      <c r="AK81">
        <v>90091</v>
      </c>
      <c r="AL81">
        <v>78758</v>
      </c>
      <c r="AM81">
        <v>89814</v>
      </c>
      <c r="AN81">
        <v>66620</v>
      </c>
      <c r="AO81">
        <v>65252</v>
      </c>
      <c r="AP81">
        <v>179043</v>
      </c>
      <c r="AQ81">
        <v>109229</v>
      </c>
      <c r="AR81">
        <v>125048</v>
      </c>
      <c r="AS81">
        <v>185816</v>
      </c>
      <c r="AZ81">
        <v>68368664</v>
      </c>
      <c r="BA81">
        <v>176397968</v>
      </c>
      <c r="BB81">
        <v>321662027</v>
      </c>
      <c r="BC81">
        <v>990145835</v>
      </c>
    </row>
    <row r="82" spans="2:55">
      <c r="B82" t="s">
        <v>38</v>
      </c>
      <c r="C82" t="s">
        <v>139</v>
      </c>
      <c r="AG82">
        <v>3314</v>
      </c>
      <c r="AH82">
        <v>3405</v>
      </c>
      <c r="AI82">
        <v>2493</v>
      </c>
      <c r="AJ82">
        <v>2208</v>
      </c>
      <c r="AK82">
        <v>1187</v>
      </c>
      <c r="AL82">
        <v>1688</v>
      </c>
      <c r="AM82">
        <v>1189</v>
      </c>
      <c r="AN82">
        <v>881</v>
      </c>
      <c r="AO82">
        <v>1076</v>
      </c>
      <c r="AP82">
        <v>1969</v>
      </c>
      <c r="AQ82">
        <v>1927</v>
      </c>
      <c r="AR82">
        <v>3778</v>
      </c>
      <c r="AS82">
        <v>1860</v>
      </c>
      <c r="AZ82">
        <v>849622</v>
      </c>
      <c r="BA82">
        <v>1881733</v>
      </c>
      <c r="BB82">
        <v>9841552</v>
      </c>
      <c r="BC82">
        <v>23479278</v>
      </c>
    </row>
    <row r="83" spans="2:55">
      <c r="B83" t="s">
        <v>138</v>
      </c>
      <c r="AS83">
        <v>192</v>
      </c>
      <c r="BA83">
        <v>75842</v>
      </c>
      <c r="BB83">
        <v>171286</v>
      </c>
    </row>
    <row r="84" spans="2:55">
      <c r="B84" t="s">
        <v>39</v>
      </c>
      <c r="AG84">
        <v>50542</v>
      </c>
      <c r="AH84">
        <v>45332</v>
      </c>
      <c r="AI84">
        <v>51412</v>
      </c>
      <c r="AJ84">
        <v>37767</v>
      </c>
      <c r="AK84">
        <v>23477</v>
      </c>
      <c r="AL84">
        <v>16908</v>
      </c>
      <c r="AM84">
        <v>14310</v>
      </c>
      <c r="AN84">
        <v>8795</v>
      </c>
      <c r="AO84">
        <v>12790</v>
      </c>
      <c r="AP84">
        <v>15504</v>
      </c>
      <c r="AQ84">
        <v>13294</v>
      </c>
      <c r="AR84">
        <v>13432</v>
      </c>
      <c r="AS84">
        <v>18106</v>
      </c>
      <c r="AZ84">
        <v>6928894</v>
      </c>
      <c r="BA84">
        <v>19541749</v>
      </c>
      <c r="BB84">
        <v>12528926</v>
      </c>
      <c r="BC84">
        <v>14777840</v>
      </c>
    </row>
    <row r="85" spans="2:55">
      <c r="B85" t="s">
        <v>40</v>
      </c>
      <c r="C85" t="s">
        <v>131</v>
      </c>
      <c r="AG85">
        <v>60489</v>
      </c>
      <c r="AH85">
        <v>55222</v>
      </c>
      <c r="AI85">
        <v>43788</v>
      </c>
      <c r="AJ85">
        <v>23491</v>
      </c>
      <c r="AK85">
        <v>14318</v>
      </c>
      <c r="AL85">
        <v>14940</v>
      </c>
      <c r="AM85">
        <v>9944</v>
      </c>
      <c r="AN85">
        <v>8925</v>
      </c>
      <c r="AO85">
        <v>9704</v>
      </c>
      <c r="AP85">
        <v>13458</v>
      </c>
      <c r="AQ85">
        <v>9709</v>
      </c>
      <c r="AR85">
        <v>9817</v>
      </c>
      <c r="AS85">
        <v>16098</v>
      </c>
      <c r="AZ85">
        <v>1050622</v>
      </c>
      <c r="BA85">
        <v>4187049</v>
      </c>
      <c r="BB85">
        <v>106019</v>
      </c>
      <c r="BC85">
        <v>104203</v>
      </c>
    </row>
    <row r="86" spans="2:55">
      <c r="B86" t="s">
        <v>148</v>
      </c>
      <c r="AZ86">
        <v>41812</v>
      </c>
      <c r="BA86">
        <v>149452</v>
      </c>
      <c r="BC86">
        <v>28638</v>
      </c>
    </row>
    <row r="87" spans="2:55">
      <c r="B87" t="s">
        <v>88</v>
      </c>
      <c r="C87" t="s">
        <v>133</v>
      </c>
      <c r="AP87">
        <v>2322</v>
      </c>
      <c r="AQ87">
        <v>667</v>
      </c>
      <c r="AR87">
        <v>4121</v>
      </c>
      <c r="AS87">
        <v>848</v>
      </c>
    </row>
    <row r="88" spans="2:55">
      <c r="B88" t="s">
        <v>89</v>
      </c>
      <c r="AP88">
        <v>2017</v>
      </c>
      <c r="AQ88">
        <v>546</v>
      </c>
      <c r="AR88">
        <v>521</v>
      </c>
      <c r="AS88">
        <v>389</v>
      </c>
      <c r="BA88">
        <v>1421909</v>
      </c>
      <c r="BC88">
        <v>421026</v>
      </c>
    </row>
    <row r="89" spans="2:55">
      <c r="B89" t="s">
        <v>96</v>
      </c>
    </row>
    <row r="90" spans="2:55">
      <c r="B90" t="s">
        <v>41</v>
      </c>
      <c r="AG90">
        <v>4669</v>
      </c>
      <c r="AH90">
        <v>4777</v>
      </c>
      <c r="AI90">
        <v>4030</v>
      </c>
      <c r="AJ90">
        <v>902</v>
      </c>
      <c r="AK90">
        <v>843</v>
      </c>
      <c r="AL90">
        <v>1887</v>
      </c>
      <c r="AM90">
        <v>1334</v>
      </c>
      <c r="AN90">
        <v>1928</v>
      </c>
      <c r="AO90">
        <v>3185</v>
      </c>
    </row>
    <row r="91" spans="2:55">
      <c r="B91" t="s">
        <v>42</v>
      </c>
      <c r="AJ91">
        <v>214</v>
      </c>
      <c r="AK91">
        <v>823</v>
      </c>
      <c r="AL91">
        <v>1158</v>
      </c>
      <c r="AM91">
        <v>1027</v>
      </c>
      <c r="AN91">
        <v>283</v>
      </c>
      <c r="AO91">
        <v>190</v>
      </c>
      <c r="AP91">
        <v>304</v>
      </c>
      <c r="AQ91">
        <v>332</v>
      </c>
      <c r="AR91">
        <v>546</v>
      </c>
      <c r="AS91">
        <v>417</v>
      </c>
      <c r="AZ91">
        <v>40715</v>
      </c>
      <c r="BA91">
        <v>57620</v>
      </c>
    </row>
    <row r="92" spans="2:55">
      <c r="B92" t="s">
        <v>43</v>
      </c>
      <c r="C92" t="s">
        <v>132</v>
      </c>
      <c r="AG92">
        <v>57178</v>
      </c>
      <c r="AH92">
        <v>47974</v>
      </c>
      <c r="AI92">
        <v>46233</v>
      </c>
      <c r="AJ92">
        <v>32837</v>
      </c>
      <c r="AK92">
        <v>22834</v>
      </c>
      <c r="AL92">
        <v>21612</v>
      </c>
      <c r="AM92">
        <v>18400</v>
      </c>
      <c r="AN92">
        <v>23970</v>
      </c>
      <c r="AO92">
        <v>30098</v>
      </c>
      <c r="AP92">
        <v>42345</v>
      </c>
      <c r="AQ92">
        <v>20649</v>
      </c>
      <c r="AR92">
        <v>24699</v>
      </c>
      <c r="AS92">
        <v>50398</v>
      </c>
      <c r="AZ92">
        <v>4574686</v>
      </c>
      <c r="BA92">
        <v>25426271</v>
      </c>
      <c r="BB92">
        <v>33534330</v>
      </c>
      <c r="BC92">
        <v>40952996</v>
      </c>
    </row>
    <row r="93" spans="2:55">
      <c r="B93" t="s">
        <v>44</v>
      </c>
      <c r="AG93">
        <v>5982</v>
      </c>
      <c r="AH93">
        <v>7297</v>
      </c>
      <c r="AI93">
        <v>7253</v>
      </c>
      <c r="AJ93">
        <v>5726</v>
      </c>
      <c r="AK93">
        <v>3541</v>
      </c>
      <c r="AL93">
        <v>2988</v>
      </c>
      <c r="AM93">
        <v>2386</v>
      </c>
      <c r="AN93">
        <v>2524</v>
      </c>
      <c r="AO93">
        <v>2415</v>
      </c>
      <c r="AP93">
        <v>6152</v>
      </c>
      <c r="AQ93">
        <v>5945</v>
      </c>
      <c r="AR93">
        <v>4797</v>
      </c>
      <c r="AS93">
        <v>6290</v>
      </c>
      <c r="AZ93">
        <v>1012360</v>
      </c>
      <c r="BA93">
        <v>9218121</v>
      </c>
      <c r="BB93">
        <v>12651934</v>
      </c>
      <c r="BC93">
        <v>19304700</v>
      </c>
    </row>
    <row r="94" spans="2:55">
      <c r="B94" t="s">
        <v>45</v>
      </c>
      <c r="C94" t="s">
        <v>134</v>
      </c>
      <c r="AG94">
        <v>352</v>
      </c>
      <c r="AH94">
        <v>539</v>
      </c>
      <c r="AI94">
        <v>572</v>
      </c>
      <c r="AJ94">
        <v>894</v>
      </c>
      <c r="AK94">
        <v>350</v>
      </c>
      <c r="AL94">
        <v>560</v>
      </c>
      <c r="AM94">
        <v>134</v>
      </c>
      <c r="AN94">
        <v>246</v>
      </c>
      <c r="AO94">
        <v>370</v>
      </c>
      <c r="AP94">
        <v>1250</v>
      </c>
      <c r="AQ94">
        <v>565</v>
      </c>
      <c r="AR94">
        <v>404</v>
      </c>
      <c r="AS94">
        <v>344</v>
      </c>
      <c r="AZ94">
        <v>175118</v>
      </c>
      <c r="BA94">
        <v>403843</v>
      </c>
      <c r="BB94">
        <v>874270</v>
      </c>
      <c r="BC94">
        <v>803029</v>
      </c>
    </row>
    <row r="95" spans="2:55">
      <c r="B95" t="s">
        <v>46</v>
      </c>
      <c r="AG95">
        <v>451</v>
      </c>
      <c r="AH95">
        <v>385</v>
      </c>
      <c r="AI95">
        <v>223</v>
      </c>
      <c r="AJ95">
        <v>221</v>
      </c>
      <c r="AK95">
        <v>217</v>
      </c>
      <c r="AL95">
        <v>144</v>
      </c>
      <c r="AM95">
        <v>68</v>
      </c>
      <c r="AN95">
        <v>53</v>
      </c>
      <c r="AO95">
        <v>46</v>
      </c>
      <c r="AP95">
        <v>70</v>
      </c>
      <c r="AZ95">
        <v>22305</v>
      </c>
      <c r="BA95">
        <v>122674</v>
      </c>
      <c r="BB95">
        <v>208303</v>
      </c>
      <c r="BC95">
        <v>197770</v>
      </c>
    </row>
    <row r="96" spans="2:55">
      <c r="B96" t="s">
        <v>47</v>
      </c>
    </row>
    <row r="97" spans="2:56">
      <c r="B97" t="s">
        <v>135</v>
      </c>
      <c r="AP97">
        <v>2542</v>
      </c>
      <c r="AQ97">
        <v>2506</v>
      </c>
      <c r="AR97">
        <v>3430</v>
      </c>
      <c r="AS97">
        <v>4250</v>
      </c>
      <c r="AZ97">
        <v>53745</v>
      </c>
      <c r="BA97">
        <v>611640</v>
      </c>
      <c r="BB97">
        <v>740333</v>
      </c>
      <c r="BC97">
        <v>4796585</v>
      </c>
    </row>
    <row r="98" spans="2:56">
      <c r="B98" t="s">
        <v>136</v>
      </c>
      <c r="AP98">
        <v>911</v>
      </c>
      <c r="AQ98">
        <v>2176</v>
      </c>
      <c r="AR98">
        <v>5996</v>
      </c>
      <c r="AS98">
        <v>5656</v>
      </c>
      <c r="AZ98">
        <v>644786</v>
      </c>
      <c r="BA98">
        <v>327102</v>
      </c>
      <c r="BB98">
        <v>627855</v>
      </c>
      <c r="BC98">
        <v>383807</v>
      </c>
    </row>
    <row r="99" spans="2:56">
      <c r="B99" t="s">
        <v>166</v>
      </c>
      <c r="AP99">
        <v>156</v>
      </c>
      <c r="AQ99">
        <v>60</v>
      </c>
      <c r="AR99">
        <v>3693</v>
      </c>
      <c r="AS99">
        <v>439</v>
      </c>
    </row>
    <row r="100" spans="2:56">
      <c r="B100" t="s">
        <v>48</v>
      </c>
      <c r="AQ100">
        <v>92</v>
      </c>
      <c r="AR100">
        <v>82</v>
      </c>
      <c r="AS100">
        <v>70</v>
      </c>
      <c r="BB100">
        <v>731</v>
      </c>
      <c r="BC100">
        <v>58</v>
      </c>
      <c r="BD100">
        <f>SUM(BB64:BB100)</f>
        <v>453780782</v>
      </c>
    </row>
    <row r="101" spans="2:56">
      <c r="B101" t="s">
        <v>49</v>
      </c>
      <c r="C101" t="s">
        <v>190</v>
      </c>
      <c r="AG101">
        <v>50584</v>
      </c>
      <c r="AH101">
        <v>37144</v>
      </c>
      <c r="AI101">
        <v>28620</v>
      </c>
      <c r="AJ101">
        <v>17259</v>
      </c>
      <c r="AK101">
        <v>13377</v>
      </c>
      <c r="AL101">
        <v>13551</v>
      </c>
      <c r="AM101">
        <v>19008</v>
      </c>
      <c r="AN101">
        <v>17530</v>
      </c>
      <c r="AO101">
        <v>21537</v>
      </c>
      <c r="AP101">
        <v>29531</v>
      </c>
      <c r="AQ101">
        <v>28469</v>
      </c>
      <c r="AR101">
        <v>34313</v>
      </c>
      <c r="AS101">
        <v>32337</v>
      </c>
      <c r="AZ101">
        <v>2419197</v>
      </c>
      <c r="BA101">
        <v>9675917</v>
      </c>
      <c r="BB101">
        <v>21312156</v>
      </c>
      <c r="BC101">
        <v>51678697</v>
      </c>
    </row>
    <row r="102" spans="2:56">
      <c r="B102" t="s">
        <v>50</v>
      </c>
      <c r="AG102">
        <v>181</v>
      </c>
      <c r="AH102">
        <v>234</v>
      </c>
      <c r="AI102">
        <v>218</v>
      </c>
      <c r="AJ102">
        <v>175</v>
      </c>
      <c r="AK102">
        <v>138</v>
      </c>
      <c r="AL102">
        <v>112</v>
      </c>
      <c r="AM102">
        <v>177</v>
      </c>
      <c r="AN102">
        <v>147</v>
      </c>
      <c r="AO102">
        <v>143</v>
      </c>
      <c r="AP102">
        <v>284</v>
      </c>
      <c r="AQ102">
        <v>265</v>
      </c>
      <c r="AR102">
        <v>466</v>
      </c>
      <c r="AS102">
        <v>680</v>
      </c>
    </row>
    <row r="103" spans="2:56">
      <c r="B103" t="s">
        <v>167</v>
      </c>
      <c r="BB103">
        <v>246</v>
      </c>
      <c r="BC103">
        <v>961023</v>
      </c>
    </row>
    <row r="104" spans="2:56">
      <c r="B104" t="s">
        <v>51</v>
      </c>
      <c r="C104" t="s">
        <v>137</v>
      </c>
      <c r="AJ104">
        <v>6241</v>
      </c>
      <c r="AK104">
        <v>4448</v>
      </c>
      <c r="AL104">
        <v>4309</v>
      </c>
      <c r="AM104">
        <v>4636</v>
      </c>
      <c r="AN104">
        <v>4026</v>
      </c>
      <c r="AO104">
        <v>3988</v>
      </c>
      <c r="AP104">
        <v>7809</v>
      </c>
      <c r="AQ104">
        <v>7548</v>
      </c>
      <c r="AR104">
        <v>7089</v>
      </c>
      <c r="AS104">
        <v>4836</v>
      </c>
      <c r="BA104">
        <v>2350495</v>
      </c>
      <c r="BB104">
        <v>4251598</v>
      </c>
      <c r="BC104">
        <v>12363367</v>
      </c>
    </row>
    <row r="105" spans="2:56">
      <c r="B105" t="s">
        <v>90</v>
      </c>
    </row>
    <row r="106" spans="2:56">
      <c r="B106" t="s">
        <v>92</v>
      </c>
    </row>
    <row r="107" spans="2:56">
      <c r="B107" t="s">
        <v>52</v>
      </c>
      <c r="AG107">
        <v>544</v>
      </c>
      <c r="AH107">
        <v>462</v>
      </c>
      <c r="AI107">
        <v>82</v>
      </c>
      <c r="AJ107">
        <v>856</v>
      </c>
      <c r="AK107">
        <v>135</v>
      </c>
      <c r="AL107">
        <v>91</v>
      </c>
      <c r="AM107">
        <v>152</v>
      </c>
      <c r="AN107">
        <v>130</v>
      </c>
      <c r="AO107">
        <v>188</v>
      </c>
      <c r="AP107">
        <v>652</v>
      </c>
      <c r="AQ107">
        <v>322</v>
      </c>
      <c r="AR107">
        <v>345</v>
      </c>
      <c r="AS107">
        <v>232</v>
      </c>
    </row>
    <row r="108" spans="2:56">
      <c r="B108" t="s">
        <v>168</v>
      </c>
      <c r="BB108">
        <v>277000</v>
      </c>
      <c r="BC108">
        <v>254984</v>
      </c>
    </row>
    <row r="109" spans="2:56">
      <c r="B109" t="s">
        <v>75</v>
      </c>
    </row>
    <row r="110" spans="2:56">
      <c r="B110" t="s">
        <v>53</v>
      </c>
      <c r="AG110">
        <v>31255</v>
      </c>
      <c r="AH110">
        <v>32277</v>
      </c>
      <c r="AI110">
        <v>4162</v>
      </c>
      <c r="AJ110">
        <v>3282</v>
      </c>
      <c r="AK110">
        <v>7209</v>
      </c>
      <c r="AL110">
        <v>6232</v>
      </c>
      <c r="AM110">
        <v>6377</v>
      </c>
      <c r="AN110">
        <v>9569</v>
      </c>
      <c r="AO110">
        <v>12738</v>
      </c>
      <c r="AP110">
        <v>28208</v>
      </c>
      <c r="AQ110">
        <v>26359</v>
      </c>
      <c r="AR110">
        <v>22679</v>
      </c>
      <c r="AS110">
        <v>10688</v>
      </c>
      <c r="AZ110">
        <v>372115</v>
      </c>
      <c r="BA110">
        <v>1576259</v>
      </c>
      <c r="BB110">
        <v>7528822</v>
      </c>
      <c r="BC110">
        <v>10753889</v>
      </c>
    </row>
    <row r="111" spans="2:56">
      <c r="B111" t="s">
        <v>159</v>
      </c>
      <c r="AP111">
        <v>2018</v>
      </c>
      <c r="AQ111">
        <v>2989</v>
      </c>
      <c r="AR111">
        <v>2509</v>
      </c>
      <c r="AS111">
        <v>613</v>
      </c>
      <c r="BB111">
        <v>675714</v>
      </c>
      <c r="BC111">
        <v>6943219</v>
      </c>
    </row>
    <row r="112" spans="2:56">
      <c r="B112" t="s">
        <v>177</v>
      </c>
      <c r="AZ112">
        <v>657457</v>
      </c>
      <c r="BA112">
        <v>184522</v>
      </c>
      <c r="BB112">
        <v>22280</v>
      </c>
      <c r="BC112">
        <v>42448</v>
      </c>
    </row>
    <row r="113" spans="2:55">
      <c r="B113" t="s">
        <v>181</v>
      </c>
      <c r="AZ113">
        <v>7038</v>
      </c>
    </row>
    <row r="114" spans="2:55">
      <c r="B114" t="s">
        <v>178</v>
      </c>
      <c r="BC114">
        <v>22772</v>
      </c>
    </row>
    <row r="115" spans="2:55">
      <c r="B115" t="s">
        <v>93</v>
      </c>
    </row>
    <row r="116" spans="2:55">
      <c r="B116" t="s">
        <v>76</v>
      </c>
    </row>
    <row r="117" spans="2:55">
      <c r="B117" t="s">
        <v>77</v>
      </c>
      <c r="AG117">
        <v>230</v>
      </c>
      <c r="AH117">
        <v>130</v>
      </c>
      <c r="AI117">
        <v>205</v>
      </c>
      <c r="AJ117">
        <v>36</v>
      </c>
      <c r="AK117">
        <v>52</v>
      </c>
      <c r="AL117">
        <v>101</v>
      </c>
      <c r="AM117">
        <v>97</v>
      </c>
      <c r="AN117">
        <v>38</v>
      </c>
      <c r="AO117">
        <v>18</v>
      </c>
      <c r="BA117">
        <v>198342</v>
      </c>
      <c r="BB117">
        <v>321752</v>
      </c>
    </row>
    <row r="118" spans="2:55">
      <c r="B118" t="s">
        <v>78</v>
      </c>
    </row>
    <row r="119" spans="2:55">
      <c r="B119" t="s">
        <v>54</v>
      </c>
      <c r="C119" t="s">
        <v>140</v>
      </c>
      <c r="AG119">
        <v>1775</v>
      </c>
      <c r="AH119">
        <v>518</v>
      </c>
      <c r="AI119">
        <v>484</v>
      </c>
      <c r="AJ119">
        <v>144</v>
      </c>
      <c r="AK119">
        <v>279</v>
      </c>
      <c r="AL119">
        <v>374</v>
      </c>
      <c r="AM119">
        <v>587</v>
      </c>
      <c r="AN119">
        <v>390</v>
      </c>
      <c r="AO119">
        <v>228</v>
      </c>
      <c r="AP119">
        <v>338</v>
      </c>
      <c r="AQ119">
        <v>675</v>
      </c>
      <c r="AR119">
        <v>554</v>
      </c>
      <c r="AS119">
        <v>468</v>
      </c>
      <c r="AZ119">
        <v>1634</v>
      </c>
      <c r="BA119">
        <v>13130</v>
      </c>
      <c r="BB119">
        <v>6380</v>
      </c>
      <c r="BC119">
        <v>16383</v>
      </c>
    </row>
    <row r="120" spans="2:55">
      <c r="B120" t="s">
        <v>79</v>
      </c>
      <c r="C120" t="s">
        <v>147</v>
      </c>
      <c r="AG120">
        <v>183</v>
      </c>
      <c r="AH120">
        <v>457</v>
      </c>
      <c r="AI120">
        <v>145</v>
      </c>
      <c r="AJ120">
        <v>141</v>
      </c>
      <c r="AK120">
        <v>204</v>
      </c>
      <c r="AL120">
        <v>232</v>
      </c>
      <c r="AM120">
        <v>369</v>
      </c>
      <c r="AN120">
        <v>247</v>
      </c>
      <c r="AO120">
        <v>406</v>
      </c>
      <c r="AP120">
        <v>549</v>
      </c>
      <c r="AQ120">
        <v>580</v>
      </c>
      <c r="AR120">
        <v>1608</v>
      </c>
      <c r="AS120">
        <v>1161</v>
      </c>
      <c r="BA120">
        <v>231548</v>
      </c>
      <c r="BB120">
        <v>3689841</v>
      </c>
      <c r="BC120">
        <v>6672552</v>
      </c>
    </row>
    <row r="121" spans="2:55">
      <c r="B121" t="s">
        <v>55</v>
      </c>
      <c r="C121" t="s">
        <v>141</v>
      </c>
      <c r="AG121">
        <v>1604</v>
      </c>
      <c r="AH121">
        <v>3084</v>
      </c>
      <c r="AI121">
        <v>3195</v>
      </c>
      <c r="AJ121">
        <v>3477</v>
      </c>
      <c r="AK121">
        <v>3566</v>
      </c>
      <c r="AL121">
        <v>3299</v>
      </c>
      <c r="AM121">
        <v>5134</v>
      </c>
      <c r="AN121">
        <v>3210</v>
      </c>
      <c r="AO121">
        <v>6061</v>
      </c>
      <c r="AP121">
        <v>6807</v>
      </c>
      <c r="AQ121">
        <v>5117</v>
      </c>
      <c r="AR121">
        <v>5839</v>
      </c>
      <c r="AS121">
        <v>5645</v>
      </c>
      <c r="AZ121">
        <v>4316646</v>
      </c>
      <c r="BA121">
        <v>3034196</v>
      </c>
      <c r="BB121">
        <v>5212143</v>
      </c>
      <c r="BC121">
        <v>11797576</v>
      </c>
    </row>
    <row r="122" spans="2:55">
      <c r="B122" t="s">
        <v>56</v>
      </c>
    </row>
    <row r="123" spans="2:55">
      <c r="B123" t="s">
        <v>80</v>
      </c>
    </row>
    <row r="124" spans="2:55">
      <c r="B124" t="s">
        <v>81</v>
      </c>
      <c r="AG124">
        <v>55</v>
      </c>
      <c r="AH124">
        <v>69</v>
      </c>
      <c r="AI124">
        <v>57</v>
      </c>
      <c r="AJ124">
        <v>30</v>
      </c>
      <c r="AK124">
        <v>105</v>
      </c>
      <c r="AL124">
        <v>480</v>
      </c>
      <c r="AM124">
        <v>97</v>
      </c>
      <c r="AN124">
        <v>96</v>
      </c>
      <c r="AO124">
        <v>118</v>
      </c>
      <c r="AP124">
        <v>394</v>
      </c>
      <c r="AQ124">
        <v>1222</v>
      </c>
      <c r="AR124">
        <v>718</v>
      </c>
      <c r="AS124">
        <v>31</v>
      </c>
    </row>
    <row r="125" spans="2:55">
      <c r="B125" t="s">
        <v>160</v>
      </c>
      <c r="BB125">
        <v>2500</v>
      </c>
    </row>
    <row r="126" spans="2:55">
      <c r="B126" t="s">
        <v>153</v>
      </c>
      <c r="BC126">
        <v>3221</v>
      </c>
    </row>
    <row r="127" spans="2:55">
      <c r="B127" t="s">
        <v>57</v>
      </c>
      <c r="C127" t="s">
        <v>142</v>
      </c>
      <c r="AG127">
        <v>403</v>
      </c>
      <c r="AH127">
        <v>100</v>
      </c>
      <c r="AI127">
        <v>29</v>
      </c>
      <c r="AJ127">
        <v>116</v>
      </c>
      <c r="AK127">
        <v>114</v>
      </c>
      <c r="AL127">
        <v>174</v>
      </c>
      <c r="AM127">
        <v>221</v>
      </c>
      <c r="AN127">
        <v>284</v>
      </c>
      <c r="AO127">
        <v>182</v>
      </c>
      <c r="AP127">
        <v>199</v>
      </c>
      <c r="AQ127">
        <v>63</v>
      </c>
      <c r="AR127">
        <v>121</v>
      </c>
      <c r="AS127">
        <v>767</v>
      </c>
      <c r="BA127">
        <v>2485</v>
      </c>
      <c r="BB127">
        <v>1480</v>
      </c>
      <c r="BC127">
        <v>58381</v>
      </c>
    </row>
    <row r="128" spans="2:55">
      <c r="B128" t="s">
        <v>58</v>
      </c>
      <c r="C128" t="s">
        <v>144</v>
      </c>
      <c r="AG128">
        <v>8739</v>
      </c>
      <c r="AH128">
        <v>21477</v>
      </c>
      <c r="AI128">
        <v>24991</v>
      </c>
      <c r="AJ128">
        <v>28971</v>
      </c>
      <c r="AK128">
        <v>19322</v>
      </c>
      <c r="AL128">
        <v>22731</v>
      </c>
      <c r="AM128">
        <v>18043</v>
      </c>
      <c r="AN128">
        <v>19934</v>
      </c>
      <c r="AO128">
        <v>34021</v>
      </c>
      <c r="AP128">
        <v>44674</v>
      </c>
      <c r="AQ128">
        <v>47348</v>
      </c>
      <c r="AR128">
        <v>45604</v>
      </c>
      <c r="AS128">
        <v>59695</v>
      </c>
    </row>
    <row r="129" spans="2:55">
      <c r="B129" t="s">
        <v>59</v>
      </c>
      <c r="C129" t="s">
        <v>143</v>
      </c>
      <c r="AG129">
        <v>3463</v>
      </c>
      <c r="AH129">
        <v>2973</v>
      </c>
      <c r="AI129">
        <v>2853</v>
      </c>
      <c r="AJ129">
        <v>2274</v>
      </c>
      <c r="AK129">
        <v>2335</v>
      </c>
      <c r="AL129">
        <v>2457</v>
      </c>
      <c r="AM129">
        <v>2092</v>
      </c>
      <c r="AN129">
        <v>1766</v>
      </c>
      <c r="AO129">
        <v>1588</v>
      </c>
      <c r="AP129">
        <v>1821</v>
      </c>
      <c r="AQ129">
        <v>1967</v>
      </c>
      <c r="AR129">
        <v>1946</v>
      </c>
      <c r="AS129">
        <v>1408</v>
      </c>
      <c r="AZ129">
        <v>1311614</v>
      </c>
      <c r="BA129">
        <v>99793245</v>
      </c>
      <c r="BB129">
        <v>114630029</v>
      </c>
      <c r="BC129">
        <v>143111837</v>
      </c>
    </row>
    <row r="131" spans="2:55">
      <c r="B131" t="s">
        <v>191</v>
      </c>
      <c r="AG131">
        <f t="shared" ref="AG131:BB131" si="0">SUM(AG4:AG130)</f>
        <v>1580488</v>
      </c>
      <c r="AH131">
        <f t="shared" si="0"/>
        <v>1446420</v>
      </c>
      <c r="AI131">
        <f t="shared" si="0"/>
        <v>1160070</v>
      </c>
      <c r="AJ131">
        <f t="shared" si="0"/>
        <v>749435</v>
      </c>
      <c r="AK131">
        <f t="shared" si="0"/>
        <v>543710</v>
      </c>
      <c r="AL131">
        <f t="shared" si="0"/>
        <v>470349</v>
      </c>
      <c r="AM131">
        <f t="shared" si="0"/>
        <v>489420</v>
      </c>
      <c r="AN131">
        <f t="shared" si="0"/>
        <v>447445</v>
      </c>
      <c r="AO131">
        <f t="shared" si="0"/>
        <v>539246</v>
      </c>
      <c r="AP131">
        <f t="shared" si="0"/>
        <v>953015</v>
      </c>
      <c r="AQ131">
        <f t="shared" si="0"/>
        <v>659762</v>
      </c>
      <c r="AR131">
        <f t="shared" si="0"/>
        <v>748273</v>
      </c>
      <c r="AS131">
        <f t="shared" si="0"/>
        <v>882970</v>
      </c>
      <c r="AT131">
        <f t="shared" si="0"/>
        <v>0</v>
      </c>
      <c r="AU131">
        <f t="shared" si="0"/>
        <v>0</v>
      </c>
      <c r="AV131">
        <f t="shared" si="0"/>
        <v>0</v>
      </c>
      <c r="AW131">
        <f t="shared" si="0"/>
        <v>0</v>
      </c>
      <c r="AX131">
        <f t="shared" si="0"/>
        <v>0</v>
      </c>
      <c r="AY131">
        <f t="shared" si="0"/>
        <v>0</v>
      </c>
      <c r="AZ131">
        <f t="shared" si="0"/>
        <v>339218788</v>
      </c>
      <c r="BA131">
        <f t="shared" si="0"/>
        <v>1044920767</v>
      </c>
      <c r="BB131">
        <f t="shared" si="0"/>
        <v>1503352723</v>
      </c>
      <c r="BC131">
        <f>SUM(BC4:BC130)</f>
        <v>3037674408</v>
      </c>
    </row>
    <row r="133" spans="2:55">
      <c r="AG133">
        <f>1580488-AG131</f>
        <v>0</v>
      </c>
      <c r="AH133">
        <f>1446420-AH131</f>
        <v>0</v>
      </c>
      <c r="AI133">
        <f>1160070-AI131</f>
        <v>0</v>
      </c>
      <c r="AJ133">
        <f>749435-AJ131</f>
        <v>0</v>
      </c>
      <c r="AK133">
        <f>543710-AK131</f>
        <v>0</v>
      </c>
      <c r="AL133">
        <f>470349-AL131</f>
        <v>0</v>
      </c>
      <c r="AM133">
        <f>489420-AM131</f>
        <v>0</v>
      </c>
      <c r="AN133">
        <f>447445-AN131</f>
        <v>0</v>
      </c>
      <c r="AO133">
        <f>539246-AO131</f>
        <v>0</v>
      </c>
      <c r="AP133">
        <f>953015-AP131</f>
        <v>0</v>
      </c>
      <c r="AQ133">
        <f>659762-AQ131</f>
        <v>0</v>
      </c>
      <c r="AR133">
        <f>748273-AR131</f>
        <v>0</v>
      </c>
      <c r="AS133">
        <f>882970-AS131</f>
        <v>0</v>
      </c>
      <c r="AZ133">
        <f>339218788-AZ131</f>
        <v>0</v>
      </c>
      <c r="BA133">
        <f>1044920767-BA131</f>
        <v>0</v>
      </c>
      <c r="BB133">
        <f>1503352723-BB131</f>
        <v>0</v>
      </c>
      <c r="BC133">
        <f>3037674408-BC131</f>
        <v>0</v>
      </c>
    </row>
    <row r="135" spans="2:55">
      <c r="AG135" t="s">
        <v>186</v>
      </c>
      <c r="AH135" t="s">
        <v>186</v>
      </c>
      <c r="AI135" t="s">
        <v>186</v>
      </c>
      <c r="AJ135" t="s">
        <v>186</v>
      </c>
      <c r="AK135" t="s">
        <v>186</v>
      </c>
      <c r="AL135" t="s">
        <v>186</v>
      </c>
      <c r="AM135" t="s">
        <v>186</v>
      </c>
      <c r="AN135" t="s">
        <v>186</v>
      </c>
      <c r="AO135" t="s">
        <v>186</v>
      </c>
      <c r="AP135" t="s">
        <v>186</v>
      </c>
    </row>
    <row r="137" spans="2:55">
      <c r="AG137" t="s">
        <v>187</v>
      </c>
      <c r="AH137" t="s">
        <v>187</v>
      </c>
      <c r="AI137" t="s">
        <v>187</v>
      </c>
      <c r="AJ137" t="s">
        <v>187</v>
      </c>
      <c r="AK137" t="s">
        <v>187</v>
      </c>
      <c r="AL137" t="s">
        <v>187</v>
      </c>
      <c r="AM137" t="s">
        <v>187</v>
      </c>
      <c r="AN137" t="s">
        <v>187</v>
      </c>
      <c r="AO137" t="s">
        <v>187</v>
      </c>
      <c r="AP137" t="s">
        <v>187</v>
      </c>
      <c r="AQ137" t="s">
        <v>187</v>
      </c>
    </row>
    <row r="139" spans="2:55">
      <c r="AG139" t="s">
        <v>188</v>
      </c>
      <c r="AH139" t="s">
        <v>188</v>
      </c>
      <c r="AI139" t="s">
        <v>188</v>
      </c>
      <c r="AJ139" t="s">
        <v>188</v>
      </c>
      <c r="AK139" t="s">
        <v>188</v>
      </c>
      <c r="AL139" t="s">
        <v>188</v>
      </c>
      <c r="AM139" t="s">
        <v>188</v>
      </c>
      <c r="AN139" t="s">
        <v>188</v>
      </c>
      <c r="AO139" t="s">
        <v>188</v>
      </c>
      <c r="AP13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C94"/>
  <sheetViews>
    <sheetView workbookViewId="0">
      <pane xSplit="4" ySplit="3" topLeftCell="AA85" activePane="bottomRight" state="frozen"/>
      <selection pane="topRight" activeCell="E1" sqref="E1"/>
      <selection pane="bottomLeft" activeCell="A4" sqref="A4"/>
      <selection pane="bottomRight" activeCell="AH94" sqref="AH94"/>
    </sheetView>
  </sheetViews>
  <sheetFormatPr defaultRowHeight="15"/>
  <cols>
    <col min="29" max="29" width="10" bestFit="1" customWidth="1"/>
    <col min="33" max="33" width="10.140625" customWidth="1"/>
    <col min="34" max="34" width="10.85546875" customWidth="1"/>
  </cols>
  <sheetData>
    <row r="1" spans="2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2:55"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2:55"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</row>
    <row r="4" spans="2:55">
      <c r="B4" t="s">
        <v>3</v>
      </c>
      <c r="AC4">
        <f>+imp_jm!AC4+imp_oth!AC4+imp_gov!AC4</f>
        <v>147316252</v>
      </c>
      <c r="AD4">
        <f>+imp_jm!AD4+imp_oth!AD4+imp_gov!AD4</f>
        <v>165991550</v>
      </c>
      <c r="AE4">
        <f>+imp_jm!AE4+imp_oth!AE4+imp_gov!AE4</f>
        <v>169999495</v>
      </c>
      <c r="AF4">
        <f>+imp_jm!AF4+imp_oth!AF4+imp_gov!AF4</f>
        <v>167631672</v>
      </c>
      <c r="AG4">
        <f>+imp_jm!AG4+imp_oth!AG4+imp_gov!AG4</f>
        <v>196942277</v>
      </c>
      <c r="AH4">
        <f>+imp_jm!AH4+imp_oth!AH4+imp_gov!AH4</f>
        <v>213504650</v>
      </c>
    </row>
    <row r="5" spans="2:55">
      <c r="B5" t="s">
        <v>4</v>
      </c>
      <c r="AC5">
        <f>+imp_jm!AC5+imp_oth!AC5+imp_gov!AC5</f>
        <v>99926608</v>
      </c>
      <c r="AD5">
        <f>+imp_jm!AD5+imp_oth!AD5+imp_gov!AD5</f>
        <v>123777110</v>
      </c>
      <c r="AE5">
        <f>+imp_jm!AE5+imp_oth!AE5+imp_gov!AE5</f>
        <v>107118999</v>
      </c>
      <c r="AF5">
        <f>+imp_jm!AF5+imp_oth!AF5+imp_gov!AF5</f>
        <v>106151424</v>
      </c>
      <c r="AG5">
        <f>+imp_jm!AG5+imp_oth!AG5+imp_gov!AG5</f>
        <v>119927981</v>
      </c>
      <c r="AH5">
        <f>+imp_jm!AH5+imp_oth!AH5+imp_gov!AH5</f>
        <v>117312970</v>
      </c>
    </row>
    <row r="6" spans="2:55">
      <c r="B6" t="s">
        <v>5</v>
      </c>
      <c r="AC6">
        <f>+imp_jm!AC6+imp_oth!AC6+imp_gov!AC6</f>
        <v>47958057</v>
      </c>
      <c r="AD6">
        <f>+imp_jm!AD6+imp_oth!AD6+imp_gov!AD6</f>
        <v>59424101</v>
      </c>
      <c r="AE6">
        <f>+imp_jm!AE6+imp_oth!AE6+imp_gov!AE6</f>
        <v>79059553</v>
      </c>
      <c r="AF6">
        <f>+imp_jm!AF6+imp_oth!AF6+imp_gov!AF6</f>
        <v>81476994</v>
      </c>
      <c r="AG6">
        <f>+imp_jm!AG6+imp_oth!AG6+imp_gov!AG6</f>
        <v>104732569</v>
      </c>
      <c r="AH6">
        <f>+imp_jm!AH6+imp_oth!AH6+imp_gov!AH6</f>
        <v>116105038</v>
      </c>
    </row>
    <row r="7" spans="2:55">
      <c r="B7" t="s">
        <v>6</v>
      </c>
      <c r="AC7">
        <f>+imp_jm!AC7+imp_oth!AC7+imp_gov!AC7</f>
        <v>355031</v>
      </c>
      <c r="AD7">
        <f>+imp_jm!AD7+imp_oth!AD7+imp_gov!AD7</f>
        <v>681363</v>
      </c>
      <c r="AE7">
        <f>+imp_jm!AE7+imp_oth!AE7+imp_gov!AE7</f>
        <v>898140</v>
      </c>
      <c r="AF7">
        <f>+imp_jm!AF7+imp_oth!AF7+imp_gov!AF7</f>
        <v>423005</v>
      </c>
      <c r="AG7">
        <f>+imp_jm!AG7+imp_oth!AG7+imp_gov!AG7</f>
        <v>452200</v>
      </c>
      <c r="AH7">
        <f>+imp_jm!AH7+imp_oth!AH7+imp_gov!AH7</f>
        <v>0</v>
      </c>
    </row>
    <row r="8" spans="2:55">
      <c r="B8" t="s">
        <v>7</v>
      </c>
      <c r="AC8">
        <f>+imp_jm!AC8+imp_oth!AC8+imp_gov!AC8</f>
        <v>7503367</v>
      </c>
      <c r="AD8">
        <f>+imp_jm!AD8+imp_oth!AD8+imp_gov!AD8</f>
        <v>9506224</v>
      </c>
      <c r="AE8">
        <f>+imp_jm!AE8+imp_oth!AE8+imp_gov!AE8</f>
        <v>9406943</v>
      </c>
      <c r="AF8">
        <f>+imp_jm!AF8+imp_oth!AF8+imp_gov!AF8</f>
        <v>11808303</v>
      </c>
      <c r="AG8">
        <f>+imp_jm!AG8+imp_oth!AG8+imp_gov!AG8</f>
        <v>11010640</v>
      </c>
      <c r="AH8">
        <f>+imp_jm!AH8+imp_oth!AH8+imp_gov!AH8</f>
        <v>10725491</v>
      </c>
    </row>
    <row r="9" spans="2:55">
      <c r="B9" t="s">
        <v>8</v>
      </c>
      <c r="AC9">
        <f>+imp_jm!AC9+imp_oth!AC9+imp_gov!AC9</f>
        <v>9387744</v>
      </c>
      <c r="AD9">
        <f>+imp_jm!AD9+imp_oth!AD9+imp_gov!AD9</f>
        <v>10764757</v>
      </c>
      <c r="AE9">
        <f>+imp_jm!AE9+imp_oth!AE9+imp_gov!AE9</f>
        <v>13622465</v>
      </c>
      <c r="AF9">
        <f>+imp_jm!AF9+imp_oth!AF9+imp_gov!AF9</f>
        <v>17781912</v>
      </c>
      <c r="AG9">
        <f>+imp_jm!AG9+imp_oth!AG9+imp_gov!AG9</f>
        <v>18964890</v>
      </c>
      <c r="AH9">
        <f>+imp_jm!AH9+imp_oth!AH9+imp_gov!AH9</f>
        <v>19068601</v>
      </c>
    </row>
    <row r="10" spans="2:55">
      <c r="B10" t="s">
        <v>9</v>
      </c>
      <c r="AC10">
        <f>+imp_jm!AC10+imp_oth!AC10+imp_gov!AC10</f>
        <v>12434155</v>
      </c>
      <c r="AD10">
        <f>+imp_jm!AD10+imp_oth!AD10+imp_gov!AD10</f>
        <v>18774712</v>
      </c>
      <c r="AE10">
        <f>+imp_jm!AE10+imp_oth!AE10+imp_gov!AE10</f>
        <v>17333164</v>
      </c>
      <c r="AF10">
        <f>+imp_jm!AF10+imp_oth!AF10+imp_gov!AF10</f>
        <v>18295741</v>
      </c>
      <c r="AG10">
        <f>+imp_jm!AG10+imp_oth!AG10+imp_gov!AG10</f>
        <v>20486256</v>
      </c>
      <c r="AH10">
        <f>+imp_jm!AH10+imp_oth!AH10+imp_gov!AH10</f>
        <v>18452602</v>
      </c>
    </row>
    <row r="11" spans="2:55">
      <c r="B11" t="s">
        <v>63</v>
      </c>
      <c r="AC11">
        <f>+imp_jm!AC11+imp_oth!AC11+imp_gov!AC11</f>
        <v>0</v>
      </c>
      <c r="AD11">
        <f>+imp_jm!AD11+imp_oth!AD11+imp_gov!AD11</f>
        <v>0</v>
      </c>
      <c r="AE11">
        <f>+imp_jm!AE11+imp_oth!AE11+imp_gov!AE11</f>
        <v>0</v>
      </c>
      <c r="AF11">
        <f>+imp_jm!AF11+imp_oth!AF11+imp_gov!AF11</f>
        <v>0</v>
      </c>
      <c r="AG11">
        <f>+imp_jm!AG11+imp_oth!AG11+imp_gov!AG11</f>
        <v>0</v>
      </c>
      <c r="AH11">
        <f>+imp_jm!AH11+imp_oth!AH11+imp_gov!AH11</f>
        <v>638879</v>
      </c>
    </row>
    <row r="12" spans="2:55">
      <c r="B12" t="s">
        <v>10</v>
      </c>
      <c r="AC12">
        <f>+imp_jm!AC12+imp_oth!AC12+imp_gov!AC12</f>
        <v>0</v>
      </c>
      <c r="AD12">
        <f>+imp_jm!AD12+imp_oth!AD12+imp_gov!AD12</f>
        <v>0</v>
      </c>
      <c r="AE12">
        <f>+imp_jm!AE12+imp_oth!AE12+imp_gov!AE12</f>
        <v>0</v>
      </c>
      <c r="AF12">
        <f>+imp_jm!AF12+imp_oth!AF12+imp_gov!AF12</f>
        <v>0</v>
      </c>
      <c r="AG12">
        <f>+imp_jm!AG12+imp_oth!AG12+imp_gov!AG12</f>
        <v>0</v>
      </c>
      <c r="AH12">
        <f>+imp_jm!AH12+imp_oth!AH12+imp_gov!AH12</f>
        <v>0</v>
      </c>
    </row>
    <row r="13" spans="2:55">
      <c r="B13" t="s">
        <v>91</v>
      </c>
      <c r="AC13">
        <f>+imp_jm!AC13+imp_oth!AC13+imp_gov!AC13</f>
        <v>48</v>
      </c>
      <c r="AD13">
        <f>+imp_jm!AD13+imp_oth!AD13+imp_gov!AD13</f>
        <v>3373</v>
      </c>
      <c r="AE13">
        <f>+imp_jm!AE13+imp_oth!AE13+imp_gov!AE13</f>
        <v>3802</v>
      </c>
      <c r="AF13">
        <f>+imp_jm!AF13+imp_oth!AF13+imp_gov!AF13</f>
        <v>9170</v>
      </c>
      <c r="AG13">
        <f>+imp_jm!AG13+imp_oth!AG13+imp_gov!AG13</f>
        <v>6792</v>
      </c>
      <c r="AH13">
        <f>+imp_jm!AH13+imp_oth!AH13+imp_gov!AH13</f>
        <v>0</v>
      </c>
    </row>
    <row r="14" spans="2:55">
      <c r="B14" t="s">
        <v>85</v>
      </c>
      <c r="AC14">
        <f>+imp_jm!AC14+imp_oth!AC14+imp_gov!AC14</f>
        <v>16363</v>
      </c>
      <c r="AD14">
        <f>+imp_jm!AD14+imp_oth!AD14+imp_gov!AD14</f>
        <v>151196</v>
      </c>
      <c r="AE14">
        <f>+imp_jm!AE14+imp_oth!AE14+imp_gov!AE14</f>
        <v>248622</v>
      </c>
      <c r="AF14">
        <f>+imp_jm!AF14+imp_oth!AF14+imp_gov!AF14</f>
        <v>184554</v>
      </c>
      <c r="AG14">
        <f>+imp_jm!AG14+imp_oth!AG14+imp_gov!AG14</f>
        <v>258894</v>
      </c>
      <c r="AH14">
        <f>+imp_jm!AH14+imp_oth!AH14+imp_gov!AH14</f>
        <v>0</v>
      </c>
    </row>
    <row r="15" spans="2:55">
      <c r="B15" t="s">
        <v>11</v>
      </c>
      <c r="AC15">
        <f>+imp_jm!AC15+imp_oth!AC15+imp_gov!AC15</f>
        <v>5253310</v>
      </c>
      <c r="AD15">
        <f>+imp_jm!AD15+imp_oth!AD15+imp_gov!AD15</f>
        <v>10350025</v>
      </c>
      <c r="AE15">
        <f>+imp_jm!AE15+imp_oth!AE15+imp_gov!AE15</f>
        <v>11035467</v>
      </c>
      <c r="AF15">
        <f>+imp_jm!AF15+imp_oth!AF15+imp_gov!AF15</f>
        <v>13928629</v>
      </c>
      <c r="AG15">
        <f>+imp_jm!AG15+imp_oth!AG15+imp_gov!AG15</f>
        <v>12419794</v>
      </c>
      <c r="AH15">
        <f>+imp_jm!AH15+imp_oth!AH15+imp_gov!AH15</f>
        <v>10951726</v>
      </c>
    </row>
    <row r="16" spans="2:55">
      <c r="B16" t="s">
        <v>12</v>
      </c>
      <c r="AC16">
        <f>+imp_jm!AC16+imp_oth!AC16+imp_gov!AC16</f>
        <v>82518</v>
      </c>
      <c r="AD16">
        <f>+imp_jm!AD16+imp_oth!AD16+imp_gov!AD16</f>
        <v>117960</v>
      </c>
      <c r="AE16">
        <f>+imp_jm!AE16+imp_oth!AE16+imp_gov!AE16</f>
        <v>161327</v>
      </c>
      <c r="AF16">
        <f>+imp_jm!AF16+imp_oth!AF16+imp_gov!AF16</f>
        <v>135459</v>
      </c>
      <c r="AG16">
        <f>+imp_jm!AG16+imp_oth!AG16+imp_gov!AG16</f>
        <v>147155</v>
      </c>
      <c r="AH16">
        <f>+imp_jm!AH16+imp_oth!AH16+imp_gov!AH16</f>
        <v>172819</v>
      </c>
    </row>
    <row r="17" spans="2:34">
      <c r="B17" t="s">
        <v>13</v>
      </c>
      <c r="AC17">
        <f>+imp_jm!AC17+imp_oth!AC17+imp_gov!AC17</f>
        <v>43343</v>
      </c>
      <c r="AD17">
        <f>+imp_jm!AD17+imp_oth!AD17+imp_gov!AD17</f>
        <v>76405</v>
      </c>
      <c r="AE17">
        <f>+imp_jm!AE17+imp_oth!AE17+imp_gov!AE17</f>
        <v>76047</v>
      </c>
      <c r="AF17">
        <f>+imp_jm!AF17+imp_oth!AF17+imp_gov!AF17</f>
        <v>73872</v>
      </c>
      <c r="AG17">
        <f>+imp_jm!AG17+imp_oth!AG17+imp_gov!AG17</f>
        <v>33104</v>
      </c>
      <c r="AH17">
        <f>+imp_jm!AH17+imp_oth!AH17+imp_gov!AH17</f>
        <v>55063</v>
      </c>
    </row>
    <row r="18" spans="2:34">
      <c r="B18" t="s">
        <v>14</v>
      </c>
      <c r="AC18">
        <f>+imp_jm!AC18+imp_oth!AC18+imp_gov!AC18</f>
        <v>703787</v>
      </c>
      <c r="AD18">
        <f>+imp_jm!AD18+imp_oth!AD18+imp_gov!AD18</f>
        <v>308181</v>
      </c>
      <c r="AE18">
        <f>+imp_jm!AE18+imp_oth!AE18+imp_gov!AE18</f>
        <v>333556</v>
      </c>
      <c r="AF18">
        <f>+imp_jm!AF18+imp_oth!AF18+imp_gov!AF18</f>
        <v>387808</v>
      </c>
      <c r="AG18">
        <f>+imp_jm!AG18+imp_oth!AG18+imp_gov!AG18</f>
        <v>817462</v>
      </c>
      <c r="AH18">
        <f>+imp_jm!AH18+imp_oth!AH18+imp_gov!AH18</f>
        <v>1048671</v>
      </c>
    </row>
    <row r="19" spans="2:34">
      <c r="B19" t="s">
        <v>15</v>
      </c>
      <c r="AC19">
        <f>+imp_jm!AC19+imp_oth!AC19+imp_gov!AC19</f>
        <v>820678</v>
      </c>
      <c r="AD19">
        <f>+imp_jm!AD19+imp_oth!AD19+imp_gov!AD19</f>
        <v>335760</v>
      </c>
      <c r="AE19">
        <f>+imp_jm!AE19+imp_oth!AE19+imp_gov!AE19</f>
        <v>392116</v>
      </c>
      <c r="AF19">
        <f>+imp_jm!AF19+imp_oth!AF19+imp_gov!AF19</f>
        <v>610308</v>
      </c>
      <c r="AG19">
        <f>+imp_jm!AG19+imp_oth!AG19+imp_gov!AG19</f>
        <v>1011264</v>
      </c>
      <c r="AH19">
        <f>+imp_jm!AH19+imp_oth!AH19+imp_gov!AH19</f>
        <v>1475453</v>
      </c>
    </row>
    <row r="20" spans="2:34">
      <c r="B20" t="s">
        <v>16</v>
      </c>
      <c r="AC20">
        <f>+imp_jm!AC20+imp_oth!AC20+imp_gov!AC20</f>
        <v>3103135</v>
      </c>
      <c r="AD20">
        <f>+imp_jm!AD20+imp_oth!AD20+imp_gov!AD20</f>
        <v>4659198</v>
      </c>
      <c r="AE20">
        <f>+imp_jm!AE20+imp_oth!AE20+imp_gov!AE20</f>
        <v>7538208</v>
      </c>
      <c r="AF20">
        <f>+imp_jm!AF20+imp_oth!AF20+imp_gov!AF20</f>
        <v>7051250</v>
      </c>
      <c r="AG20">
        <f>+imp_jm!AG20+imp_oth!AG20+imp_gov!AG20</f>
        <v>8429944</v>
      </c>
      <c r="AH20">
        <f>+imp_jm!AH20+imp_oth!AH20+imp_gov!AH20</f>
        <v>8760008</v>
      </c>
    </row>
    <row r="21" spans="2:34">
      <c r="B21" t="s">
        <v>17</v>
      </c>
      <c r="AC21">
        <f>+imp_jm!AC21+imp_oth!AC21+imp_gov!AC21</f>
        <v>870</v>
      </c>
      <c r="AD21">
        <f>+imp_jm!AD21+imp_oth!AD21+imp_gov!AD21</f>
        <v>4647</v>
      </c>
      <c r="AE21">
        <f>+imp_jm!AE21+imp_oth!AE21+imp_gov!AE21</f>
        <v>47630</v>
      </c>
      <c r="AF21">
        <f>+imp_jm!AF21+imp_oth!AF21+imp_gov!AF21</f>
        <v>57494</v>
      </c>
      <c r="AG21">
        <f>+imp_jm!AG21+imp_oth!AG21+imp_gov!AG21</f>
        <v>140160</v>
      </c>
      <c r="AH21">
        <f>+imp_jm!AH21+imp_oth!AH21+imp_gov!AH21</f>
        <v>254736</v>
      </c>
    </row>
    <row r="22" spans="2:34">
      <c r="B22" t="s">
        <v>18</v>
      </c>
      <c r="AC22">
        <f>+imp_jm!AC22+imp_oth!AC22+imp_gov!AC22</f>
        <v>0</v>
      </c>
      <c r="AD22">
        <f>+imp_jm!AD22+imp_oth!AD22+imp_gov!AD22</f>
        <v>0</v>
      </c>
      <c r="AE22">
        <f>+imp_jm!AE22+imp_oth!AE22+imp_gov!AE22</f>
        <v>0</v>
      </c>
      <c r="AF22">
        <f>+imp_jm!AF22+imp_oth!AF22+imp_gov!AF22</f>
        <v>1923</v>
      </c>
      <c r="AG22">
        <f>+imp_jm!AG22+imp_oth!AG22+imp_gov!AG22</f>
        <v>0</v>
      </c>
      <c r="AH22">
        <f>+imp_jm!AH22+imp_oth!AH22+imp_gov!AH22</f>
        <v>0</v>
      </c>
    </row>
    <row r="23" spans="2:34">
      <c r="B23" t="s">
        <v>69</v>
      </c>
      <c r="AC23">
        <f>+imp_jm!AC23+imp_oth!AC23+imp_gov!AC23</f>
        <v>0</v>
      </c>
      <c r="AD23">
        <f>+imp_jm!AD23+imp_oth!AD23+imp_gov!AD23</f>
        <v>0</v>
      </c>
      <c r="AE23">
        <f>+imp_jm!AE23+imp_oth!AE23+imp_gov!AE23</f>
        <v>0</v>
      </c>
      <c r="AF23">
        <f>+imp_jm!AF23+imp_oth!AF23+imp_gov!AF23</f>
        <v>0</v>
      </c>
      <c r="AG23">
        <f>+imp_jm!AG23+imp_oth!AG23+imp_gov!AG23</f>
        <v>0</v>
      </c>
      <c r="AH23">
        <f>+imp_jm!AH23+imp_oth!AH23+imp_gov!AH23</f>
        <v>0</v>
      </c>
    </row>
    <row r="24" spans="2:34">
      <c r="B24" t="s">
        <v>19</v>
      </c>
      <c r="AC24">
        <f>+imp_jm!AC24+imp_oth!AC24+imp_gov!AC24</f>
        <v>0</v>
      </c>
      <c r="AD24">
        <f>+imp_jm!AD24+imp_oth!AD24+imp_gov!AD24</f>
        <v>1716</v>
      </c>
      <c r="AE24">
        <f>+imp_jm!AE24+imp_oth!AE24+imp_gov!AE24</f>
        <v>0</v>
      </c>
      <c r="AF24">
        <f>+imp_jm!AF24+imp_oth!AF24+imp_gov!AF24</f>
        <v>0</v>
      </c>
      <c r="AG24">
        <f>+imp_jm!AG24+imp_oth!AG24+imp_gov!AG24</f>
        <v>918</v>
      </c>
      <c r="AH24">
        <f>+imp_jm!AH24+imp_oth!AH24+imp_gov!AH24</f>
        <v>64395</v>
      </c>
    </row>
    <row r="25" spans="2:34">
      <c r="B25" t="s">
        <v>20</v>
      </c>
      <c r="AC25">
        <f>+imp_jm!AC25+imp_oth!AC25+imp_gov!AC25</f>
        <v>5</v>
      </c>
      <c r="AD25">
        <f>+imp_jm!AD25+imp_oth!AD25+imp_gov!AD25</f>
        <v>2163</v>
      </c>
      <c r="AE25">
        <f>+imp_jm!AE25+imp_oth!AE25+imp_gov!AE25</f>
        <v>2439</v>
      </c>
      <c r="AF25">
        <f>+imp_jm!AF25+imp_oth!AF25+imp_gov!AF25</f>
        <v>2393</v>
      </c>
      <c r="AG25">
        <f>+imp_jm!AG25+imp_oth!AG25+imp_gov!AG25</f>
        <v>180</v>
      </c>
      <c r="AH25">
        <f>+imp_jm!AH25+imp_oth!AH25+imp_gov!AH25</f>
        <v>0</v>
      </c>
    </row>
    <row r="26" spans="2:34">
      <c r="B26" t="s">
        <v>86</v>
      </c>
      <c r="AC26">
        <f>+imp_jm!AC26+imp_oth!AC26+imp_gov!AC26</f>
        <v>1997</v>
      </c>
      <c r="AD26">
        <f>+imp_jm!AD26+imp_oth!AD26+imp_gov!AD26</f>
        <v>387</v>
      </c>
      <c r="AE26">
        <f>+imp_jm!AE26+imp_oth!AE26+imp_gov!AE26</f>
        <v>0</v>
      </c>
      <c r="AF26">
        <f>+imp_jm!AF26+imp_oth!AF26+imp_gov!AF26</f>
        <v>0</v>
      </c>
      <c r="AG26">
        <f>+imp_jm!AG26+imp_oth!AG26+imp_gov!AG26</f>
        <v>0</v>
      </c>
      <c r="AH26">
        <f>+imp_jm!AH26+imp_oth!AH26+imp_gov!AH26</f>
        <v>0</v>
      </c>
    </row>
    <row r="27" spans="2:34">
      <c r="B27" t="s">
        <v>87</v>
      </c>
      <c r="AC27">
        <f>+imp_jm!AC27+imp_oth!AC27+imp_gov!AC27</f>
        <v>1</v>
      </c>
      <c r="AD27">
        <f>+imp_jm!AD27+imp_oth!AD27+imp_gov!AD27</f>
        <v>3</v>
      </c>
      <c r="AE27">
        <f>+imp_jm!AE27+imp_oth!AE27+imp_gov!AE27</f>
        <v>0</v>
      </c>
      <c r="AF27">
        <f>+imp_jm!AF27+imp_oth!AF27+imp_gov!AF27</f>
        <v>0</v>
      </c>
      <c r="AG27">
        <f>+imp_jm!AG27+imp_oth!AG27+imp_gov!AG27</f>
        <v>0</v>
      </c>
      <c r="AH27">
        <f>+imp_jm!AH27+imp_oth!AH27+imp_gov!AH27</f>
        <v>0</v>
      </c>
    </row>
    <row r="28" spans="2:34">
      <c r="B28" t="s">
        <v>61</v>
      </c>
      <c r="AC28">
        <f>+imp_jm!AC28+imp_oth!AC28+imp_gov!AC28</f>
        <v>0</v>
      </c>
      <c r="AD28">
        <f>+imp_jm!AD28+imp_oth!AD28+imp_gov!AD28</f>
        <v>0</v>
      </c>
      <c r="AE28">
        <f>+imp_jm!AE28+imp_oth!AE28+imp_gov!AE28</f>
        <v>0</v>
      </c>
      <c r="AF28">
        <f>+imp_jm!AF28+imp_oth!AF28+imp_gov!AF28</f>
        <v>0</v>
      </c>
      <c r="AG28">
        <f>+imp_jm!AG28+imp_oth!AG28+imp_gov!AG28</f>
        <v>0</v>
      </c>
      <c r="AH28">
        <f>+imp_jm!AH28+imp_oth!AH28+imp_gov!AH28</f>
        <v>0</v>
      </c>
    </row>
    <row r="29" spans="2:34">
      <c r="B29" t="s">
        <v>21</v>
      </c>
      <c r="AC29">
        <f>+imp_jm!AC29+imp_oth!AC29+imp_gov!AC29</f>
        <v>0</v>
      </c>
      <c r="AD29">
        <f>+imp_jm!AD29+imp_oth!AD29+imp_gov!AD29</f>
        <v>0</v>
      </c>
      <c r="AE29">
        <f>+imp_jm!AE29+imp_oth!AE29+imp_gov!AE29</f>
        <v>7807</v>
      </c>
      <c r="AF29">
        <f>+imp_jm!AF29+imp_oth!AF29+imp_gov!AF29</f>
        <v>8795</v>
      </c>
      <c r="AG29">
        <f>+imp_jm!AG29+imp_oth!AG29+imp_gov!AG29</f>
        <v>7883</v>
      </c>
      <c r="AH29">
        <f>+imp_jm!AH29+imp_oth!AH29+imp_gov!AH29</f>
        <v>7317</v>
      </c>
    </row>
    <row r="30" spans="2:34">
      <c r="B30" t="s">
        <v>22</v>
      </c>
      <c r="AC30">
        <f>+imp_jm!AC30+imp_oth!AC30+imp_gov!AC30</f>
        <v>0</v>
      </c>
      <c r="AD30">
        <f>+imp_jm!AD30+imp_oth!AD30+imp_gov!AD30</f>
        <v>0</v>
      </c>
      <c r="AE30">
        <f>+imp_jm!AE30+imp_oth!AE30+imp_gov!AE30</f>
        <v>0</v>
      </c>
      <c r="AF30">
        <f>+imp_jm!AF30+imp_oth!AF30+imp_gov!AF30</f>
        <v>0</v>
      </c>
      <c r="AG30">
        <f>+imp_jm!AG30+imp_oth!AG30+imp_gov!AG30</f>
        <v>0</v>
      </c>
      <c r="AH30">
        <f>+imp_jm!AH30+imp_oth!AH30+imp_gov!AH30</f>
        <v>0</v>
      </c>
    </row>
    <row r="31" spans="2:34">
      <c r="B31" t="s">
        <v>70</v>
      </c>
      <c r="AC31">
        <f>+imp_jm!AC31+imp_oth!AC31+imp_gov!AC31</f>
        <v>0</v>
      </c>
      <c r="AD31">
        <f>+imp_jm!AD31+imp_oth!AD31+imp_gov!AD31</f>
        <v>0</v>
      </c>
      <c r="AE31">
        <f>+imp_jm!AE31+imp_oth!AE31+imp_gov!AE31</f>
        <v>0</v>
      </c>
      <c r="AF31">
        <f>+imp_jm!AF31+imp_oth!AF31+imp_gov!AF31</f>
        <v>700</v>
      </c>
      <c r="AG31">
        <f>+imp_jm!AG31+imp_oth!AG31+imp_gov!AG31</f>
        <v>0</v>
      </c>
      <c r="AH31">
        <f>+imp_jm!AH31+imp_oth!AH31+imp_gov!AH31</f>
        <v>295240</v>
      </c>
    </row>
    <row r="32" spans="2:34">
      <c r="B32" t="s">
        <v>71</v>
      </c>
      <c r="AC32">
        <f>+imp_jm!AC32+imp_oth!AC32+imp_gov!AC32</f>
        <v>0</v>
      </c>
      <c r="AD32">
        <f>+imp_jm!AD32+imp_oth!AD32+imp_gov!AD32</f>
        <v>0</v>
      </c>
      <c r="AE32">
        <f>+imp_jm!AE32+imp_oth!AE32+imp_gov!AE32</f>
        <v>1077</v>
      </c>
      <c r="AF32">
        <f>+imp_jm!AF32+imp_oth!AF32+imp_gov!AF32</f>
        <v>10707</v>
      </c>
      <c r="AG32">
        <f>+imp_jm!AG32+imp_oth!AG32+imp_gov!AG32</f>
        <v>1063</v>
      </c>
      <c r="AH32">
        <f>+imp_jm!AH32+imp_oth!AH32+imp_gov!AH32</f>
        <v>1227</v>
      </c>
    </row>
    <row r="33" spans="2:34">
      <c r="B33" t="s">
        <v>23</v>
      </c>
      <c r="AC33">
        <f>+imp_jm!AC33+imp_oth!AC33+imp_gov!AC33</f>
        <v>0</v>
      </c>
      <c r="AD33">
        <f>+imp_jm!AD33+imp_oth!AD33+imp_gov!AD33</f>
        <v>0</v>
      </c>
      <c r="AE33">
        <f>+imp_jm!AE33+imp_oth!AE33+imp_gov!AE33</f>
        <v>0</v>
      </c>
      <c r="AF33">
        <f>+imp_jm!AF33+imp_oth!AF33+imp_gov!AF33</f>
        <v>0</v>
      </c>
      <c r="AG33">
        <f>+imp_jm!AG33+imp_oth!AG33+imp_gov!AG33</f>
        <v>0</v>
      </c>
      <c r="AH33">
        <f>+imp_jm!AH33+imp_oth!AH33+imp_gov!AH33</f>
        <v>0</v>
      </c>
    </row>
    <row r="34" spans="2:34">
      <c r="B34" t="s">
        <v>24</v>
      </c>
      <c r="AC34">
        <f>+imp_jm!AC34+imp_oth!AC34+imp_gov!AC34</f>
        <v>878065</v>
      </c>
      <c r="AD34">
        <f>+imp_jm!AD34+imp_oth!AD34+imp_gov!AD34</f>
        <v>1413245</v>
      </c>
      <c r="AE34">
        <f>+imp_jm!AE34+imp_oth!AE34+imp_gov!AE34</f>
        <v>3385563</v>
      </c>
      <c r="AF34">
        <f>+imp_jm!AF34+imp_oth!AF34+imp_gov!AF34</f>
        <v>1308094</v>
      </c>
      <c r="AG34">
        <f>+imp_jm!AG34+imp_oth!AG34+imp_gov!AG34</f>
        <v>3203036</v>
      </c>
      <c r="AH34">
        <f>+imp_jm!AH34+imp_oth!AH34+imp_gov!AH34</f>
        <v>7932168</v>
      </c>
    </row>
    <row r="35" spans="2:34">
      <c r="B35" t="s">
        <v>25</v>
      </c>
      <c r="AC35">
        <f>+imp_jm!AC35+imp_oth!AC35+imp_gov!AC35</f>
        <v>0</v>
      </c>
      <c r="AD35">
        <f>+imp_jm!AD35+imp_oth!AD35+imp_gov!AD35</f>
        <v>0</v>
      </c>
      <c r="AE35">
        <f>+imp_jm!AE35+imp_oth!AE35+imp_gov!AE35</f>
        <v>0</v>
      </c>
      <c r="AF35">
        <f>+imp_jm!AF35+imp_oth!AF35+imp_gov!AF35</f>
        <v>0</v>
      </c>
      <c r="AG35">
        <f>+imp_jm!AG35+imp_oth!AG35+imp_gov!AG35</f>
        <v>0</v>
      </c>
      <c r="AH35">
        <f>+imp_jm!AH35+imp_oth!AH35+imp_gov!AH35</f>
        <v>0</v>
      </c>
    </row>
    <row r="36" spans="2:34">
      <c r="B36" t="s">
        <v>26</v>
      </c>
      <c r="AC36">
        <f>+imp_jm!AC36+imp_oth!AC36+imp_gov!AC36</f>
        <v>0</v>
      </c>
      <c r="AD36">
        <f>+imp_jm!AD36+imp_oth!AD36+imp_gov!AD36</f>
        <v>0</v>
      </c>
      <c r="AE36">
        <f>+imp_jm!AE36+imp_oth!AE36+imp_gov!AE36</f>
        <v>0</v>
      </c>
      <c r="AF36">
        <f>+imp_jm!AF36+imp_oth!AF36+imp_gov!AF36</f>
        <v>0</v>
      </c>
      <c r="AG36">
        <f>+imp_jm!AG36+imp_oth!AG36+imp_gov!AG36</f>
        <v>0</v>
      </c>
      <c r="AH36">
        <f>+imp_jm!AH36+imp_oth!AH36+imp_gov!AH36</f>
        <v>0</v>
      </c>
    </row>
    <row r="37" spans="2:34">
      <c r="B37" t="s">
        <v>27</v>
      </c>
      <c r="AC37">
        <f>+imp_jm!AC37+imp_oth!AC37+imp_gov!AC37</f>
        <v>0</v>
      </c>
      <c r="AD37">
        <f>+imp_jm!AD37+imp_oth!AD37+imp_gov!AD37</f>
        <v>0</v>
      </c>
      <c r="AE37">
        <f>+imp_jm!AE37+imp_oth!AE37+imp_gov!AE37</f>
        <v>0</v>
      </c>
      <c r="AF37">
        <f>+imp_jm!AF37+imp_oth!AF37+imp_gov!AF37</f>
        <v>0</v>
      </c>
      <c r="AG37">
        <f>+imp_jm!AG37+imp_oth!AG37+imp_gov!AG37</f>
        <v>0</v>
      </c>
      <c r="AH37">
        <f>+imp_jm!AH37+imp_oth!AH37+imp_gov!AH37</f>
        <v>0</v>
      </c>
    </row>
    <row r="38" spans="2:34">
      <c r="B38" t="s">
        <v>28</v>
      </c>
      <c r="AC38">
        <f>+imp_jm!AC38+imp_oth!AC38+imp_gov!AC38</f>
        <v>0</v>
      </c>
      <c r="AD38">
        <f>+imp_jm!AD38+imp_oth!AD38+imp_gov!AD38</f>
        <v>0</v>
      </c>
      <c r="AE38">
        <f>+imp_jm!AE38+imp_oth!AE38+imp_gov!AE38</f>
        <v>0</v>
      </c>
      <c r="AF38">
        <f>+imp_jm!AF38+imp_oth!AF38+imp_gov!AF38</f>
        <v>0</v>
      </c>
      <c r="AG38">
        <f>+imp_jm!AG38+imp_oth!AG38+imp_gov!AG38</f>
        <v>0</v>
      </c>
      <c r="AH38">
        <f>+imp_jm!AH38+imp_oth!AH38+imp_gov!AH38</f>
        <v>0</v>
      </c>
    </row>
    <row r="39" spans="2:34">
      <c r="B39" t="s">
        <v>29</v>
      </c>
      <c r="AC39">
        <f>+imp_jm!AC39+imp_oth!AC39+imp_gov!AC39</f>
        <v>45813627</v>
      </c>
      <c r="AD39">
        <f>+imp_jm!AD39+imp_oth!AD39+imp_gov!AD39</f>
        <v>54022469</v>
      </c>
      <c r="AE39">
        <f>+imp_jm!AE39+imp_oth!AE39+imp_gov!AE39</f>
        <v>74877253</v>
      </c>
      <c r="AF39">
        <f>+imp_jm!AF39+imp_oth!AF39+imp_gov!AF39</f>
        <v>92635173</v>
      </c>
      <c r="AG39">
        <f>+imp_jm!AG39+imp_oth!AG39+imp_gov!AG39</f>
        <v>96849094</v>
      </c>
      <c r="AH39">
        <f>+imp_jm!AH39+imp_oth!AH39+imp_gov!AH39</f>
        <v>131039540</v>
      </c>
    </row>
    <row r="40" spans="2:34">
      <c r="B40" t="s">
        <v>72</v>
      </c>
      <c r="AC40">
        <f>+imp_jm!AC40+imp_oth!AC40+imp_gov!AC40</f>
        <v>0</v>
      </c>
      <c r="AD40">
        <f>+imp_jm!AD40+imp_oth!AD40+imp_gov!AD40</f>
        <v>1</v>
      </c>
      <c r="AE40">
        <f>+imp_jm!AE40+imp_oth!AE40+imp_gov!AE40</f>
        <v>282456</v>
      </c>
      <c r="AF40">
        <f>+imp_jm!AF40+imp_oth!AF40+imp_gov!AF40</f>
        <v>190820</v>
      </c>
      <c r="AG40">
        <f>+imp_jm!AG40+imp_oth!AG40+imp_gov!AG40</f>
        <v>8300</v>
      </c>
      <c r="AH40">
        <f>+imp_jm!AH40+imp_oth!AH40+imp_gov!AH40</f>
        <v>7092</v>
      </c>
    </row>
    <row r="41" spans="2:34">
      <c r="B41" t="s">
        <v>73</v>
      </c>
      <c r="AC41">
        <f>+imp_jm!AC41+imp_oth!AC41+imp_gov!AC41</f>
        <v>1712</v>
      </c>
      <c r="AD41">
        <f>+imp_jm!AD41+imp_oth!AD41+imp_gov!AD41</f>
        <v>1619</v>
      </c>
      <c r="AE41">
        <f>+imp_jm!AE41+imp_oth!AE41+imp_gov!AE41</f>
        <v>400</v>
      </c>
      <c r="AF41">
        <f>+imp_jm!AF41+imp_oth!AF41+imp_gov!AF41</f>
        <v>0</v>
      </c>
      <c r="AG41">
        <f>+imp_jm!AG41+imp_oth!AG41+imp_gov!AG41</f>
        <v>8600</v>
      </c>
      <c r="AH41">
        <f>+imp_jm!AH41+imp_oth!AH41+imp_gov!AH41</f>
        <v>1881</v>
      </c>
    </row>
    <row r="42" spans="2:34">
      <c r="B42" t="s">
        <v>74</v>
      </c>
      <c r="AC42">
        <f>+imp_jm!AC42+imp_oth!AC42+imp_gov!AC42</f>
        <v>4411</v>
      </c>
      <c r="AD42">
        <f>+imp_jm!AD42+imp_oth!AD42+imp_gov!AD42</f>
        <v>49215</v>
      </c>
      <c r="AE42">
        <f>+imp_jm!AE42+imp_oth!AE42+imp_gov!AE42</f>
        <v>105347</v>
      </c>
      <c r="AF42">
        <f>+imp_jm!AF42+imp_oth!AF42+imp_gov!AF42</f>
        <v>184873</v>
      </c>
      <c r="AG42">
        <f>+imp_jm!AG42+imp_oth!AG42+imp_gov!AG42</f>
        <v>433411</v>
      </c>
      <c r="AH42">
        <f>+imp_jm!AH42+imp_oth!AH42+imp_gov!AH42</f>
        <v>483503</v>
      </c>
    </row>
    <row r="43" spans="2:34">
      <c r="B43" t="s">
        <v>30</v>
      </c>
      <c r="AC43">
        <f>+imp_jm!AC43+imp_oth!AC43+imp_gov!AC43</f>
        <v>0</v>
      </c>
      <c r="AD43">
        <f>+imp_jm!AD43+imp_oth!AD43+imp_gov!AD43</f>
        <v>0</v>
      </c>
      <c r="AE43">
        <f>+imp_jm!AE43+imp_oth!AE43+imp_gov!AE43</f>
        <v>0</v>
      </c>
      <c r="AF43">
        <f>+imp_jm!AF43+imp_oth!AF43+imp_gov!AF43</f>
        <v>0</v>
      </c>
      <c r="AG43">
        <f>+imp_jm!AG43+imp_oth!AG43+imp_gov!AG43</f>
        <v>5816</v>
      </c>
      <c r="AH43">
        <f>+imp_jm!AH43+imp_oth!AH43+imp_gov!AH43</f>
        <v>0</v>
      </c>
    </row>
    <row r="44" spans="2:34">
      <c r="B44" t="s">
        <v>31</v>
      </c>
      <c r="AC44">
        <f>+imp_jm!AC44+imp_oth!AC44+imp_gov!AC44</f>
        <v>54313</v>
      </c>
      <c r="AD44">
        <f>+imp_jm!AD44+imp_oth!AD44+imp_gov!AD44</f>
        <v>104825</v>
      </c>
      <c r="AE44">
        <f>+imp_jm!AE44+imp_oth!AE44+imp_gov!AE44</f>
        <v>43588</v>
      </c>
      <c r="AF44">
        <f>+imp_jm!AF44+imp_oth!AF44+imp_gov!AF44</f>
        <v>0</v>
      </c>
      <c r="AG44">
        <f>+imp_jm!AG44+imp_oth!AG44+imp_gov!AG44</f>
        <v>0</v>
      </c>
      <c r="AH44">
        <f>+imp_jm!AH44+imp_oth!AH44+imp_gov!AH44</f>
        <v>24092</v>
      </c>
    </row>
    <row r="45" spans="2:34">
      <c r="B45" t="s">
        <v>94</v>
      </c>
      <c r="AC45">
        <f>+imp_jm!AC45+imp_oth!AC45+imp_gov!AC45</f>
        <v>0</v>
      </c>
      <c r="AD45">
        <f>+imp_jm!AD45+imp_oth!AD45+imp_gov!AD45</f>
        <v>2351</v>
      </c>
      <c r="AE45">
        <f>+imp_jm!AE45+imp_oth!AE45+imp_gov!AE45</f>
        <v>38124</v>
      </c>
      <c r="AF45">
        <f>+imp_jm!AF45+imp_oth!AF45+imp_gov!AF45</f>
        <v>56515</v>
      </c>
      <c r="AG45">
        <f>+imp_jm!AG45+imp_oth!AG45+imp_gov!AG45</f>
        <v>36362</v>
      </c>
      <c r="AH45">
        <f>+imp_jm!AH45+imp_oth!AH45+imp_gov!AH45</f>
        <v>12928</v>
      </c>
    </row>
    <row r="46" spans="2:34">
      <c r="B46" t="s">
        <v>95</v>
      </c>
      <c r="AC46">
        <f>+imp_jm!AC46+imp_oth!AC46+imp_gov!AC46</f>
        <v>0</v>
      </c>
      <c r="AD46">
        <f>+imp_jm!AD46+imp_oth!AD46+imp_gov!AD46</f>
        <v>0</v>
      </c>
      <c r="AE46">
        <f>+imp_jm!AE46+imp_oth!AE46+imp_gov!AE46</f>
        <v>0</v>
      </c>
      <c r="AF46">
        <f>+imp_jm!AF46+imp_oth!AF46+imp_gov!AF46</f>
        <v>3267</v>
      </c>
      <c r="AG46">
        <f>+imp_jm!AG46+imp_oth!AG46+imp_gov!AG46</f>
        <v>1364</v>
      </c>
      <c r="AH46">
        <f>+imp_jm!AH46+imp_oth!AH46+imp_gov!AH46</f>
        <v>0</v>
      </c>
    </row>
    <row r="47" spans="2:34">
      <c r="B47" t="s">
        <v>98</v>
      </c>
      <c r="AC47">
        <f>+imp_jm!AC47+imp_oth!AC47+imp_gov!AC47</f>
        <v>0</v>
      </c>
      <c r="AD47">
        <f>+imp_jm!AD47+imp_oth!AD47+imp_gov!AD47</f>
        <v>0</v>
      </c>
      <c r="AE47">
        <f>+imp_jm!AE47+imp_oth!AE47+imp_gov!AE47</f>
        <v>0</v>
      </c>
      <c r="AF47">
        <f>+imp_jm!AF47+imp_oth!AF47+imp_gov!AF47</f>
        <v>0</v>
      </c>
      <c r="AG47">
        <f>+imp_jm!AG47+imp_oth!AG47+imp_gov!AG47</f>
        <v>1332</v>
      </c>
      <c r="AH47">
        <f>+imp_jm!AH47+imp_oth!AH47+imp_gov!AH47</f>
        <v>0</v>
      </c>
    </row>
    <row r="48" spans="2:34">
      <c r="B48" t="s">
        <v>64</v>
      </c>
      <c r="AC48">
        <f>+imp_jm!AC48+imp_oth!AC48+imp_gov!AC48</f>
        <v>3043</v>
      </c>
      <c r="AD48">
        <f>+imp_jm!AD48+imp_oth!AD48+imp_gov!AD48</f>
        <v>7021</v>
      </c>
      <c r="AE48">
        <f>+imp_jm!AE48+imp_oth!AE48+imp_gov!AE48</f>
        <v>5399</v>
      </c>
      <c r="AF48">
        <f>+imp_jm!AF48+imp_oth!AF48+imp_gov!AF48</f>
        <v>0</v>
      </c>
      <c r="AG48">
        <f>+imp_jm!AG48+imp_oth!AG48+imp_gov!AG48</f>
        <v>360</v>
      </c>
      <c r="AH48">
        <f>+imp_jm!AH48+imp_oth!AH48+imp_gov!AH48</f>
        <v>945080</v>
      </c>
    </row>
    <row r="49" spans="2:34">
      <c r="B49" t="s">
        <v>65</v>
      </c>
      <c r="AC49">
        <f>+imp_jm!AC49+imp_oth!AC49+imp_gov!AC49</f>
        <v>0</v>
      </c>
      <c r="AD49">
        <f>+imp_jm!AD49+imp_oth!AD49+imp_gov!AD49</f>
        <v>0</v>
      </c>
      <c r="AE49">
        <f>+imp_jm!AE49+imp_oth!AE49+imp_gov!AE49</f>
        <v>0</v>
      </c>
      <c r="AF49">
        <f>+imp_jm!AF49+imp_oth!AF49+imp_gov!AF49</f>
        <v>0</v>
      </c>
      <c r="AG49">
        <f>+imp_jm!AG49+imp_oth!AG49+imp_gov!AG49</f>
        <v>0</v>
      </c>
      <c r="AH49">
        <f>+imp_jm!AH49+imp_oth!AH49+imp_gov!AH49</f>
        <v>0</v>
      </c>
    </row>
    <row r="50" spans="2:34">
      <c r="B50" t="s">
        <v>82</v>
      </c>
      <c r="AC50">
        <f>+imp_jm!AC50+imp_oth!AC50+imp_gov!AC50</f>
        <v>59733</v>
      </c>
      <c r="AD50">
        <f>+imp_jm!AD50+imp_oth!AD50+imp_gov!AD50</f>
        <v>26309</v>
      </c>
      <c r="AE50">
        <f>+imp_jm!AE50+imp_oth!AE50+imp_gov!AE50</f>
        <v>17295</v>
      </c>
      <c r="AF50">
        <f>+imp_jm!AF50+imp_oth!AF50+imp_gov!AF50</f>
        <v>4730873</v>
      </c>
      <c r="AG50">
        <f>+imp_jm!AG50+imp_oth!AG50+imp_gov!AG50</f>
        <v>619295</v>
      </c>
      <c r="AH50">
        <f>+imp_jm!AH50+imp_oth!AH50+imp_gov!AH50</f>
        <v>435750</v>
      </c>
    </row>
    <row r="51" spans="2:34">
      <c r="B51" t="s">
        <v>32</v>
      </c>
      <c r="AC51">
        <f>+imp_jm!AC51+imp_oth!AC51+imp_gov!AC51</f>
        <v>0</v>
      </c>
      <c r="AD51">
        <f>+imp_jm!AD51+imp_oth!AD51+imp_gov!AD51</f>
        <v>0</v>
      </c>
      <c r="AE51">
        <f>+imp_jm!AE51+imp_oth!AE51+imp_gov!AE51</f>
        <v>0</v>
      </c>
      <c r="AF51">
        <f>+imp_jm!AF51+imp_oth!AF51+imp_gov!AF51</f>
        <v>0</v>
      </c>
      <c r="AG51">
        <f>+imp_jm!AG51+imp_oth!AG51+imp_gov!AG51</f>
        <v>0</v>
      </c>
      <c r="AH51">
        <f>+imp_jm!AH51+imp_oth!AH51+imp_gov!AH51</f>
        <v>0</v>
      </c>
    </row>
    <row r="52" spans="2:34">
      <c r="B52" t="s">
        <v>33</v>
      </c>
      <c r="AC52">
        <f>+imp_jm!AC52+imp_oth!AC52+imp_gov!AC52</f>
        <v>40984198</v>
      </c>
      <c r="AD52">
        <f>+imp_jm!AD52+imp_oth!AD52+imp_gov!AD52</f>
        <v>44799296</v>
      </c>
      <c r="AE52">
        <f>+imp_jm!AE52+imp_oth!AE52+imp_gov!AE52</f>
        <v>58600610</v>
      </c>
      <c r="AF52">
        <f>+imp_jm!AF52+imp_oth!AF52+imp_gov!AF52</f>
        <v>46224588</v>
      </c>
      <c r="AG52">
        <f>+imp_jm!AG52+imp_oth!AG52+imp_gov!AG52</f>
        <v>47830247</v>
      </c>
      <c r="AH52">
        <f>+imp_jm!AH52+imp_oth!AH52+imp_gov!AH52</f>
        <v>60048241</v>
      </c>
    </row>
    <row r="53" spans="2:34">
      <c r="B53" t="s">
        <v>34</v>
      </c>
      <c r="AC53">
        <f>+imp_jm!AC53+imp_oth!AC53+imp_gov!AC53</f>
        <v>10845491</v>
      </c>
      <c r="AD53">
        <f>+imp_jm!AD53+imp_oth!AD53+imp_gov!AD53</f>
        <v>14354074</v>
      </c>
      <c r="AE53">
        <f>+imp_jm!AE53+imp_oth!AE53+imp_gov!AE53</f>
        <v>22871844</v>
      </c>
      <c r="AF53">
        <f>+imp_jm!AF53+imp_oth!AF53+imp_gov!AF53</f>
        <v>10984142</v>
      </c>
      <c r="AG53">
        <f>+imp_jm!AG53+imp_oth!AG53+imp_gov!AG53</f>
        <v>16159427</v>
      </c>
      <c r="AH53">
        <f>+imp_jm!AH53+imp_oth!AH53+imp_gov!AH53</f>
        <v>17840263</v>
      </c>
    </row>
    <row r="54" spans="2:34">
      <c r="B54" t="s">
        <v>35</v>
      </c>
      <c r="AC54">
        <f>+imp_jm!AC54+imp_oth!AC54+imp_gov!AC54</f>
        <v>1014932</v>
      </c>
      <c r="AD54">
        <f>+imp_jm!AD54+imp_oth!AD54+imp_gov!AD54</f>
        <v>1112287</v>
      </c>
      <c r="AE54">
        <f>+imp_jm!AE54+imp_oth!AE54+imp_gov!AE54</f>
        <v>671189</v>
      </c>
      <c r="AF54">
        <f>+imp_jm!AF54+imp_oth!AF54+imp_gov!AF54</f>
        <v>4042435</v>
      </c>
      <c r="AG54">
        <f>+imp_jm!AG54+imp_oth!AG54+imp_gov!AG54</f>
        <v>1757964</v>
      </c>
      <c r="AH54">
        <f>+imp_jm!AH54+imp_oth!AH54+imp_gov!AH54</f>
        <v>577709</v>
      </c>
    </row>
    <row r="55" spans="2:34">
      <c r="B55" t="s">
        <v>36</v>
      </c>
      <c r="AC55">
        <f>+imp_jm!AC55+imp_oth!AC55+imp_gov!AC55</f>
        <v>14745848</v>
      </c>
      <c r="AD55">
        <f>+imp_jm!AD55+imp_oth!AD55+imp_gov!AD55</f>
        <v>13980198</v>
      </c>
      <c r="AE55">
        <f>+imp_jm!AE55+imp_oth!AE55+imp_gov!AE55</f>
        <v>14442865</v>
      </c>
      <c r="AF55">
        <f>+imp_jm!AF55+imp_oth!AF55+imp_gov!AF55</f>
        <v>16232699</v>
      </c>
      <c r="AG55">
        <f>+imp_jm!AG55+imp_oth!AG55+imp_gov!AG55</f>
        <v>17768486</v>
      </c>
      <c r="AH55">
        <f>+imp_jm!AH55+imp_oth!AH55+imp_gov!AH55</f>
        <v>15916469</v>
      </c>
    </row>
    <row r="56" spans="2:34">
      <c r="B56" t="s">
        <v>37</v>
      </c>
      <c r="AC56">
        <f>+imp_jm!AC56+imp_oth!AC56+imp_gov!AC56</f>
        <v>110055859</v>
      </c>
      <c r="AD56">
        <f>+imp_jm!AD56+imp_oth!AD56+imp_gov!AD56</f>
        <v>125086707</v>
      </c>
      <c r="AE56">
        <f>+imp_jm!AE56+imp_oth!AE56+imp_gov!AE56</f>
        <v>124183113</v>
      </c>
      <c r="AF56">
        <f>+imp_jm!AF56+imp_oth!AF56+imp_gov!AF56</f>
        <v>118834327</v>
      </c>
      <c r="AG56">
        <f>+imp_jm!AG56+imp_oth!AG56+imp_gov!AG56</f>
        <v>110695662</v>
      </c>
      <c r="AH56">
        <f>+imp_jm!AH56+imp_oth!AH56+imp_gov!AH56</f>
        <v>111665360</v>
      </c>
    </row>
    <row r="57" spans="2:34">
      <c r="B57" t="s">
        <v>38</v>
      </c>
      <c r="AC57">
        <f>+imp_jm!AC57+imp_oth!AC57+imp_gov!AC57</f>
        <v>9790630</v>
      </c>
      <c r="AD57">
        <f>+imp_jm!AD57+imp_oth!AD57+imp_gov!AD57</f>
        <v>21179124</v>
      </c>
      <c r="AE57">
        <f>+imp_jm!AE57+imp_oth!AE57+imp_gov!AE57</f>
        <v>16843048</v>
      </c>
      <c r="AF57">
        <f>+imp_jm!AF57+imp_oth!AF57+imp_gov!AF57</f>
        <v>8525278</v>
      </c>
      <c r="AG57">
        <f>+imp_jm!AG57+imp_oth!AG57+imp_gov!AG57</f>
        <v>23493633</v>
      </c>
      <c r="AH57">
        <f>+imp_jm!AH57+imp_oth!AH57+imp_gov!AH57</f>
        <v>29610866</v>
      </c>
    </row>
    <row r="58" spans="2:34">
      <c r="B58" t="s">
        <v>39</v>
      </c>
      <c r="AC58">
        <f>+imp_jm!AC58+imp_oth!AC58+imp_gov!AC58</f>
        <v>16912058</v>
      </c>
      <c r="AD58">
        <f>+imp_jm!AD58+imp_oth!AD58+imp_gov!AD58</f>
        <v>10065414</v>
      </c>
      <c r="AE58">
        <f>+imp_jm!AE58+imp_oth!AE58+imp_gov!AE58</f>
        <v>4811329</v>
      </c>
      <c r="AF58">
        <f>+imp_jm!AF58+imp_oth!AF58+imp_gov!AF58</f>
        <v>5573075</v>
      </c>
      <c r="AG58">
        <f>+imp_jm!AG58+imp_oth!AG58+imp_gov!AG58</f>
        <v>6276268</v>
      </c>
      <c r="AH58">
        <f>+imp_jm!AH58+imp_oth!AH58+imp_gov!AH58</f>
        <v>8912724</v>
      </c>
    </row>
    <row r="59" spans="2:34">
      <c r="B59" t="s">
        <v>83</v>
      </c>
      <c r="AC59">
        <f>+imp_jm!AC59+imp_oth!AC59+imp_gov!AC59</f>
        <v>13274729</v>
      </c>
      <c r="AD59">
        <f>+imp_jm!AD59+imp_oth!AD59+imp_gov!AD59</f>
        <v>21766355</v>
      </c>
      <c r="AE59">
        <f>+imp_jm!AE59+imp_oth!AE59+imp_gov!AE59</f>
        <v>20139290</v>
      </c>
      <c r="AF59">
        <f>+imp_jm!AF59+imp_oth!AF59+imp_gov!AF59</f>
        <v>18851082</v>
      </c>
      <c r="AG59">
        <f>+imp_jm!AG59+imp_oth!AG59+imp_gov!AG59</f>
        <v>18870104</v>
      </c>
      <c r="AH59">
        <f>+imp_jm!AH59+imp_oth!AH59+imp_gov!AH59</f>
        <v>18746413</v>
      </c>
    </row>
    <row r="60" spans="2:34">
      <c r="B60" t="s">
        <v>88</v>
      </c>
      <c r="AC60">
        <f>+imp_jm!AC60+imp_oth!AC60+imp_gov!AC60</f>
        <v>8379248</v>
      </c>
      <c r="AD60">
        <f>+imp_jm!AD60+imp_oth!AD60+imp_gov!AD60</f>
        <v>7940114</v>
      </c>
      <c r="AE60">
        <f>+imp_jm!AE60+imp_oth!AE60+imp_gov!AE60</f>
        <v>9832110</v>
      </c>
      <c r="AF60">
        <f>+imp_jm!AF60+imp_oth!AF60+imp_gov!AF60</f>
        <v>9729248</v>
      </c>
      <c r="AG60">
        <f>+imp_jm!AG60+imp_oth!AG60+imp_gov!AG60</f>
        <v>9930354</v>
      </c>
      <c r="AH60">
        <f>+imp_jm!AH60+imp_oth!AH60+imp_gov!AH60</f>
        <v>0</v>
      </c>
    </row>
    <row r="61" spans="2:34">
      <c r="B61" t="s">
        <v>89</v>
      </c>
      <c r="AC61">
        <f>+imp_jm!AC61+imp_oth!AC61+imp_gov!AC61</f>
        <v>9100</v>
      </c>
      <c r="AD61">
        <f>+imp_jm!AD61+imp_oth!AD61+imp_gov!AD61</f>
        <v>179</v>
      </c>
      <c r="AE61">
        <f>+imp_jm!AE61+imp_oth!AE61+imp_gov!AE61</f>
        <v>0</v>
      </c>
      <c r="AF61">
        <f>+imp_jm!AF61+imp_oth!AF61+imp_gov!AF61</f>
        <v>355</v>
      </c>
      <c r="AG61">
        <f>+imp_jm!AG61+imp_oth!AG61+imp_gov!AG61</f>
        <v>0</v>
      </c>
      <c r="AH61">
        <f>+imp_jm!AH61+imp_oth!AH61+imp_gov!AH61</f>
        <v>0</v>
      </c>
    </row>
    <row r="62" spans="2:34">
      <c r="B62" t="s">
        <v>96</v>
      </c>
      <c r="AC62">
        <f>+imp_jm!AC62+imp_oth!AC62+imp_gov!AC62</f>
        <v>0</v>
      </c>
      <c r="AD62">
        <f>+imp_jm!AD62+imp_oth!AD62+imp_gov!AD62</f>
        <v>0</v>
      </c>
      <c r="AE62">
        <f>+imp_jm!AE62+imp_oth!AE62+imp_gov!AE62</f>
        <v>0</v>
      </c>
      <c r="AF62">
        <f>+imp_jm!AF62+imp_oth!AF62+imp_gov!AF62</f>
        <v>550</v>
      </c>
      <c r="AG62">
        <f>+imp_jm!AG62+imp_oth!AG62+imp_gov!AG62</f>
        <v>485</v>
      </c>
      <c r="AH62">
        <f>+imp_jm!AH62+imp_oth!AH62+imp_gov!AH62</f>
        <v>0</v>
      </c>
    </row>
    <row r="63" spans="2:34">
      <c r="B63" t="s">
        <v>41</v>
      </c>
      <c r="AC63">
        <f>+imp_jm!AC63+imp_oth!AC63+imp_gov!AC63</f>
        <v>0</v>
      </c>
      <c r="AD63">
        <f>+imp_jm!AD63+imp_oth!AD63+imp_gov!AD63</f>
        <v>0</v>
      </c>
      <c r="AE63">
        <f>+imp_jm!AE63+imp_oth!AE63+imp_gov!AE63</f>
        <v>0</v>
      </c>
      <c r="AF63">
        <f>+imp_jm!AF63+imp_oth!AF63+imp_gov!AF63</f>
        <v>0</v>
      </c>
      <c r="AG63">
        <f>+imp_jm!AG63+imp_oth!AG63+imp_gov!AG63</f>
        <v>0</v>
      </c>
      <c r="AH63">
        <f>+imp_jm!AH63+imp_oth!AH63+imp_gov!AH63</f>
        <v>12073986</v>
      </c>
    </row>
    <row r="64" spans="2:34">
      <c r="B64" t="s">
        <v>42</v>
      </c>
      <c r="AC64">
        <f>+imp_jm!AC64+imp_oth!AC64+imp_gov!AC64</f>
        <v>0</v>
      </c>
      <c r="AD64">
        <f>+imp_jm!AD64+imp_oth!AD64+imp_gov!AD64</f>
        <v>0</v>
      </c>
      <c r="AE64">
        <f>+imp_jm!AE64+imp_oth!AE64+imp_gov!AE64</f>
        <v>0</v>
      </c>
      <c r="AF64">
        <f>+imp_jm!AF64+imp_oth!AF64+imp_gov!AF64</f>
        <v>0</v>
      </c>
      <c r="AG64">
        <f>+imp_jm!AG64+imp_oth!AG64+imp_gov!AG64</f>
        <v>0</v>
      </c>
      <c r="AH64">
        <f>+imp_jm!AH64+imp_oth!AH64+imp_gov!AH64</f>
        <v>0</v>
      </c>
    </row>
    <row r="65" spans="2:34">
      <c r="B65" t="s">
        <v>43</v>
      </c>
      <c r="AC65">
        <f>+imp_jm!AC65+imp_oth!AC65+imp_gov!AC65</f>
        <v>67070109</v>
      </c>
      <c r="AD65">
        <f>+imp_jm!AD65+imp_oth!AD65+imp_gov!AD65</f>
        <v>90101968</v>
      </c>
      <c r="AE65">
        <f>+imp_jm!AE65+imp_oth!AE65+imp_gov!AE65</f>
        <v>82171291</v>
      </c>
      <c r="AF65">
        <f>+imp_jm!AF65+imp_oth!AF65+imp_gov!AF65</f>
        <v>90123457</v>
      </c>
      <c r="AG65">
        <f>+imp_jm!AG65+imp_oth!AG65+imp_gov!AG65</f>
        <v>93681998</v>
      </c>
      <c r="AH65">
        <f>+imp_jm!AH65+imp_oth!AH65+imp_gov!AH65</f>
        <v>114868644</v>
      </c>
    </row>
    <row r="66" spans="2:34">
      <c r="B66" t="s">
        <v>44</v>
      </c>
      <c r="AC66">
        <f>+imp_jm!AC66+imp_oth!AC66+imp_gov!AC66</f>
        <v>503125</v>
      </c>
      <c r="AD66">
        <f>+imp_jm!AD66+imp_oth!AD66+imp_gov!AD66</f>
        <v>603409</v>
      </c>
      <c r="AE66">
        <f>+imp_jm!AE66+imp_oth!AE66+imp_gov!AE66</f>
        <v>398843</v>
      </c>
      <c r="AF66">
        <f>+imp_jm!AF66+imp_oth!AF66+imp_gov!AF66</f>
        <v>460714</v>
      </c>
      <c r="AG66">
        <f>+imp_jm!AG66+imp_oth!AG66+imp_gov!AG66</f>
        <v>659363</v>
      </c>
      <c r="AH66">
        <f>+imp_jm!AH66+imp_oth!AH66+imp_gov!AH66</f>
        <v>676630</v>
      </c>
    </row>
    <row r="67" spans="2:34">
      <c r="B67" t="s">
        <v>45</v>
      </c>
      <c r="AC67">
        <f>+imp_jm!AC67+imp_oth!AC67+imp_gov!AC67</f>
        <v>712654</v>
      </c>
      <c r="AD67">
        <f>+imp_jm!AD67+imp_oth!AD67+imp_gov!AD67</f>
        <v>355315</v>
      </c>
      <c r="AE67">
        <f>+imp_jm!AE67+imp_oth!AE67+imp_gov!AE67</f>
        <v>491026</v>
      </c>
      <c r="AF67">
        <f>+imp_jm!AF67+imp_oth!AF67+imp_gov!AF67</f>
        <v>232768</v>
      </c>
      <c r="AG67">
        <f>+imp_jm!AG67+imp_oth!AG67+imp_gov!AG67</f>
        <v>636091</v>
      </c>
      <c r="AH67">
        <f>+imp_jm!AH67+imp_oth!AH67+imp_gov!AH67</f>
        <v>2058435</v>
      </c>
    </row>
    <row r="68" spans="2:34">
      <c r="B68" t="s">
        <v>46</v>
      </c>
      <c r="AC68">
        <f>+imp_jm!AC68+imp_oth!AC68+imp_gov!AC68</f>
        <v>1967102</v>
      </c>
      <c r="AD68">
        <f>+imp_jm!AD68+imp_oth!AD68+imp_gov!AD68</f>
        <v>2066001</v>
      </c>
      <c r="AE68">
        <f>+imp_jm!AE68+imp_oth!AE68+imp_gov!AE68</f>
        <v>1541997</v>
      </c>
      <c r="AF68">
        <f>+imp_jm!AF68+imp_oth!AF68+imp_gov!AF68</f>
        <v>2294879</v>
      </c>
      <c r="AG68">
        <f>+imp_jm!AG68+imp_oth!AG68+imp_gov!AG68</f>
        <v>1772012</v>
      </c>
      <c r="AH68">
        <f>+imp_jm!AH68+imp_oth!AH68+imp_gov!AH68</f>
        <v>1146240</v>
      </c>
    </row>
    <row r="69" spans="2:34">
      <c r="B69" t="s">
        <v>47</v>
      </c>
      <c r="AC69">
        <f>+imp_jm!AC69+imp_oth!AC69+imp_gov!AC69</f>
        <v>0</v>
      </c>
      <c r="AD69">
        <f>+imp_jm!AD69+imp_oth!AD69+imp_gov!AD69</f>
        <v>0</v>
      </c>
      <c r="AE69">
        <f>+imp_jm!AE69+imp_oth!AE69+imp_gov!AE69</f>
        <v>0</v>
      </c>
      <c r="AF69">
        <f>+imp_jm!AF69+imp_oth!AF69+imp_gov!AF69</f>
        <v>2602</v>
      </c>
      <c r="AG69">
        <f>+imp_jm!AG69+imp_oth!AG69+imp_gov!AG69</f>
        <v>0</v>
      </c>
      <c r="AH69">
        <f>+imp_jm!AH69+imp_oth!AH69+imp_gov!AH69</f>
        <v>0</v>
      </c>
    </row>
    <row r="70" spans="2:34">
      <c r="B70" t="s">
        <v>48</v>
      </c>
      <c r="AC70">
        <f>+imp_jm!AC70+imp_oth!AC70+imp_gov!AC70</f>
        <v>0</v>
      </c>
      <c r="AD70">
        <f>+imp_jm!AD70+imp_oth!AD70+imp_gov!AD70</f>
        <v>0</v>
      </c>
      <c r="AE70">
        <f>+imp_jm!AE70+imp_oth!AE70+imp_gov!AE70</f>
        <v>0</v>
      </c>
      <c r="AF70">
        <f>+imp_jm!AF70+imp_oth!AF70+imp_gov!AF70</f>
        <v>0</v>
      </c>
      <c r="AG70">
        <f>+imp_jm!AG70+imp_oth!AG70+imp_gov!AG70</f>
        <v>0</v>
      </c>
      <c r="AH70">
        <f>+imp_jm!AH70+imp_oth!AH70+imp_gov!AH70</f>
        <v>0</v>
      </c>
    </row>
    <row r="71" spans="2:34">
      <c r="B71" t="s">
        <v>49</v>
      </c>
      <c r="AC71">
        <f>+imp_jm!AC71+imp_oth!AC71+imp_gov!AC71</f>
        <v>21299048</v>
      </c>
      <c r="AD71">
        <f>+imp_jm!AD71+imp_oth!AD71+imp_gov!AD71</f>
        <v>23719547</v>
      </c>
      <c r="AE71">
        <f>+imp_jm!AE71+imp_oth!AE71+imp_gov!AE71</f>
        <v>24809414</v>
      </c>
      <c r="AF71">
        <f>+imp_jm!AF71+imp_oth!AF71+imp_gov!AF71</f>
        <v>25025977</v>
      </c>
      <c r="AG71">
        <f>+imp_jm!AG71+imp_oth!AG71+imp_gov!AG71</f>
        <v>26082681</v>
      </c>
      <c r="AH71">
        <f>+imp_jm!AH71+imp_oth!AH71+imp_gov!AH71</f>
        <v>26638520</v>
      </c>
    </row>
    <row r="72" spans="2:34">
      <c r="B72" t="s">
        <v>50</v>
      </c>
      <c r="AC72">
        <f>+imp_jm!AC72+imp_oth!AC72+imp_gov!AC72</f>
        <v>0</v>
      </c>
      <c r="AD72">
        <f>+imp_jm!AD72+imp_oth!AD72+imp_gov!AD72</f>
        <v>0</v>
      </c>
      <c r="AE72">
        <f>+imp_jm!AE72+imp_oth!AE72+imp_gov!AE72</f>
        <v>0</v>
      </c>
      <c r="AF72">
        <f>+imp_jm!AF72+imp_oth!AF72+imp_gov!AF72</f>
        <v>1185</v>
      </c>
      <c r="AG72">
        <f>+imp_jm!AG72+imp_oth!AG72+imp_gov!AG72</f>
        <v>132</v>
      </c>
      <c r="AH72">
        <f>+imp_jm!AH72+imp_oth!AH72+imp_gov!AH72</f>
        <v>19767</v>
      </c>
    </row>
    <row r="73" spans="2:34">
      <c r="B73" t="s">
        <v>51</v>
      </c>
      <c r="AC73">
        <f>+imp_jm!AC73+imp_oth!AC73+imp_gov!AC73</f>
        <v>1487</v>
      </c>
      <c r="AD73">
        <f>+imp_jm!AD73+imp_oth!AD73+imp_gov!AD73</f>
        <v>2619</v>
      </c>
      <c r="AE73">
        <f>+imp_jm!AE73+imp_oth!AE73+imp_gov!AE73</f>
        <v>31</v>
      </c>
      <c r="AF73">
        <f>+imp_jm!AF73+imp_oth!AF73+imp_gov!AF73</f>
        <v>4423</v>
      </c>
      <c r="AG73">
        <f>+imp_jm!AG73+imp_oth!AG73+imp_gov!AG73</f>
        <v>9912</v>
      </c>
      <c r="AH73">
        <f>+imp_jm!AH73+imp_oth!AH73+imp_gov!AH73</f>
        <v>0</v>
      </c>
    </row>
    <row r="74" spans="2:34">
      <c r="B74" t="s">
        <v>90</v>
      </c>
      <c r="AC74">
        <f>+imp_jm!AC74+imp_oth!AC74+imp_gov!AC74</f>
        <v>44133</v>
      </c>
      <c r="AD74">
        <f>+imp_jm!AD74+imp_oth!AD74+imp_gov!AD74</f>
        <v>48632</v>
      </c>
      <c r="AE74">
        <f>+imp_jm!AE74+imp_oth!AE74+imp_gov!AE74</f>
        <v>85947</v>
      </c>
      <c r="AF74">
        <f>+imp_jm!AF74+imp_oth!AF74+imp_gov!AF74</f>
        <v>0</v>
      </c>
      <c r="AG74">
        <f>+imp_jm!AG74+imp_oth!AG74+imp_gov!AG74</f>
        <v>0</v>
      </c>
      <c r="AH74">
        <f>+imp_jm!AH74+imp_oth!AH74+imp_gov!AH74</f>
        <v>0</v>
      </c>
    </row>
    <row r="75" spans="2:34">
      <c r="B75" t="s">
        <v>92</v>
      </c>
      <c r="AC75">
        <f>+imp_jm!AC75+imp_oth!AC75+imp_gov!AC75</f>
        <v>0</v>
      </c>
      <c r="AD75">
        <f>+imp_jm!AD75+imp_oth!AD75+imp_gov!AD75</f>
        <v>1576</v>
      </c>
      <c r="AE75">
        <f>+imp_jm!AE75+imp_oth!AE75+imp_gov!AE75</f>
        <v>0</v>
      </c>
      <c r="AF75">
        <f>+imp_jm!AF75+imp_oth!AF75+imp_gov!AF75</f>
        <v>0</v>
      </c>
      <c r="AG75">
        <f>+imp_jm!AG75+imp_oth!AG75+imp_gov!AG75</f>
        <v>0</v>
      </c>
      <c r="AH75">
        <f>+imp_jm!AH75+imp_oth!AH75+imp_gov!AH75</f>
        <v>0</v>
      </c>
    </row>
    <row r="76" spans="2:34">
      <c r="B76" t="s">
        <v>52</v>
      </c>
      <c r="AC76">
        <f>+imp_jm!AC76+imp_oth!AC76+imp_gov!AC76</f>
        <v>0</v>
      </c>
      <c r="AD76">
        <f>+imp_jm!AD76+imp_oth!AD76+imp_gov!AD76</f>
        <v>0</v>
      </c>
      <c r="AE76">
        <f>+imp_jm!AE76+imp_oth!AE76+imp_gov!AE76</f>
        <v>420</v>
      </c>
      <c r="AF76">
        <f>+imp_jm!AF76+imp_oth!AF76+imp_gov!AF76</f>
        <v>8981</v>
      </c>
      <c r="AG76">
        <f>+imp_jm!AG76+imp_oth!AG76+imp_gov!AG76</f>
        <v>11155</v>
      </c>
      <c r="AH76">
        <f>+imp_jm!AH76+imp_oth!AH76+imp_gov!AH76</f>
        <v>385</v>
      </c>
    </row>
    <row r="77" spans="2:34">
      <c r="B77" t="s">
        <v>75</v>
      </c>
      <c r="AC77">
        <f>+imp_jm!AC77+imp_oth!AC77+imp_gov!AC77</f>
        <v>0</v>
      </c>
      <c r="AD77">
        <f>+imp_jm!AD77+imp_oth!AD77+imp_gov!AD77</f>
        <v>0</v>
      </c>
      <c r="AE77">
        <f>+imp_jm!AE77+imp_oth!AE77+imp_gov!AE77</f>
        <v>3</v>
      </c>
      <c r="AF77">
        <f>+imp_jm!AF77+imp_oth!AF77+imp_gov!AF77</f>
        <v>0</v>
      </c>
      <c r="AG77">
        <f>+imp_jm!AG77+imp_oth!AG77+imp_gov!AG77</f>
        <v>0</v>
      </c>
      <c r="AH77">
        <f>+imp_jm!AH77+imp_oth!AH77+imp_gov!AH77</f>
        <v>0</v>
      </c>
    </row>
    <row r="78" spans="2:34">
      <c r="B78" t="s">
        <v>53</v>
      </c>
      <c r="AC78">
        <f>+imp_jm!AC78+imp_oth!AC78+imp_gov!AC78</f>
        <v>358423</v>
      </c>
      <c r="AD78">
        <f>+imp_jm!AD78+imp_oth!AD78+imp_gov!AD78</f>
        <v>544789</v>
      </c>
      <c r="AE78">
        <f>+imp_jm!AE78+imp_oth!AE78+imp_gov!AE78</f>
        <v>1523456</v>
      </c>
      <c r="AF78">
        <f>+imp_jm!AF78+imp_oth!AF78+imp_gov!AF78</f>
        <v>1512128</v>
      </c>
      <c r="AG78">
        <f>+imp_jm!AG78+imp_oth!AG78+imp_gov!AG78</f>
        <v>2022604</v>
      </c>
      <c r="AH78">
        <f>+imp_jm!AH78+imp_oth!AH78+imp_gov!AH78</f>
        <v>2367597</v>
      </c>
    </row>
    <row r="79" spans="2:34">
      <c r="B79" t="s">
        <v>93</v>
      </c>
      <c r="AC79">
        <f>+imp_jm!AC79+imp_oth!AC79+imp_gov!AC79</f>
        <v>0</v>
      </c>
      <c r="AD79">
        <f>+imp_jm!AD79+imp_oth!AD79+imp_gov!AD79</f>
        <v>356</v>
      </c>
      <c r="AE79">
        <f>+imp_jm!AE79+imp_oth!AE79+imp_gov!AE79</f>
        <v>0</v>
      </c>
      <c r="AF79">
        <f>+imp_jm!AF79+imp_oth!AF79+imp_gov!AF79</f>
        <v>0</v>
      </c>
      <c r="AG79">
        <f>+imp_jm!AG79+imp_oth!AG79+imp_gov!AG79</f>
        <v>0</v>
      </c>
      <c r="AH79">
        <f>+imp_jm!AH79+imp_oth!AH79+imp_gov!AH79</f>
        <v>0</v>
      </c>
    </row>
    <row r="80" spans="2:34">
      <c r="B80" t="s">
        <v>76</v>
      </c>
      <c r="AC80">
        <f>+imp_jm!AC80+imp_oth!AC80+imp_gov!AC80</f>
        <v>0</v>
      </c>
      <c r="AD80">
        <f>+imp_jm!AD80+imp_oth!AD80+imp_gov!AD80</f>
        <v>0</v>
      </c>
      <c r="AE80">
        <f>+imp_jm!AE80+imp_oth!AE80+imp_gov!AE80</f>
        <v>0</v>
      </c>
      <c r="AF80">
        <f>+imp_jm!AF80+imp_oth!AF80+imp_gov!AF80</f>
        <v>0</v>
      </c>
      <c r="AG80">
        <f>+imp_jm!AG80+imp_oth!AG80+imp_gov!AG80</f>
        <v>0</v>
      </c>
      <c r="AH80">
        <f>+imp_jm!AH80+imp_oth!AH80+imp_gov!AH80</f>
        <v>0</v>
      </c>
    </row>
    <row r="81" spans="2:34">
      <c r="B81" t="s">
        <v>77</v>
      </c>
      <c r="AC81">
        <f>+imp_jm!AC81+imp_oth!AC81+imp_gov!AC81</f>
        <v>0</v>
      </c>
      <c r="AD81">
        <f>+imp_jm!AD81+imp_oth!AD81+imp_gov!AD81</f>
        <v>0</v>
      </c>
      <c r="AE81">
        <f>+imp_jm!AE81+imp_oth!AE81+imp_gov!AE81</f>
        <v>0</v>
      </c>
      <c r="AF81">
        <f>+imp_jm!AF81+imp_oth!AF81+imp_gov!AF81</f>
        <v>0</v>
      </c>
      <c r="AG81">
        <f>+imp_jm!AG81+imp_oth!AG81+imp_gov!AG81</f>
        <v>0</v>
      </c>
      <c r="AH81">
        <f>+imp_jm!AH81+imp_oth!AH81+imp_gov!AH81</f>
        <v>0</v>
      </c>
    </row>
    <row r="82" spans="2:34">
      <c r="B82" t="s">
        <v>78</v>
      </c>
      <c r="AC82">
        <f>+imp_jm!AC82+imp_oth!AC82+imp_gov!AC82</f>
        <v>0</v>
      </c>
      <c r="AD82">
        <f>+imp_jm!AD82+imp_oth!AD82+imp_gov!AD82</f>
        <v>0</v>
      </c>
      <c r="AE82">
        <f>+imp_jm!AE82+imp_oth!AE82+imp_gov!AE82</f>
        <v>0</v>
      </c>
      <c r="AF82">
        <f>+imp_jm!AF82+imp_oth!AF82+imp_gov!AF82</f>
        <v>0</v>
      </c>
      <c r="AG82">
        <f>+imp_jm!AG82+imp_oth!AG82+imp_gov!AG82</f>
        <v>0</v>
      </c>
      <c r="AH82">
        <f>+imp_jm!AH82+imp_oth!AH82+imp_gov!AH82</f>
        <v>0</v>
      </c>
    </row>
    <row r="83" spans="2:34">
      <c r="B83" t="s">
        <v>54</v>
      </c>
      <c r="AC83">
        <f>+imp_jm!AC83+imp_oth!AC83+imp_gov!AC83</f>
        <v>0</v>
      </c>
      <c r="AD83">
        <f>+imp_jm!AD83+imp_oth!AD83+imp_gov!AD83</f>
        <v>81265</v>
      </c>
      <c r="AE83">
        <f>+imp_jm!AE83+imp_oth!AE83+imp_gov!AE83</f>
        <v>759106</v>
      </c>
      <c r="AF83">
        <f>+imp_jm!AF83+imp_oth!AF83+imp_gov!AF83</f>
        <v>1252976</v>
      </c>
      <c r="AG83">
        <f>+imp_jm!AG83+imp_oth!AG83+imp_gov!AG83</f>
        <v>1982693</v>
      </c>
      <c r="AH83">
        <f>+imp_jm!AH83+imp_oth!AH83+imp_gov!AH83</f>
        <v>2068958</v>
      </c>
    </row>
    <row r="84" spans="2:34">
      <c r="B84" t="s">
        <v>79</v>
      </c>
      <c r="AC84">
        <f>+imp_jm!AC84+imp_oth!AC84+imp_gov!AC84</f>
        <v>0</v>
      </c>
      <c r="AD84">
        <f>+imp_jm!AD84+imp_oth!AD84+imp_gov!AD84</f>
        <v>0</v>
      </c>
      <c r="AE84">
        <f>+imp_jm!AE84+imp_oth!AE84+imp_gov!AE84</f>
        <v>0</v>
      </c>
      <c r="AF84">
        <f>+imp_jm!AF84+imp_oth!AF84+imp_gov!AF84</f>
        <v>0</v>
      </c>
      <c r="AG84">
        <f>+imp_jm!AG84+imp_oth!AG84+imp_gov!AG84</f>
        <v>0</v>
      </c>
      <c r="AH84">
        <f>+imp_jm!AH84+imp_oth!AH84+imp_gov!AH84</f>
        <v>0</v>
      </c>
    </row>
    <row r="85" spans="2:34">
      <c r="B85" t="s">
        <v>55</v>
      </c>
      <c r="AC85">
        <f>+imp_jm!AC85+imp_oth!AC85+imp_gov!AC85</f>
        <v>849694</v>
      </c>
      <c r="AD85">
        <f>+imp_jm!AD85+imp_oth!AD85+imp_gov!AD85</f>
        <v>572336</v>
      </c>
      <c r="AE85">
        <f>+imp_jm!AE85+imp_oth!AE85+imp_gov!AE85</f>
        <v>109482</v>
      </c>
      <c r="AF85">
        <f>+imp_jm!AF85+imp_oth!AF85+imp_gov!AF85</f>
        <v>762381</v>
      </c>
      <c r="AG85">
        <f>+imp_jm!AG85+imp_oth!AG85+imp_gov!AG85</f>
        <v>1006911</v>
      </c>
      <c r="AH85">
        <f>+imp_jm!AH85+imp_oth!AH85+imp_gov!AH85</f>
        <v>1216706</v>
      </c>
    </row>
    <row r="86" spans="2:34">
      <c r="B86" t="s">
        <v>56</v>
      </c>
      <c r="AC86">
        <f>+imp_jm!AC86+imp_oth!AC86+imp_gov!AC86</f>
        <v>0</v>
      </c>
      <c r="AD86">
        <f>+imp_jm!AD86+imp_oth!AD86+imp_gov!AD86</f>
        <v>0</v>
      </c>
      <c r="AE86">
        <f>+imp_jm!AE86+imp_oth!AE86+imp_gov!AE86</f>
        <v>0</v>
      </c>
      <c r="AF86">
        <f>+imp_jm!AF86+imp_oth!AF86+imp_gov!AF86</f>
        <v>26615</v>
      </c>
      <c r="AG86">
        <f>+imp_jm!AG86+imp_oth!AG86+imp_gov!AG86</f>
        <v>0</v>
      </c>
      <c r="AH86">
        <f>+imp_jm!AH86+imp_oth!AH86+imp_gov!AH86</f>
        <v>3717</v>
      </c>
    </row>
    <row r="87" spans="2:34">
      <c r="B87" t="s">
        <v>80</v>
      </c>
      <c r="AC87">
        <f>+imp_jm!AC87+imp_oth!AC87+imp_gov!AC87</f>
        <v>0</v>
      </c>
      <c r="AD87">
        <f>+imp_jm!AD87+imp_oth!AD87+imp_gov!AD87</f>
        <v>0</v>
      </c>
      <c r="AE87">
        <f>+imp_jm!AE87+imp_oth!AE87+imp_gov!AE87</f>
        <v>0</v>
      </c>
      <c r="AF87">
        <f>+imp_jm!AF87+imp_oth!AF87+imp_gov!AF87</f>
        <v>0</v>
      </c>
      <c r="AG87">
        <f>+imp_jm!AG87+imp_oth!AG87+imp_gov!AG87</f>
        <v>0</v>
      </c>
      <c r="AH87">
        <f>+imp_jm!AH87+imp_oth!AH87+imp_gov!AH87</f>
        <v>0</v>
      </c>
    </row>
    <row r="88" spans="2:34">
      <c r="B88" t="s">
        <v>81</v>
      </c>
      <c r="AC88">
        <f>+imp_jm!AC88+imp_oth!AC88+imp_gov!AC88</f>
        <v>0</v>
      </c>
      <c r="AD88">
        <f>+imp_jm!AD88+imp_oth!AD88+imp_gov!AD88</f>
        <v>52</v>
      </c>
      <c r="AE88">
        <f>+imp_jm!AE88+imp_oth!AE88+imp_gov!AE88</f>
        <v>46</v>
      </c>
      <c r="AF88">
        <f>+imp_jm!AF88+imp_oth!AF88+imp_gov!AF88</f>
        <v>0</v>
      </c>
      <c r="AG88">
        <f>+imp_jm!AG88+imp_oth!AG88+imp_gov!AG88</f>
        <v>1194</v>
      </c>
      <c r="AH88">
        <f>+imp_jm!AH88+imp_oth!AH88+imp_gov!AH88</f>
        <v>27793</v>
      </c>
    </row>
    <row r="89" spans="2:34">
      <c r="B89" t="s">
        <v>57</v>
      </c>
      <c r="AC89">
        <f>+imp_jm!AC89+imp_oth!AC89+imp_gov!AC89</f>
        <v>0</v>
      </c>
      <c r="AD89">
        <f>+imp_jm!AD89+imp_oth!AD89+imp_gov!AD89</f>
        <v>0</v>
      </c>
      <c r="AE89">
        <f>+imp_jm!AE89+imp_oth!AE89+imp_gov!AE89</f>
        <v>0</v>
      </c>
      <c r="AF89">
        <f>+imp_jm!AF89+imp_oth!AF89+imp_gov!AF89</f>
        <v>0</v>
      </c>
      <c r="AG89">
        <f>+imp_jm!AG89+imp_oth!AG89+imp_gov!AG89</f>
        <v>0</v>
      </c>
      <c r="AH89">
        <f>+imp_jm!AH89+imp_oth!AH89+imp_gov!AH89</f>
        <v>0</v>
      </c>
    </row>
    <row r="90" spans="2:34">
      <c r="B90" t="s">
        <v>84</v>
      </c>
      <c r="AC90">
        <f>+imp_jm!AC90+imp_oth!AC90+imp_gov!AC90</f>
        <v>717191</v>
      </c>
      <c r="AD90">
        <f>+imp_jm!AD90+imp_oth!AD90+imp_gov!AD90</f>
        <v>582978</v>
      </c>
      <c r="AE90">
        <f>+imp_jm!AE90+imp_oth!AE90+imp_gov!AE90</f>
        <v>4482479</v>
      </c>
      <c r="AF90">
        <f>+imp_jm!AF90+imp_oth!AF90+imp_gov!AF90</f>
        <v>2645938</v>
      </c>
      <c r="AG90">
        <f>+imp_jm!AG90+imp_oth!AG90+imp_gov!AG90</f>
        <v>4255358</v>
      </c>
      <c r="AH90">
        <f>+imp_jm!AH90+imp_oth!AH90+imp_gov!AH90</f>
        <v>2140497</v>
      </c>
    </row>
    <row r="91" spans="2:34">
      <c r="B91" t="s">
        <v>58</v>
      </c>
      <c r="AC91">
        <f>+imp_jm!AC91+imp_oth!AC91+imp_gov!AC91</f>
        <v>0</v>
      </c>
      <c r="AD91">
        <f>+imp_jm!AD91+imp_oth!AD91+imp_gov!AD91</f>
        <v>40</v>
      </c>
      <c r="AE91">
        <f>+imp_jm!AE91+imp_oth!AE91+imp_gov!AE91</f>
        <v>0</v>
      </c>
      <c r="AF91">
        <f>+imp_jm!AF91+imp_oth!AF91+imp_gov!AF91</f>
        <v>0</v>
      </c>
      <c r="AG91">
        <f>+imp_jm!AG91+imp_oth!AG91+imp_gov!AG91</f>
        <v>0</v>
      </c>
      <c r="AH91">
        <f>+imp_jm!AH91+imp_oth!AH91+imp_gov!AH91</f>
        <v>0</v>
      </c>
    </row>
    <row r="92" spans="2:34">
      <c r="B92" t="s">
        <v>59</v>
      </c>
      <c r="AC92">
        <f>+imp_jm!AC92+imp_oth!AC92+imp_gov!AC92</f>
        <v>0</v>
      </c>
      <c r="AD92">
        <f>+imp_jm!AD92+imp_oth!AD92+imp_gov!AD92</f>
        <v>0</v>
      </c>
      <c r="AE92">
        <f>+imp_jm!AE92+imp_oth!AE92+imp_gov!AE92</f>
        <v>0</v>
      </c>
      <c r="AF92">
        <f>+imp_jm!AF92+imp_oth!AF92+imp_gov!AF92</f>
        <v>0</v>
      </c>
      <c r="AG92">
        <f>+imp_jm!AG92+imp_oth!AG92+imp_gov!AG92</f>
        <v>0</v>
      </c>
      <c r="AH92">
        <f>+imp_jm!AH92+imp_oth!AH92+imp_gov!AH92</f>
        <v>0</v>
      </c>
    </row>
    <row r="94" spans="2:34">
      <c r="AC94">
        <f>+imp_jm!AC94+imp_oth!AC94+imp_gov!AC94</f>
        <v>701257232</v>
      </c>
      <c r="AD94">
        <f>+imp_jm!AD94+imp_oth!AD94+imp_gov!AD94</f>
        <v>839522517</v>
      </c>
      <c r="AE94">
        <f>+imp_jm!AE94+imp_oth!AE94+imp_gov!AE94</f>
        <v>884811221</v>
      </c>
      <c r="AF94">
        <f>+imp_jm!AF94+imp_oth!AF94+imp_gov!AF94</f>
        <v>888494531</v>
      </c>
      <c r="AG94">
        <f>+imp_jm!AG94+imp_oth!AG94+imp_gov!AG94</f>
        <v>981863130</v>
      </c>
      <c r="AH94">
        <f>+imp_jm!AH94+imp_oth!AH94+imp_gov!AH94</f>
        <v>1088402840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C96"/>
  <sheetViews>
    <sheetView zoomScale="70" zoomScaleNormal="70" workbookViewId="0">
      <pane xSplit="4" ySplit="3" topLeftCell="Z76" activePane="bottomRight" state="frozen"/>
      <selection activeCell="B47" sqref="B47"/>
      <selection pane="topRight" activeCell="B47" sqref="B47"/>
      <selection pane="bottomLeft" activeCell="B47" sqref="B47"/>
      <selection pane="bottomRight" activeCell="AC96" sqref="AC96:AF96"/>
    </sheetView>
  </sheetViews>
  <sheetFormatPr defaultRowHeight="15"/>
  <cols>
    <col min="29" max="34" width="10.5703125" bestFit="1" customWidth="1"/>
  </cols>
  <sheetData>
    <row r="1" spans="2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2:55"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2:55"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</row>
    <row r="4" spans="2:55">
      <c r="B4" t="s">
        <v>3</v>
      </c>
      <c r="AC4">
        <v>98948751</v>
      </c>
      <c r="AD4">
        <v>104463955</v>
      </c>
      <c r="AE4">
        <v>96673742</v>
      </c>
      <c r="AF4">
        <v>98396098</v>
      </c>
      <c r="AG4">
        <v>117570227</v>
      </c>
      <c r="AH4">
        <v>122388874</v>
      </c>
    </row>
    <row r="5" spans="2:55">
      <c r="B5" t="s">
        <v>4</v>
      </c>
      <c r="AC5">
        <v>76876875</v>
      </c>
      <c r="AD5">
        <v>90901641</v>
      </c>
      <c r="AE5">
        <v>71509826</v>
      </c>
      <c r="AF5">
        <v>73193122</v>
      </c>
      <c r="AG5">
        <v>83505931</v>
      </c>
      <c r="AH5">
        <v>77998405</v>
      </c>
    </row>
    <row r="6" spans="2:55">
      <c r="B6" t="s">
        <v>5</v>
      </c>
      <c r="AC6">
        <v>35716637</v>
      </c>
      <c r="AD6">
        <v>43030034</v>
      </c>
      <c r="AE6">
        <v>53989555</v>
      </c>
      <c r="AF6">
        <v>56364951</v>
      </c>
      <c r="AG6">
        <v>69114750</v>
      </c>
      <c r="AH6">
        <v>78004240</v>
      </c>
    </row>
    <row r="7" spans="2:55">
      <c r="B7" t="s">
        <v>6</v>
      </c>
      <c r="AC7">
        <v>268122</v>
      </c>
      <c r="AD7">
        <v>554119</v>
      </c>
      <c r="AE7">
        <v>449792</v>
      </c>
      <c r="AF7">
        <v>291673</v>
      </c>
      <c r="AG7">
        <v>278719</v>
      </c>
    </row>
    <row r="8" spans="2:55">
      <c r="B8" t="s">
        <v>7</v>
      </c>
      <c r="AC8">
        <v>6566804</v>
      </c>
      <c r="AD8">
        <v>7557589</v>
      </c>
      <c r="AE8">
        <v>7271863</v>
      </c>
      <c r="AF8">
        <v>8916668</v>
      </c>
      <c r="AG8">
        <v>8771243</v>
      </c>
      <c r="AH8">
        <v>8243861</v>
      </c>
    </row>
    <row r="9" spans="2:55">
      <c r="B9" t="s">
        <v>8</v>
      </c>
      <c r="AC9">
        <v>8086631</v>
      </c>
      <c r="AD9">
        <v>8379430</v>
      </c>
      <c r="AE9">
        <v>8768856</v>
      </c>
      <c r="AF9">
        <v>12177650</v>
      </c>
      <c r="AG9">
        <v>12947327</v>
      </c>
      <c r="AH9">
        <v>12509245</v>
      </c>
    </row>
    <row r="10" spans="2:55">
      <c r="B10" t="s">
        <v>9</v>
      </c>
      <c r="AC10">
        <v>11400998</v>
      </c>
      <c r="AD10">
        <v>15678524</v>
      </c>
      <c r="AE10">
        <v>14086230</v>
      </c>
      <c r="AF10">
        <v>14919492</v>
      </c>
      <c r="AG10">
        <v>16241693</v>
      </c>
      <c r="AH10">
        <v>14596700</v>
      </c>
    </row>
    <row r="11" spans="2:55">
      <c r="B11" t="s">
        <v>63</v>
      </c>
      <c r="AH11">
        <v>443423</v>
      </c>
    </row>
    <row r="12" spans="2:55">
      <c r="B12" t="s">
        <v>10</v>
      </c>
    </row>
    <row r="13" spans="2:55">
      <c r="B13" t="s">
        <v>91</v>
      </c>
      <c r="AD13">
        <v>3348</v>
      </c>
      <c r="AE13">
        <v>3288</v>
      </c>
      <c r="AF13">
        <v>8874</v>
      </c>
      <c r="AG13">
        <v>5675</v>
      </c>
    </row>
    <row r="14" spans="2:55">
      <c r="B14" t="s">
        <v>85</v>
      </c>
      <c r="AC14">
        <v>16363</v>
      </c>
      <c r="AD14">
        <v>151196</v>
      </c>
      <c r="AE14">
        <v>248622</v>
      </c>
      <c r="AF14">
        <v>184554</v>
      </c>
      <c r="AG14">
        <v>176318</v>
      </c>
    </row>
    <row r="15" spans="2:55">
      <c r="B15" t="s">
        <v>11</v>
      </c>
      <c r="AC15">
        <v>4264979</v>
      </c>
      <c r="AD15">
        <v>8842492</v>
      </c>
      <c r="AE15">
        <v>8924852</v>
      </c>
      <c r="AF15">
        <v>11584685</v>
      </c>
      <c r="AG15">
        <v>10033683</v>
      </c>
      <c r="AH15">
        <v>8065109</v>
      </c>
    </row>
    <row r="16" spans="2:55">
      <c r="B16" t="s">
        <v>12</v>
      </c>
      <c r="AC16">
        <v>72217</v>
      </c>
      <c r="AD16">
        <v>93281</v>
      </c>
      <c r="AE16">
        <v>109925</v>
      </c>
      <c r="AF16">
        <v>75982</v>
      </c>
      <c r="AG16">
        <v>105398</v>
      </c>
      <c r="AH16">
        <v>125936</v>
      </c>
    </row>
    <row r="17" spans="2:34">
      <c r="B17" t="s">
        <v>13</v>
      </c>
      <c r="AC17">
        <v>24015</v>
      </c>
      <c r="AD17">
        <v>33315</v>
      </c>
      <c r="AE17">
        <v>34053</v>
      </c>
      <c r="AF17">
        <v>21206</v>
      </c>
      <c r="AG17">
        <v>11171</v>
      </c>
      <c r="AH17">
        <v>12771</v>
      </c>
    </row>
    <row r="18" spans="2:34">
      <c r="B18" t="s">
        <v>14</v>
      </c>
      <c r="AC18">
        <v>464464</v>
      </c>
      <c r="AD18">
        <v>247897</v>
      </c>
      <c r="AE18">
        <v>198339</v>
      </c>
      <c r="AF18">
        <v>177211</v>
      </c>
      <c r="AG18">
        <v>240592</v>
      </c>
      <c r="AH18">
        <v>219132</v>
      </c>
    </row>
    <row r="19" spans="2:34">
      <c r="B19" t="s">
        <v>15</v>
      </c>
      <c r="AC19">
        <v>419550</v>
      </c>
      <c r="AD19">
        <v>281384</v>
      </c>
      <c r="AE19">
        <v>270721</v>
      </c>
      <c r="AF19">
        <v>481760</v>
      </c>
      <c r="AG19">
        <v>694307</v>
      </c>
      <c r="AH19">
        <v>1037098</v>
      </c>
    </row>
    <row r="20" spans="2:34">
      <c r="B20" t="s">
        <v>16</v>
      </c>
      <c r="AC20">
        <v>2421528</v>
      </c>
      <c r="AD20">
        <v>3385770</v>
      </c>
      <c r="AE20">
        <v>4406588</v>
      </c>
      <c r="AF20">
        <v>5006567</v>
      </c>
      <c r="AG20">
        <v>5683610</v>
      </c>
      <c r="AH20">
        <v>5771677</v>
      </c>
    </row>
    <row r="21" spans="2:34">
      <c r="B21" t="s">
        <v>17</v>
      </c>
      <c r="AC21">
        <v>870</v>
      </c>
      <c r="AD21">
        <v>2017</v>
      </c>
      <c r="AE21">
        <v>40311</v>
      </c>
      <c r="AF21">
        <v>54495</v>
      </c>
      <c r="AG21">
        <v>126792</v>
      </c>
      <c r="AH21">
        <v>220530</v>
      </c>
    </row>
    <row r="22" spans="2:34">
      <c r="B22" t="s">
        <v>18</v>
      </c>
      <c r="AF22">
        <v>1923</v>
      </c>
    </row>
    <row r="23" spans="2:34">
      <c r="B23" t="s">
        <v>69</v>
      </c>
    </row>
    <row r="24" spans="2:34">
      <c r="B24" t="s">
        <v>19</v>
      </c>
      <c r="AD24">
        <v>1716</v>
      </c>
      <c r="AG24">
        <v>721</v>
      </c>
      <c r="AH24">
        <v>64395</v>
      </c>
    </row>
    <row r="25" spans="2:34">
      <c r="B25" t="s">
        <v>20</v>
      </c>
      <c r="AC25">
        <v>5</v>
      </c>
      <c r="AD25">
        <v>2163</v>
      </c>
      <c r="AE25">
        <v>2439</v>
      </c>
      <c r="AF25">
        <v>2393</v>
      </c>
      <c r="AG25">
        <v>180</v>
      </c>
    </row>
    <row r="26" spans="2:34">
      <c r="B26" t="s">
        <v>86</v>
      </c>
      <c r="AC26">
        <v>1997</v>
      </c>
      <c r="AD26">
        <v>387</v>
      </c>
    </row>
    <row r="27" spans="2:34">
      <c r="B27" t="s">
        <v>87</v>
      </c>
      <c r="AC27">
        <v>1</v>
      </c>
      <c r="AD27">
        <v>3</v>
      </c>
    </row>
    <row r="28" spans="2:34">
      <c r="B28" t="s">
        <v>61</v>
      </c>
    </row>
    <row r="29" spans="2:34">
      <c r="B29" t="s">
        <v>21</v>
      </c>
      <c r="AE29">
        <v>7700</v>
      </c>
      <c r="AF29">
        <v>8795</v>
      </c>
      <c r="AG29">
        <v>3383</v>
      </c>
      <c r="AH29">
        <v>7244</v>
      </c>
    </row>
    <row r="30" spans="2:34">
      <c r="B30" t="s">
        <v>22</v>
      </c>
    </row>
    <row r="31" spans="2:34">
      <c r="B31" t="s">
        <v>70</v>
      </c>
      <c r="AF31">
        <v>700</v>
      </c>
    </row>
    <row r="32" spans="2:34">
      <c r="B32" t="s">
        <v>71</v>
      </c>
      <c r="AF32">
        <v>10343</v>
      </c>
      <c r="AG32">
        <v>1063</v>
      </c>
      <c r="AH32">
        <v>1227</v>
      </c>
    </row>
    <row r="33" spans="2:34">
      <c r="B33" t="s">
        <v>23</v>
      </c>
    </row>
    <row r="34" spans="2:34">
      <c r="B34" t="s">
        <v>24</v>
      </c>
      <c r="AC34">
        <v>820556</v>
      </c>
      <c r="AD34">
        <v>1172706</v>
      </c>
      <c r="AE34">
        <v>2369748</v>
      </c>
      <c r="AF34">
        <v>1117822</v>
      </c>
      <c r="AG34">
        <v>1519386</v>
      </c>
      <c r="AH34">
        <v>4883261</v>
      </c>
    </row>
    <row r="35" spans="2:34">
      <c r="B35" t="s">
        <v>25</v>
      </c>
    </row>
    <row r="36" spans="2:34">
      <c r="B36" t="s">
        <v>26</v>
      </c>
    </row>
    <row r="37" spans="2:34">
      <c r="B37" t="s">
        <v>27</v>
      </c>
    </row>
    <row r="38" spans="2:34">
      <c r="B38" t="s">
        <v>28</v>
      </c>
    </row>
    <row r="39" spans="2:34">
      <c r="B39" t="s">
        <v>29</v>
      </c>
      <c r="AC39">
        <v>30705780</v>
      </c>
      <c r="AD39">
        <v>35851069</v>
      </c>
      <c r="AE39">
        <v>46467284</v>
      </c>
      <c r="AF39">
        <v>65485446</v>
      </c>
      <c r="AG39">
        <v>73019532</v>
      </c>
      <c r="AH39">
        <v>86742236</v>
      </c>
    </row>
    <row r="40" spans="2:34">
      <c r="B40" t="s">
        <v>72</v>
      </c>
      <c r="AD40">
        <v>1</v>
      </c>
      <c r="AE40">
        <v>282456</v>
      </c>
      <c r="AF40">
        <v>190820</v>
      </c>
      <c r="AG40">
        <v>6795</v>
      </c>
      <c r="AH40">
        <v>7092</v>
      </c>
    </row>
    <row r="41" spans="2:34">
      <c r="B41" t="s">
        <v>73</v>
      </c>
      <c r="AC41">
        <v>1712</v>
      </c>
      <c r="AD41">
        <v>1619</v>
      </c>
      <c r="AE41">
        <v>400</v>
      </c>
      <c r="AG41">
        <v>8600</v>
      </c>
    </row>
    <row r="42" spans="2:34">
      <c r="B42" t="s">
        <v>74</v>
      </c>
      <c r="AC42">
        <v>1435</v>
      </c>
      <c r="AD42">
        <v>47636</v>
      </c>
      <c r="AE42">
        <v>99733</v>
      </c>
      <c r="AF42">
        <v>170935</v>
      </c>
      <c r="AG42">
        <v>257176</v>
      </c>
      <c r="AH42">
        <v>236793</v>
      </c>
    </row>
    <row r="43" spans="2:34">
      <c r="B43" t="s">
        <v>30</v>
      </c>
    </row>
    <row r="44" spans="2:34">
      <c r="B44" t="s">
        <v>31</v>
      </c>
      <c r="AC44">
        <v>36383</v>
      </c>
      <c r="AD44">
        <v>104825</v>
      </c>
      <c r="AE44">
        <v>43588</v>
      </c>
      <c r="AH44">
        <v>24092</v>
      </c>
    </row>
    <row r="45" spans="2:34">
      <c r="B45" t="s">
        <v>94</v>
      </c>
      <c r="AF45">
        <v>31744</v>
      </c>
      <c r="AG45">
        <v>33419</v>
      </c>
    </row>
    <row r="46" spans="2:34">
      <c r="B46" t="s">
        <v>95</v>
      </c>
      <c r="AF46">
        <v>3267</v>
      </c>
      <c r="AG46">
        <v>1364</v>
      </c>
    </row>
    <row r="47" spans="2:34">
      <c r="B47" t="s">
        <v>98</v>
      </c>
    </row>
    <row r="48" spans="2:34">
      <c r="B48" t="s">
        <v>64</v>
      </c>
      <c r="AC48">
        <v>3043</v>
      </c>
      <c r="AD48">
        <v>4832</v>
      </c>
      <c r="AE48">
        <v>2906</v>
      </c>
      <c r="AG48">
        <v>360</v>
      </c>
    </row>
    <row r="49" spans="2:34">
      <c r="B49" t="s">
        <v>65</v>
      </c>
    </row>
    <row r="50" spans="2:34">
      <c r="B50" t="s">
        <v>82</v>
      </c>
      <c r="AC50">
        <v>17</v>
      </c>
      <c r="AD50">
        <v>123</v>
      </c>
      <c r="AE50">
        <v>437</v>
      </c>
      <c r="AF50">
        <v>2856</v>
      </c>
      <c r="AG50">
        <v>1445</v>
      </c>
    </row>
    <row r="51" spans="2:34">
      <c r="B51" t="s">
        <v>32</v>
      </c>
    </row>
    <row r="52" spans="2:34">
      <c r="B52" t="s">
        <v>33</v>
      </c>
      <c r="AC52">
        <v>25501909</v>
      </c>
      <c r="AD52">
        <v>26060061</v>
      </c>
      <c r="AE52">
        <v>36945958</v>
      </c>
      <c r="AF52">
        <v>22486058</v>
      </c>
      <c r="AG52">
        <v>26569933</v>
      </c>
      <c r="AH52">
        <v>34049929</v>
      </c>
    </row>
    <row r="53" spans="2:34">
      <c r="B53" t="s">
        <v>34</v>
      </c>
      <c r="AC53">
        <v>9605247</v>
      </c>
      <c r="AD53">
        <v>11338428</v>
      </c>
      <c r="AE53">
        <v>17946445</v>
      </c>
      <c r="AF53">
        <v>8138626</v>
      </c>
      <c r="AG53">
        <v>10879087</v>
      </c>
      <c r="AH53">
        <v>14383850</v>
      </c>
    </row>
    <row r="54" spans="2:34">
      <c r="B54" t="s">
        <v>35</v>
      </c>
      <c r="AC54">
        <v>1810</v>
      </c>
      <c r="AD54">
        <v>3733</v>
      </c>
      <c r="AE54">
        <v>13018</v>
      </c>
      <c r="AF54">
        <v>21190</v>
      </c>
      <c r="AG54">
        <v>25552</v>
      </c>
      <c r="AH54">
        <v>33061</v>
      </c>
    </row>
    <row r="55" spans="2:34">
      <c r="B55" t="s">
        <v>36</v>
      </c>
      <c r="AC55">
        <v>70052</v>
      </c>
      <c r="AD55">
        <v>17005</v>
      </c>
      <c r="AE55">
        <v>42732</v>
      </c>
      <c r="AF55">
        <v>96848</v>
      </c>
      <c r="AG55">
        <v>166495</v>
      </c>
      <c r="AH55">
        <v>111471</v>
      </c>
    </row>
    <row r="56" spans="2:34">
      <c r="B56" t="s">
        <v>37</v>
      </c>
      <c r="AC56">
        <v>33002892</v>
      </c>
      <c r="AD56">
        <v>25724555</v>
      </c>
      <c r="AE56">
        <v>24844251</v>
      </c>
      <c r="AF56">
        <v>23667491</v>
      </c>
      <c r="AG56">
        <v>26030262</v>
      </c>
      <c r="AH56">
        <v>27455577</v>
      </c>
    </row>
    <row r="57" spans="2:34">
      <c r="B57" t="s">
        <v>38</v>
      </c>
      <c r="AC57">
        <v>9087687</v>
      </c>
      <c r="AD57">
        <v>19745582</v>
      </c>
      <c r="AE57">
        <v>14301685</v>
      </c>
      <c r="AF57">
        <v>4108012</v>
      </c>
      <c r="AG57">
        <v>14547198</v>
      </c>
      <c r="AH57">
        <v>22883154</v>
      </c>
    </row>
    <row r="58" spans="2:34">
      <c r="B58" t="s">
        <v>39</v>
      </c>
      <c r="AC58">
        <v>13186174</v>
      </c>
      <c r="AD58">
        <v>7977887</v>
      </c>
      <c r="AE58">
        <v>3026390</v>
      </c>
      <c r="AF58">
        <v>3426205</v>
      </c>
      <c r="AG58">
        <v>3383280</v>
      </c>
      <c r="AH58">
        <v>5810030</v>
      </c>
    </row>
    <row r="59" spans="2:34">
      <c r="B59" t="s">
        <v>83</v>
      </c>
      <c r="AC59">
        <v>11795148</v>
      </c>
      <c r="AD59">
        <v>15097554</v>
      </c>
      <c r="AE59">
        <v>14018116</v>
      </c>
      <c r="AF59">
        <v>14691023</v>
      </c>
      <c r="AG59">
        <v>15167581</v>
      </c>
      <c r="AH59">
        <v>12231035</v>
      </c>
    </row>
    <row r="60" spans="2:34">
      <c r="B60" t="s">
        <v>88</v>
      </c>
      <c r="AC60">
        <v>8379248</v>
      </c>
      <c r="AD60">
        <v>7940114</v>
      </c>
      <c r="AE60">
        <v>9832110</v>
      </c>
      <c r="AF60">
        <v>9729248</v>
      </c>
      <c r="AG60">
        <v>9921358</v>
      </c>
    </row>
    <row r="61" spans="2:34">
      <c r="B61" t="s">
        <v>89</v>
      </c>
      <c r="AC61">
        <v>9100</v>
      </c>
      <c r="AD61">
        <v>179</v>
      </c>
      <c r="AF61">
        <v>355</v>
      </c>
    </row>
    <row r="62" spans="2:34">
      <c r="B62" t="s">
        <v>96</v>
      </c>
      <c r="AF62">
        <v>550</v>
      </c>
    </row>
    <row r="63" spans="2:34">
      <c r="B63" t="s">
        <v>41</v>
      </c>
      <c r="AH63">
        <v>12043621</v>
      </c>
    </row>
    <row r="64" spans="2:34">
      <c r="B64" t="s">
        <v>42</v>
      </c>
    </row>
    <row r="65" spans="2:34">
      <c r="B65" t="s">
        <v>43</v>
      </c>
      <c r="AC65">
        <v>60768999</v>
      </c>
      <c r="AD65">
        <v>77721687</v>
      </c>
      <c r="AE65">
        <v>69204236</v>
      </c>
      <c r="AF65">
        <v>77409119</v>
      </c>
      <c r="AG65">
        <v>79878613</v>
      </c>
      <c r="AH65">
        <v>94951490</v>
      </c>
    </row>
    <row r="66" spans="2:34">
      <c r="B66" t="s">
        <v>44</v>
      </c>
      <c r="AC66">
        <v>402211</v>
      </c>
      <c r="AD66">
        <v>509987</v>
      </c>
      <c r="AE66">
        <v>231083</v>
      </c>
      <c r="AF66">
        <v>368420</v>
      </c>
      <c r="AG66">
        <v>439453</v>
      </c>
      <c r="AH66">
        <v>536018</v>
      </c>
    </row>
    <row r="67" spans="2:34">
      <c r="B67" t="s">
        <v>45</v>
      </c>
      <c r="AC67">
        <v>1555</v>
      </c>
      <c r="AD67">
        <v>106</v>
      </c>
      <c r="AE67">
        <v>65</v>
      </c>
      <c r="AF67">
        <v>432</v>
      </c>
      <c r="AG67">
        <v>55</v>
      </c>
    </row>
    <row r="68" spans="2:34">
      <c r="B68" t="s">
        <v>46</v>
      </c>
      <c r="AC68">
        <v>44231</v>
      </c>
      <c r="AD68">
        <v>80466</v>
      </c>
      <c r="AE68">
        <v>84082</v>
      </c>
      <c r="AF68">
        <v>88653</v>
      </c>
      <c r="AG68">
        <v>119181</v>
      </c>
      <c r="AH68">
        <v>121380</v>
      </c>
    </row>
    <row r="69" spans="2:34">
      <c r="B69" t="s">
        <v>47</v>
      </c>
      <c r="AF69">
        <v>2602</v>
      </c>
    </row>
    <row r="70" spans="2:34">
      <c r="B70" t="s">
        <v>48</v>
      </c>
    </row>
    <row r="71" spans="2:34">
      <c r="B71" t="s">
        <v>49</v>
      </c>
      <c r="AC71">
        <v>16193438</v>
      </c>
      <c r="AD71">
        <v>16725791</v>
      </c>
      <c r="AE71">
        <v>16936031</v>
      </c>
      <c r="AF71">
        <v>16554248</v>
      </c>
      <c r="AG71">
        <v>17571527</v>
      </c>
      <c r="AH71">
        <v>17792813</v>
      </c>
    </row>
    <row r="72" spans="2:34">
      <c r="B72" t="s">
        <v>50</v>
      </c>
      <c r="AF72">
        <v>1185</v>
      </c>
      <c r="AH72">
        <v>19576</v>
      </c>
    </row>
    <row r="73" spans="2:34">
      <c r="B73" t="s">
        <v>51</v>
      </c>
      <c r="AC73">
        <v>1482</v>
      </c>
      <c r="AD73">
        <v>2219</v>
      </c>
      <c r="AE73">
        <v>0</v>
      </c>
      <c r="AF73">
        <v>3697</v>
      </c>
      <c r="AG73">
        <v>3678</v>
      </c>
    </row>
    <row r="74" spans="2:34">
      <c r="B74" t="s">
        <v>90</v>
      </c>
      <c r="AC74">
        <v>1767</v>
      </c>
      <c r="AD74">
        <v>386</v>
      </c>
    </row>
    <row r="75" spans="2:34">
      <c r="B75" t="s">
        <v>92</v>
      </c>
      <c r="AD75">
        <v>1576</v>
      </c>
    </row>
    <row r="76" spans="2:34">
      <c r="B76" t="s">
        <v>52</v>
      </c>
      <c r="AE76">
        <v>420</v>
      </c>
      <c r="AF76">
        <v>925</v>
      </c>
      <c r="AG76">
        <v>160</v>
      </c>
      <c r="AH76">
        <v>296</v>
      </c>
    </row>
    <row r="77" spans="2:34">
      <c r="B77" t="s">
        <v>75</v>
      </c>
      <c r="AE77">
        <v>3</v>
      </c>
    </row>
    <row r="78" spans="2:34">
      <c r="B78" t="s">
        <v>53</v>
      </c>
      <c r="AC78">
        <v>319750</v>
      </c>
      <c r="AD78">
        <v>482307</v>
      </c>
      <c r="AE78">
        <v>1438043</v>
      </c>
      <c r="AF78">
        <v>1339254</v>
      </c>
      <c r="AG78">
        <v>1602952</v>
      </c>
      <c r="AH78">
        <v>1756734</v>
      </c>
    </row>
    <row r="79" spans="2:34">
      <c r="B79" t="s">
        <v>93</v>
      </c>
      <c r="AD79">
        <v>356</v>
      </c>
    </row>
    <row r="80" spans="2:34">
      <c r="B80" t="s">
        <v>76</v>
      </c>
    </row>
    <row r="81" spans="2:34">
      <c r="B81" t="s">
        <v>77</v>
      </c>
    </row>
    <row r="82" spans="2:34">
      <c r="B82" t="s">
        <v>78</v>
      </c>
    </row>
    <row r="83" spans="2:34">
      <c r="B83" t="s">
        <v>54</v>
      </c>
      <c r="AD83">
        <v>81265</v>
      </c>
      <c r="AE83">
        <v>752947</v>
      </c>
      <c r="AF83">
        <v>1252249</v>
      </c>
      <c r="AG83">
        <v>1963965</v>
      </c>
      <c r="AH83">
        <v>2046367</v>
      </c>
    </row>
    <row r="84" spans="2:34">
      <c r="B84" t="s">
        <v>79</v>
      </c>
    </row>
    <row r="85" spans="2:34">
      <c r="B85" t="s">
        <v>55</v>
      </c>
      <c r="AC85">
        <v>847833</v>
      </c>
      <c r="AD85">
        <v>571734</v>
      </c>
      <c r="AE85">
        <v>107536</v>
      </c>
      <c r="AF85">
        <v>761660</v>
      </c>
      <c r="AG85">
        <v>804288</v>
      </c>
      <c r="AH85">
        <v>819135</v>
      </c>
    </row>
    <row r="86" spans="2:34">
      <c r="B86" t="s">
        <v>56</v>
      </c>
      <c r="AF86">
        <v>26615</v>
      </c>
      <c r="AH86">
        <v>3717</v>
      </c>
    </row>
    <row r="87" spans="2:34">
      <c r="B87" t="s">
        <v>80</v>
      </c>
    </row>
    <row r="88" spans="2:34">
      <c r="B88" t="s">
        <v>81</v>
      </c>
      <c r="AD88">
        <v>52</v>
      </c>
      <c r="AE88">
        <v>46</v>
      </c>
      <c r="AG88">
        <v>1194</v>
      </c>
      <c r="AH88">
        <v>27793</v>
      </c>
    </row>
    <row r="89" spans="2:34">
      <c r="B89" t="s">
        <v>57</v>
      </c>
    </row>
    <row r="90" spans="2:34">
      <c r="B90" t="s">
        <v>84</v>
      </c>
      <c r="AC90">
        <v>186884</v>
      </c>
      <c r="AD90">
        <v>96087</v>
      </c>
      <c r="AE90">
        <v>37197</v>
      </c>
      <c r="AF90">
        <v>18236</v>
      </c>
      <c r="AG90">
        <v>32829</v>
      </c>
      <c r="AH90">
        <v>21586</v>
      </c>
    </row>
    <row r="91" spans="2:34">
      <c r="B91" t="s">
        <v>58</v>
      </c>
    </row>
    <row r="92" spans="2:34">
      <c r="B92" t="s">
        <v>59</v>
      </c>
    </row>
    <row r="94" spans="2:34">
      <c r="AC94">
        <f t="shared" ref="AC94:AG94" si="0">SUM(AC4:AC93)</f>
        <v>466527150</v>
      </c>
      <c r="AD94">
        <f t="shared" si="0"/>
        <v>530972189</v>
      </c>
      <c r="AE94">
        <f t="shared" si="0"/>
        <v>526025648</v>
      </c>
      <c r="AF94">
        <f t="shared" si="0"/>
        <v>533074933</v>
      </c>
      <c r="AG94">
        <f t="shared" si="0"/>
        <v>609469501</v>
      </c>
      <c r="AH94">
        <f>SUM(AH4:AH93)</f>
        <v>668701974</v>
      </c>
    </row>
    <row r="96" spans="2:34">
      <c r="AC96">
        <f>466527150-AC94</f>
        <v>0</v>
      </c>
      <c r="AD96">
        <f>530972189-AD94</f>
        <v>0</v>
      </c>
      <c r="AE96">
        <f>526025648-AE94</f>
        <v>0</v>
      </c>
      <c r="AF96">
        <f>533074933-AF94</f>
        <v>0</v>
      </c>
      <c r="AG96">
        <f>609469501-AG94</f>
        <v>0</v>
      </c>
      <c r="AH96">
        <f>668701974-AH94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BC96"/>
  <sheetViews>
    <sheetView zoomScale="85" zoomScaleNormal="85" workbookViewId="0">
      <pane xSplit="4" ySplit="3" topLeftCell="AA58" activePane="bottomRight" state="frozen"/>
      <selection activeCell="B47" sqref="B47"/>
      <selection pane="topRight" activeCell="B47" sqref="B47"/>
      <selection pane="bottomLeft" activeCell="B47" sqref="B47"/>
      <selection pane="bottomRight" sqref="A1:XFD1048576"/>
    </sheetView>
  </sheetViews>
  <sheetFormatPr defaultRowHeight="15"/>
  <cols>
    <col min="29" max="29" width="10.28515625" bestFit="1" customWidth="1"/>
    <col min="30" max="30" width="10.42578125" customWidth="1"/>
    <col min="31" max="31" width="10.28515625" bestFit="1" customWidth="1"/>
    <col min="32" max="32" width="9.28515625" bestFit="1" customWidth="1"/>
    <col min="33" max="33" width="10.28515625" bestFit="1" customWidth="1"/>
    <col min="34" max="34" width="10.42578125" customWidth="1"/>
  </cols>
  <sheetData>
    <row r="1" spans="2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2:55"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2:55"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</row>
    <row r="4" spans="2:55">
      <c r="B4" t="s">
        <v>3</v>
      </c>
      <c r="AC4">
        <v>33407618</v>
      </c>
      <c r="AD4">
        <v>45487290</v>
      </c>
      <c r="AE4">
        <v>55412410</v>
      </c>
      <c r="AF4">
        <v>51925207</v>
      </c>
      <c r="AG4">
        <v>54305139</v>
      </c>
      <c r="AH4">
        <v>64393733</v>
      </c>
    </row>
    <row r="5" spans="2:55">
      <c r="B5" t="s">
        <v>4</v>
      </c>
      <c r="AC5">
        <v>22180892</v>
      </c>
      <c r="AD5">
        <v>32603226</v>
      </c>
      <c r="AE5">
        <v>35180752</v>
      </c>
      <c r="AF5">
        <v>32464307</v>
      </c>
      <c r="AG5">
        <v>35607516</v>
      </c>
      <c r="AH5">
        <v>38199858</v>
      </c>
    </row>
    <row r="6" spans="2:55">
      <c r="B6" t="s">
        <v>5</v>
      </c>
      <c r="AC6">
        <v>10893653</v>
      </c>
      <c r="AD6">
        <v>15943813</v>
      </c>
      <c r="AE6">
        <v>24023116</v>
      </c>
      <c r="AF6">
        <v>23541976</v>
      </c>
      <c r="AG6">
        <v>33864736</v>
      </c>
      <c r="AH6">
        <v>36748367</v>
      </c>
    </row>
    <row r="7" spans="2:55">
      <c r="B7" t="s">
        <v>6</v>
      </c>
      <c r="C7" t="s">
        <v>97</v>
      </c>
      <c r="AC7">
        <v>86399</v>
      </c>
      <c r="AD7">
        <v>127141</v>
      </c>
      <c r="AE7">
        <v>448348</v>
      </c>
      <c r="AF7">
        <v>131332</v>
      </c>
      <c r="AG7">
        <v>173481</v>
      </c>
    </row>
    <row r="8" spans="2:55">
      <c r="B8" t="s">
        <v>7</v>
      </c>
      <c r="AC8">
        <v>936363</v>
      </c>
      <c r="AD8">
        <v>1883716</v>
      </c>
      <c r="AE8">
        <v>2081855</v>
      </c>
      <c r="AF8">
        <v>2675639</v>
      </c>
      <c r="AG8">
        <v>2123831</v>
      </c>
      <c r="AH8">
        <v>2321257</v>
      </c>
    </row>
    <row r="9" spans="2:55">
      <c r="B9" t="s">
        <v>8</v>
      </c>
      <c r="AC9">
        <v>1051579</v>
      </c>
      <c r="AD9">
        <v>2047209</v>
      </c>
      <c r="AE9">
        <v>3243663</v>
      </c>
      <c r="AF9">
        <v>4154254</v>
      </c>
      <c r="AG9">
        <v>4735492</v>
      </c>
      <c r="AH9">
        <v>6004529</v>
      </c>
    </row>
    <row r="10" spans="2:55">
      <c r="B10" t="s">
        <v>9</v>
      </c>
      <c r="AC10">
        <v>1026567</v>
      </c>
      <c r="AD10">
        <v>3095058</v>
      </c>
      <c r="AE10">
        <v>3243549</v>
      </c>
      <c r="AF10">
        <v>3338520</v>
      </c>
      <c r="AG10">
        <v>4237579</v>
      </c>
      <c r="AH10">
        <v>3835975</v>
      </c>
    </row>
    <row r="11" spans="2:55">
      <c r="B11" t="s">
        <v>63</v>
      </c>
      <c r="AH11">
        <v>195456</v>
      </c>
    </row>
    <row r="12" spans="2:55">
      <c r="B12" t="s">
        <v>10</v>
      </c>
    </row>
    <row r="13" spans="2:55">
      <c r="B13" t="s">
        <v>91</v>
      </c>
      <c r="AC13">
        <v>48</v>
      </c>
      <c r="AD13">
        <v>25</v>
      </c>
      <c r="AE13">
        <v>514</v>
      </c>
      <c r="AF13">
        <v>296</v>
      </c>
      <c r="AG13">
        <v>1117</v>
      </c>
    </row>
    <row r="14" spans="2:55">
      <c r="B14" t="s">
        <v>85</v>
      </c>
      <c r="AG14">
        <v>82576</v>
      </c>
    </row>
    <row r="15" spans="2:55">
      <c r="B15" t="s">
        <v>11</v>
      </c>
      <c r="AC15">
        <v>988331</v>
      </c>
      <c r="AD15">
        <v>1506590</v>
      </c>
      <c r="AE15">
        <v>2106115</v>
      </c>
      <c r="AF15">
        <v>2331414</v>
      </c>
      <c r="AG15">
        <v>2380149</v>
      </c>
      <c r="AH15">
        <v>2809708</v>
      </c>
    </row>
    <row r="16" spans="2:55">
      <c r="B16" t="s">
        <v>12</v>
      </c>
      <c r="AC16">
        <v>10301</v>
      </c>
      <c r="AD16">
        <v>24679</v>
      </c>
      <c r="AE16">
        <v>51402</v>
      </c>
      <c r="AF16">
        <v>59477</v>
      </c>
      <c r="AG16">
        <v>41757</v>
      </c>
      <c r="AH16">
        <v>46883</v>
      </c>
    </row>
    <row r="17" spans="2:34">
      <c r="B17" t="s">
        <v>13</v>
      </c>
      <c r="AC17">
        <v>19328</v>
      </c>
      <c r="AD17">
        <v>43090</v>
      </c>
      <c r="AE17">
        <v>41994</v>
      </c>
      <c r="AF17">
        <v>52666</v>
      </c>
      <c r="AG17">
        <v>21933</v>
      </c>
      <c r="AH17">
        <v>42292</v>
      </c>
    </row>
    <row r="18" spans="2:34">
      <c r="B18" t="s">
        <v>14</v>
      </c>
      <c r="AC18">
        <v>239323</v>
      </c>
      <c r="AD18">
        <v>60205</v>
      </c>
      <c r="AE18">
        <v>135217</v>
      </c>
      <c r="AF18">
        <v>210597</v>
      </c>
      <c r="AG18">
        <v>561443</v>
      </c>
      <c r="AH18">
        <v>799965</v>
      </c>
    </row>
    <row r="19" spans="2:34">
      <c r="B19" t="s">
        <v>15</v>
      </c>
      <c r="AC19">
        <v>392888</v>
      </c>
      <c r="AD19">
        <v>54376</v>
      </c>
      <c r="AE19">
        <v>121334</v>
      </c>
      <c r="AF19">
        <v>125270</v>
      </c>
      <c r="AG19">
        <v>296137</v>
      </c>
      <c r="AH19">
        <v>438355</v>
      </c>
    </row>
    <row r="20" spans="2:34">
      <c r="B20" t="s">
        <v>16</v>
      </c>
      <c r="AC20">
        <v>681593</v>
      </c>
      <c r="AD20">
        <v>1182728</v>
      </c>
      <c r="AE20">
        <v>1552567</v>
      </c>
      <c r="AF20">
        <v>2042524</v>
      </c>
      <c r="AG20">
        <v>2728787</v>
      </c>
      <c r="AH20">
        <v>2946318</v>
      </c>
    </row>
    <row r="21" spans="2:34">
      <c r="B21" t="s">
        <v>17</v>
      </c>
      <c r="AD21">
        <v>2630</v>
      </c>
      <c r="AE21">
        <v>7319</v>
      </c>
      <c r="AF21">
        <v>2999</v>
      </c>
      <c r="AG21">
        <v>13368</v>
      </c>
      <c r="AH21">
        <v>34206</v>
      </c>
    </row>
    <row r="22" spans="2:34">
      <c r="B22" t="s">
        <v>18</v>
      </c>
    </row>
    <row r="23" spans="2:34">
      <c r="B23" t="s">
        <v>69</v>
      </c>
    </row>
    <row r="24" spans="2:34">
      <c r="B24" t="s">
        <v>19</v>
      </c>
      <c r="AG24">
        <v>197</v>
      </c>
    </row>
    <row r="25" spans="2:34">
      <c r="B25" t="s">
        <v>20</v>
      </c>
    </row>
    <row r="26" spans="2:34">
      <c r="B26" t="s">
        <v>86</v>
      </c>
    </row>
    <row r="27" spans="2:34">
      <c r="B27" t="s">
        <v>87</v>
      </c>
    </row>
    <row r="28" spans="2:34">
      <c r="B28" t="s">
        <v>61</v>
      </c>
    </row>
    <row r="29" spans="2:34">
      <c r="B29" t="s">
        <v>21</v>
      </c>
      <c r="AE29">
        <v>107</v>
      </c>
      <c r="AG29">
        <v>4500</v>
      </c>
      <c r="AH29">
        <v>73</v>
      </c>
    </row>
    <row r="30" spans="2:34">
      <c r="B30" t="s">
        <v>22</v>
      </c>
    </row>
    <row r="31" spans="2:34">
      <c r="B31" t="s">
        <v>70</v>
      </c>
    </row>
    <row r="32" spans="2:34">
      <c r="B32" t="s">
        <v>71</v>
      </c>
      <c r="AE32">
        <v>1077</v>
      </c>
      <c r="AF32">
        <v>364</v>
      </c>
    </row>
    <row r="33" spans="2:34">
      <c r="B33" t="s">
        <v>23</v>
      </c>
    </row>
    <row r="34" spans="2:34">
      <c r="B34" t="s">
        <v>24</v>
      </c>
      <c r="AC34">
        <v>57509</v>
      </c>
      <c r="AD34">
        <v>240539</v>
      </c>
      <c r="AE34">
        <v>1015815</v>
      </c>
      <c r="AF34">
        <v>190272</v>
      </c>
      <c r="AG34">
        <v>1683650</v>
      </c>
      <c r="AH34">
        <v>3048907</v>
      </c>
    </row>
    <row r="35" spans="2:34">
      <c r="B35" t="s">
        <v>25</v>
      </c>
    </row>
    <row r="36" spans="2:34">
      <c r="B36" t="s">
        <v>26</v>
      </c>
    </row>
    <row r="37" spans="2:34">
      <c r="B37" t="s">
        <v>27</v>
      </c>
    </row>
    <row r="38" spans="2:34">
      <c r="B38" t="s">
        <v>28</v>
      </c>
    </row>
    <row r="39" spans="2:34">
      <c r="B39" t="s">
        <v>29</v>
      </c>
      <c r="AC39">
        <v>14092869</v>
      </c>
      <c r="AD39">
        <v>17540627</v>
      </c>
      <c r="AE39">
        <v>27942714</v>
      </c>
      <c r="AF39">
        <v>26840128</v>
      </c>
      <c r="AG39">
        <v>23363348</v>
      </c>
      <c r="AH39">
        <v>43736660</v>
      </c>
    </row>
    <row r="40" spans="2:34">
      <c r="B40" t="s">
        <v>72</v>
      </c>
      <c r="AG40">
        <v>1505</v>
      </c>
    </row>
    <row r="41" spans="2:34">
      <c r="B41" t="s">
        <v>73</v>
      </c>
      <c r="AH41">
        <v>1881</v>
      </c>
    </row>
    <row r="42" spans="2:34">
      <c r="B42" t="s">
        <v>74</v>
      </c>
      <c r="AC42">
        <v>2976</v>
      </c>
      <c r="AD42">
        <v>1579</v>
      </c>
      <c r="AE42">
        <v>5614</v>
      </c>
      <c r="AF42">
        <v>13938</v>
      </c>
      <c r="AG42">
        <v>176235</v>
      </c>
      <c r="AH42">
        <v>246710</v>
      </c>
    </row>
    <row r="43" spans="2:34">
      <c r="B43" t="s">
        <v>30</v>
      </c>
      <c r="AG43">
        <v>5816</v>
      </c>
    </row>
    <row r="44" spans="2:34">
      <c r="B44" t="s">
        <v>31</v>
      </c>
      <c r="AC44">
        <v>17930</v>
      </c>
    </row>
    <row r="45" spans="2:34">
      <c r="B45" t="s">
        <v>94</v>
      </c>
      <c r="AD45">
        <v>2351</v>
      </c>
      <c r="AE45">
        <v>38124</v>
      </c>
      <c r="AF45">
        <v>24771</v>
      </c>
      <c r="AG45">
        <v>2943</v>
      </c>
      <c r="AH45">
        <v>12928</v>
      </c>
    </row>
    <row r="46" spans="2:34">
      <c r="B46" t="s">
        <v>95</v>
      </c>
    </row>
    <row r="47" spans="2:34">
      <c r="B47" t="s">
        <v>98</v>
      </c>
      <c r="AG47">
        <v>1332</v>
      </c>
    </row>
    <row r="48" spans="2:34">
      <c r="B48" t="s">
        <v>64</v>
      </c>
      <c r="AD48">
        <v>2189</v>
      </c>
      <c r="AE48">
        <v>2493</v>
      </c>
    </row>
    <row r="49" spans="2:34">
      <c r="B49" t="s">
        <v>65</v>
      </c>
    </row>
    <row r="50" spans="2:34">
      <c r="B50" t="s">
        <v>82</v>
      </c>
      <c r="AC50">
        <v>59716</v>
      </c>
      <c r="AD50">
        <v>26186</v>
      </c>
      <c r="AE50">
        <v>16858</v>
      </c>
    </row>
    <row r="51" spans="2:34">
      <c r="B51" t="s">
        <v>32</v>
      </c>
    </row>
    <row r="52" spans="2:34">
      <c r="B52" t="s">
        <v>33</v>
      </c>
      <c r="AC52">
        <v>11375743</v>
      </c>
      <c r="AD52">
        <v>15828057</v>
      </c>
      <c r="AE52">
        <v>16213475</v>
      </c>
      <c r="AF52">
        <v>19763957</v>
      </c>
      <c r="AG52">
        <v>18573158</v>
      </c>
      <c r="AH52">
        <v>22868744</v>
      </c>
    </row>
    <row r="53" spans="2:34">
      <c r="B53" t="s">
        <v>34</v>
      </c>
      <c r="AC53">
        <v>1240244</v>
      </c>
      <c r="AD53">
        <v>3015646</v>
      </c>
      <c r="AE53">
        <v>4925399</v>
      </c>
      <c r="AF53">
        <v>2845516</v>
      </c>
      <c r="AG53">
        <v>5266261</v>
      </c>
      <c r="AH53">
        <v>3456413</v>
      </c>
    </row>
    <row r="54" spans="2:34">
      <c r="B54" t="s">
        <v>35</v>
      </c>
      <c r="AC54">
        <v>1013122</v>
      </c>
      <c r="AD54">
        <v>1108554</v>
      </c>
      <c r="AE54">
        <v>658171</v>
      </c>
      <c r="AF54">
        <v>4021245</v>
      </c>
      <c r="AG54">
        <v>1732412</v>
      </c>
      <c r="AH54">
        <v>544648</v>
      </c>
    </row>
    <row r="55" spans="2:34">
      <c r="B55" t="s">
        <v>36</v>
      </c>
      <c r="AC55">
        <v>14675796</v>
      </c>
      <c r="AD55">
        <v>13963193</v>
      </c>
      <c r="AE55">
        <v>14400133</v>
      </c>
      <c r="AF55">
        <v>16135851</v>
      </c>
      <c r="AG55">
        <v>17601991</v>
      </c>
      <c r="AH55">
        <v>15790976</v>
      </c>
    </row>
    <row r="56" spans="2:34">
      <c r="B56" t="s">
        <v>37</v>
      </c>
      <c r="AC56">
        <v>76729271</v>
      </c>
      <c r="AD56">
        <v>99128112</v>
      </c>
      <c r="AE56">
        <v>99166087</v>
      </c>
      <c r="AF56">
        <v>95007620</v>
      </c>
      <c r="AG56">
        <v>84392014</v>
      </c>
      <c r="AH56">
        <v>84179207</v>
      </c>
    </row>
    <row r="57" spans="2:34">
      <c r="B57" t="s">
        <v>38</v>
      </c>
      <c r="AC57">
        <v>702943</v>
      </c>
      <c r="AD57">
        <v>1433542</v>
      </c>
      <c r="AE57">
        <v>2541363</v>
      </c>
      <c r="AF57">
        <v>4417266</v>
      </c>
      <c r="AG57">
        <v>8946435</v>
      </c>
      <c r="AH57">
        <v>6727712</v>
      </c>
    </row>
    <row r="58" spans="2:34">
      <c r="B58" t="s">
        <v>39</v>
      </c>
      <c r="AC58">
        <v>3725174</v>
      </c>
      <c r="AD58">
        <v>2073382</v>
      </c>
      <c r="AE58">
        <v>1720114</v>
      </c>
      <c r="AF58">
        <v>2095719</v>
      </c>
      <c r="AG58">
        <v>2892988</v>
      </c>
      <c r="AH58">
        <v>3059071</v>
      </c>
    </row>
    <row r="59" spans="2:34">
      <c r="B59" t="s">
        <v>83</v>
      </c>
      <c r="AC59">
        <v>1478485</v>
      </c>
      <c r="AD59">
        <v>6647194</v>
      </c>
      <c r="AE59">
        <v>6093115</v>
      </c>
      <c r="AF59">
        <v>4133069</v>
      </c>
      <c r="AG59">
        <v>3702523</v>
      </c>
      <c r="AH59">
        <v>6508282</v>
      </c>
    </row>
    <row r="60" spans="2:34">
      <c r="B60" t="s">
        <v>88</v>
      </c>
      <c r="AG60">
        <v>8996</v>
      </c>
    </row>
    <row r="61" spans="2:34">
      <c r="B61" t="s">
        <v>89</v>
      </c>
    </row>
    <row r="62" spans="2:34">
      <c r="B62" t="s">
        <v>96</v>
      </c>
      <c r="AG62">
        <v>485</v>
      </c>
    </row>
    <row r="63" spans="2:34">
      <c r="B63" t="s">
        <v>41</v>
      </c>
      <c r="AH63">
        <v>30365</v>
      </c>
    </row>
    <row r="64" spans="2:34">
      <c r="B64" t="s">
        <v>42</v>
      </c>
    </row>
    <row r="65" spans="2:34">
      <c r="B65" t="s">
        <v>43</v>
      </c>
      <c r="AC65">
        <v>6297971</v>
      </c>
      <c r="AD65">
        <v>12376121</v>
      </c>
      <c r="AE65">
        <v>12965267</v>
      </c>
      <c r="AF65">
        <v>12711285</v>
      </c>
      <c r="AG65">
        <v>13803385</v>
      </c>
      <c r="AH65">
        <v>19884022</v>
      </c>
    </row>
    <row r="66" spans="2:34">
      <c r="B66" t="s">
        <v>44</v>
      </c>
      <c r="AC66">
        <v>100914</v>
      </c>
      <c r="AD66">
        <v>93422</v>
      </c>
      <c r="AE66">
        <v>167760</v>
      </c>
      <c r="AF66">
        <v>92294</v>
      </c>
      <c r="AG66">
        <v>219910</v>
      </c>
      <c r="AH66">
        <v>140612</v>
      </c>
    </row>
    <row r="67" spans="2:34">
      <c r="B67" t="s">
        <v>45</v>
      </c>
      <c r="AC67">
        <v>711099</v>
      </c>
      <c r="AD67">
        <v>355209</v>
      </c>
      <c r="AE67">
        <v>490961</v>
      </c>
      <c r="AF67">
        <v>232336</v>
      </c>
      <c r="AG67">
        <v>636036</v>
      </c>
      <c r="AH67">
        <v>2058435</v>
      </c>
    </row>
    <row r="68" spans="2:34">
      <c r="B68" t="s">
        <v>46</v>
      </c>
      <c r="AC68">
        <v>1922871</v>
      </c>
      <c r="AD68">
        <v>1985535</v>
      </c>
      <c r="AE68">
        <v>1457915</v>
      </c>
      <c r="AF68">
        <v>2206226</v>
      </c>
      <c r="AG68">
        <v>1652831</v>
      </c>
      <c r="AH68">
        <v>1024860</v>
      </c>
    </row>
    <row r="69" spans="2:34">
      <c r="B69" t="s">
        <v>47</v>
      </c>
    </row>
    <row r="70" spans="2:34">
      <c r="B70" t="s">
        <v>48</v>
      </c>
    </row>
    <row r="71" spans="2:34">
      <c r="B71" t="s">
        <v>49</v>
      </c>
      <c r="AC71">
        <v>5024420</v>
      </c>
      <c r="AD71">
        <v>6937556</v>
      </c>
      <c r="AE71">
        <v>7704387</v>
      </c>
      <c r="AF71">
        <v>8346365</v>
      </c>
      <c r="AG71">
        <v>8370573</v>
      </c>
      <c r="AH71">
        <v>8734089</v>
      </c>
    </row>
    <row r="72" spans="2:34">
      <c r="B72" t="s">
        <v>50</v>
      </c>
      <c r="AG72">
        <v>132</v>
      </c>
      <c r="AH72">
        <v>191</v>
      </c>
    </row>
    <row r="73" spans="2:34">
      <c r="B73" t="s">
        <v>51</v>
      </c>
      <c r="AC73">
        <v>5</v>
      </c>
      <c r="AD73">
        <v>400</v>
      </c>
      <c r="AE73">
        <v>31</v>
      </c>
      <c r="AF73">
        <v>726</v>
      </c>
      <c r="AG73">
        <v>6234</v>
      </c>
    </row>
    <row r="74" spans="2:34">
      <c r="B74" t="s">
        <v>90</v>
      </c>
      <c r="AC74">
        <v>42366</v>
      </c>
      <c r="AD74">
        <v>48246</v>
      </c>
      <c r="AE74">
        <v>85947</v>
      </c>
    </row>
    <row r="75" spans="2:34">
      <c r="B75" t="s">
        <v>92</v>
      </c>
    </row>
    <row r="76" spans="2:34">
      <c r="B76" t="s">
        <v>52</v>
      </c>
      <c r="AF76">
        <v>8056</v>
      </c>
      <c r="AG76">
        <v>10995</v>
      </c>
      <c r="AH76">
        <v>89</v>
      </c>
    </row>
    <row r="77" spans="2:34">
      <c r="B77" t="s">
        <v>75</v>
      </c>
    </row>
    <row r="78" spans="2:34">
      <c r="B78" t="s">
        <v>53</v>
      </c>
      <c r="AC78">
        <v>38673</v>
      </c>
      <c r="AD78">
        <v>62482</v>
      </c>
      <c r="AE78">
        <v>85413</v>
      </c>
      <c r="AF78">
        <v>172874</v>
      </c>
      <c r="AG78">
        <v>419652</v>
      </c>
      <c r="AH78">
        <v>610863</v>
      </c>
    </row>
    <row r="79" spans="2:34">
      <c r="B79" t="s">
        <v>93</v>
      </c>
    </row>
    <row r="80" spans="2:34">
      <c r="B80" t="s">
        <v>76</v>
      </c>
    </row>
    <row r="81" spans="2:34">
      <c r="B81" t="s">
        <v>77</v>
      </c>
    </row>
    <row r="82" spans="2:34">
      <c r="B82" t="s">
        <v>78</v>
      </c>
    </row>
    <row r="83" spans="2:34">
      <c r="B83" t="s">
        <v>54</v>
      </c>
      <c r="AE83">
        <v>6159</v>
      </c>
      <c r="AF83">
        <v>727</v>
      </c>
      <c r="AG83">
        <v>18728</v>
      </c>
      <c r="AH83">
        <v>22591</v>
      </c>
    </row>
    <row r="84" spans="2:34">
      <c r="B84" t="s">
        <v>79</v>
      </c>
    </row>
    <row r="85" spans="2:34">
      <c r="B85" t="s">
        <v>55</v>
      </c>
      <c r="AC85">
        <v>1861</v>
      </c>
      <c r="AD85">
        <v>602</v>
      </c>
      <c r="AE85">
        <v>1946</v>
      </c>
      <c r="AF85">
        <v>721</v>
      </c>
      <c r="AH85">
        <v>298</v>
      </c>
    </row>
    <row r="86" spans="2:34">
      <c r="B86" t="s">
        <v>56</v>
      </c>
    </row>
    <row r="87" spans="2:34">
      <c r="B87" t="s">
        <v>80</v>
      </c>
    </row>
    <row r="88" spans="2:34">
      <c r="B88" t="s">
        <v>81</v>
      </c>
    </row>
    <row r="89" spans="2:34">
      <c r="B89" t="s">
        <v>57</v>
      </c>
    </row>
    <row r="90" spans="2:34">
      <c r="B90" t="s">
        <v>84</v>
      </c>
      <c r="AC90">
        <v>515061</v>
      </c>
      <c r="AD90">
        <v>466407</v>
      </c>
      <c r="AE90">
        <v>4312352</v>
      </c>
      <c r="AF90">
        <v>2622554</v>
      </c>
      <c r="AG90">
        <v>4219231</v>
      </c>
      <c r="AH90">
        <v>2118854</v>
      </c>
    </row>
    <row r="91" spans="2:34">
      <c r="B91" t="s">
        <v>58</v>
      </c>
    </row>
    <row r="92" spans="2:34">
      <c r="B92" t="s">
        <v>59</v>
      </c>
    </row>
    <row r="94" spans="2:34">
      <c r="AC94">
        <f>SUM(AC4:AC93)</f>
        <v>211741902</v>
      </c>
      <c r="AD94">
        <f>SUM(AD4:AD93)</f>
        <v>287398907</v>
      </c>
      <c r="AE94">
        <f t="shared" ref="AE94:AH94" si="0">SUM(AE4:AE93)</f>
        <v>329668952</v>
      </c>
      <c r="AF94">
        <f t="shared" si="0"/>
        <v>324940358</v>
      </c>
      <c r="AG94">
        <f t="shared" si="0"/>
        <v>338889537</v>
      </c>
      <c r="AH94">
        <f t="shared" si="0"/>
        <v>383624383</v>
      </c>
    </row>
    <row r="96" spans="2:34">
      <c r="AC96">
        <f>211741902-AC94</f>
        <v>0</v>
      </c>
      <c r="AD96">
        <f>287398907-AD94</f>
        <v>0</v>
      </c>
      <c r="AE96">
        <f>329668962-AE94</f>
        <v>10</v>
      </c>
      <c r="AF96">
        <f>324940358-AF94</f>
        <v>0</v>
      </c>
      <c r="AG96">
        <f>338889537-AG94</f>
        <v>0</v>
      </c>
      <c r="AH96">
        <f>383624383-AH94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BC96"/>
  <sheetViews>
    <sheetView zoomScale="70" zoomScaleNormal="70" workbookViewId="0">
      <pane xSplit="4" ySplit="3" topLeftCell="AB4" activePane="bottomRight" state="frozen"/>
      <selection pane="topRight" activeCell="E1" sqref="E1"/>
      <selection pane="bottomLeft" activeCell="A4" sqref="A4"/>
      <selection pane="bottomRight" activeCell="AC72" sqref="AC72"/>
    </sheetView>
  </sheetViews>
  <sheetFormatPr defaultRowHeight="15"/>
  <cols>
    <col min="29" max="29" width="10.28515625" bestFit="1" customWidth="1"/>
    <col min="30" max="30" width="10.42578125" customWidth="1"/>
    <col min="31" max="31" width="10.28515625" bestFit="1" customWidth="1"/>
    <col min="32" max="32" width="9.5703125" bestFit="1" customWidth="1"/>
    <col min="33" max="33" width="10.28515625" bestFit="1" customWidth="1"/>
    <col min="34" max="34" width="10.42578125" customWidth="1"/>
  </cols>
  <sheetData>
    <row r="1" spans="2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2:55"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2:55"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</row>
    <row r="4" spans="2:55">
      <c r="B4" t="s">
        <v>3</v>
      </c>
      <c r="AC4">
        <f>12755906+2203977</f>
        <v>14959883</v>
      </c>
      <c r="AD4">
        <f>11563062+4477243</f>
        <v>16040305</v>
      </c>
      <c r="AE4">
        <f>13343453+4569890</f>
        <v>17913343</v>
      </c>
      <c r="AF4">
        <f>13924782+3385585</f>
        <v>17310367</v>
      </c>
      <c r="AG4">
        <f>21227827+3839084</f>
        <v>25066911</v>
      </c>
      <c r="AH4">
        <f>23487933+3234110</f>
        <v>26722043</v>
      </c>
    </row>
    <row r="5" spans="2:55">
      <c r="B5" t="s">
        <v>4</v>
      </c>
      <c r="AC5">
        <f>746632+122209</f>
        <v>868841</v>
      </c>
      <c r="AD5">
        <f>154290+117953</f>
        <v>272243</v>
      </c>
      <c r="AE5">
        <f>353734+74687</f>
        <v>428421</v>
      </c>
      <c r="AF5">
        <f>424189+69806</f>
        <v>493995</v>
      </c>
      <c r="AG5">
        <f>597575+216959</f>
        <v>814534</v>
      </c>
      <c r="AH5">
        <f>931118+183589</f>
        <v>1114707</v>
      </c>
    </row>
    <row r="6" spans="2:55">
      <c r="B6" t="s">
        <v>5</v>
      </c>
      <c r="AC6">
        <f>1255000+92767</f>
        <v>1347767</v>
      </c>
      <c r="AD6">
        <f>390937+59317</f>
        <v>450254</v>
      </c>
      <c r="AE6">
        <f>773831+273051</f>
        <v>1046882</v>
      </c>
      <c r="AF6">
        <f>1306624+263443</f>
        <v>1570067</v>
      </c>
      <c r="AG6">
        <f>1247872+505211</f>
        <v>1753083</v>
      </c>
      <c r="AH6">
        <f>1077585+274846</f>
        <v>1352431</v>
      </c>
    </row>
    <row r="7" spans="2:55">
      <c r="B7" t="s">
        <v>6</v>
      </c>
      <c r="AC7">
        <v>510</v>
      </c>
      <c r="AD7">
        <v>103</v>
      </c>
    </row>
    <row r="8" spans="2:55">
      <c r="B8" t="s">
        <v>7</v>
      </c>
      <c r="AC8">
        <v>200</v>
      </c>
      <c r="AD8">
        <f>10670+54249</f>
        <v>64919</v>
      </c>
      <c r="AE8">
        <f>50469+2756</f>
        <v>53225</v>
      </c>
      <c r="AF8">
        <f>210582+5414</f>
        <v>215996</v>
      </c>
      <c r="AG8">
        <f>50474+65092</f>
        <v>115566</v>
      </c>
      <c r="AH8">
        <f>154970+5403</f>
        <v>160373</v>
      </c>
    </row>
    <row r="9" spans="2:55">
      <c r="B9" t="s">
        <v>8</v>
      </c>
      <c r="AC9">
        <f>215603+33931</f>
        <v>249534</v>
      </c>
      <c r="AD9">
        <f>286580+51538</f>
        <v>338118</v>
      </c>
      <c r="AE9">
        <f>1534894+75052</f>
        <v>1609946</v>
      </c>
      <c r="AF9">
        <f>1340748+109260</f>
        <v>1450008</v>
      </c>
      <c r="AG9">
        <f>879688+402383</f>
        <v>1282071</v>
      </c>
      <c r="AH9">
        <f>457073+97754</f>
        <v>554827</v>
      </c>
    </row>
    <row r="10" spans="2:55">
      <c r="B10" t="s">
        <v>9</v>
      </c>
      <c r="AC10">
        <v>6590</v>
      </c>
      <c r="AD10">
        <v>1130</v>
      </c>
      <c r="AE10">
        <v>3385</v>
      </c>
      <c r="AF10">
        <v>37729</v>
      </c>
      <c r="AG10">
        <v>6984</v>
      </c>
      <c r="AH10">
        <f>15880+4047</f>
        <v>19927</v>
      </c>
    </row>
    <row r="11" spans="2:55">
      <c r="B11" t="s">
        <v>63</v>
      </c>
    </row>
    <row r="12" spans="2:55">
      <c r="B12" t="s">
        <v>10</v>
      </c>
    </row>
    <row r="13" spans="2:55">
      <c r="B13" t="s">
        <v>91</v>
      </c>
    </row>
    <row r="14" spans="2:55">
      <c r="B14" t="s">
        <v>85</v>
      </c>
    </row>
    <row r="15" spans="2:55">
      <c r="B15" t="s">
        <v>11</v>
      </c>
      <c r="AD15">
        <v>943</v>
      </c>
      <c r="AE15">
        <v>4500</v>
      </c>
      <c r="AF15">
        <v>12530</v>
      </c>
      <c r="AG15">
        <f>2107+3855</f>
        <v>5962</v>
      </c>
      <c r="AH15">
        <f>74978+1931</f>
        <v>76909</v>
      </c>
    </row>
    <row r="16" spans="2:55">
      <c r="B16" t="s">
        <v>12</v>
      </c>
    </row>
    <row r="17" spans="2:34">
      <c r="B17" t="s">
        <v>13</v>
      </c>
    </row>
    <row r="18" spans="2:34">
      <c r="B18" t="s">
        <v>14</v>
      </c>
      <c r="AD18">
        <v>79</v>
      </c>
      <c r="AG18">
        <f>13500+1927</f>
        <v>15427</v>
      </c>
      <c r="AH18">
        <f>26198+3376</f>
        <v>29574</v>
      </c>
    </row>
    <row r="19" spans="2:34">
      <c r="B19" t="s">
        <v>15</v>
      </c>
      <c r="AC19">
        <f>5874+2366</f>
        <v>8240</v>
      </c>
      <c r="AE19">
        <v>61</v>
      </c>
      <c r="AF19">
        <f>1378+1900</f>
        <v>3278</v>
      </c>
      <c r="AG19">
        <v>20820</v>
      </c>
    </row>
    <row r="20" spans="2:34">
      <c r="B20" t="s">
        <v>16</v>
      </c>
      <c r="AC20">
        <v>14</v>
      </c>
      <c r="AD20">
        <v>90700</v>
      </c>
      <c r="AE20">
        <v>1579053</v>
      </c>
      <c r="AF20">
        <v>2159</v>
      </c>
      <c r="AG20">
        <f>13235+4312</f>
        <v>17547</v>
      </c>
      <c r="AH20">
        <f>40158+1855</f>
        <v>42013</v>
      </c>
    </row>
    <row r="21" spans="2:34">
      <c r="B21" t="s">
        <v>17</v>
      </c>
    </row>
    <row r="22" spans="2:34">
      <c r="B22" t="s">
        <v>18</v>
      </c>
    </row>
    <row r="23" spans="2:34">
      <c r="B23" t="s">
        <v>69</v>
      </c>
    </row>
    <row r="24" spans="2:34">
      <c r="B24" t="s">
        <v>19</v>
      </c>
    </row>
    <row r="25" spans="2:34">
      <c r="B25" t="s">
        <v>20</v>
      </c>
    </row>
    <row r="26" spans="2:34">
      <c r="B26" t="s">
        <v>86</v>
      </c>
    </row>
    <row r="27" spans="2:34">
      <c r="B27" t="s">
        <v>87</v>
      </c>
    </row>
    <row r="28" spans="2:34">
      <c r="B28" t="s">
        <v>61</v>
      </c>
    </row>
    <row r="29" spans="2:34">
      <c r="B29" t="s">
        <v>21</v>
      </c>
    </row>
    <row r="30" spans="2:34">
      <c r="B30" t="s">
        <v>22</v>
      </c>
    </row>
    <row r="31" spans="2:34">
      <c r="B31" t="s">
        <v>70</v>
      </c>
      <c r="AH31">
        <v>295240</v>
      </c>
    </row>
    <row r="32" spans="2:34">
      <c r="B32" t="s">
        <v>71</v>
      </c>
    </row>
    <row r="33" spans="2:34">
      <c r="B33" t="s">
        <v>23</v>
      </c>
    </row>
    <row r="34" spans="2:34">
      <c r="B34" t="s">
        <v>24</v>
      </c>
    </row>
    <row r="35" spans="2:34">
      <c r="B35" t="s">
        <v>25</v>
      </c>
    </row>
    <row r="36" spans="2:34">
      <c r="B36" t="s">
        <v>26</v>
      </c>
    </row>
    <row r="37" spans="2:34">
      <c r="B37" t="s">
        <v>27</v>
      </c>
    </row>
    <row r="38" spans="2:34">
      <c r="B38" t="s">
        <v>28</v>
      </c>
    </row>
    <row r="39" spans="2:34">
      <c r="B39" t="s">
        <v>29</v>
      </c>
      <c r="AC39">
        <f>774793+240185</f>
        <v>1014978</v>
      </c>
      <c r="AD39">
        <f>396415+234358</f>
        <v>630773</v>
      </c>
      <c r="AE39">
        <f>323175+144080</f>
        <v>467255</v>
      </c>
      <c r="AF39">
        <f>188800+120799</f>
        <v>309599</v>
      </c>
      <c r="AG39">
        <f>299614+166600</f>
        <v>466214</v>
      </c>
      <c r="AH39">
        <f>476891+83753</f>
        <v>560644</v>
      </c>
    </row>
    <row r="40" spans="2:34">
      <c r="B40" t="s">
        <v>72</v>
      </c>
    </row>
    <row r="41" spans="2:34">
      <c r="B41" t="s">
        <v>73</v>
      </c>
    </row>
    <row r="42" spans="2:34">
      <c r="B42" t="s">
        <v>74</v>
      </c>
    </row>
    <row r="43" spans="2:34">
      <c r="B43" t="s">
        <v>30</v>
      </c>
    </row>
    <row r="44" spans="2:34">
      <c r="B44" t="s">
        <v>31</v>
      </c>
    </row>
    <row r="45" spans="2:34">
      <c r="B45" t="s">
        <v>94</v>
      </c>
    </row>
    <row r="46" spans="2:34">
      <c r="B46" t="s">
        <v>95</v>
      </c>
    </row>
    <row r="47" spans="2:34">
      <c r="B47" t="s">
        <v>98</v>
      </c>
    </row>
    <row r="48" spans="2:34">
      <c r="B48" t="s">
        <v>64</v>
      </c>
      <c r="AH48">
        <v>945080</v>
      </c>
    </row>
    <row r="49" spans="2:34">
      <c r="B49" t="s">
        <v>65</v>
      </c>
    </row>
    <row r="50" spans="2:34">
      <c r="B50" t="s">
        <v>82</v>
      </c>
      <c r="AF50">
        <v>4728017</v>
      </c>
      <c r="AG50">
        <v>617850</v>
      </c>
      <c r="AH50">
        <v>435750</v>
      </c>
    </row>
    <row r="51" spans="2:34">
      <c r="B51" t="s">
        <v>32</v>
      </c>
    </row>
    <row r="52" spans="2:34">
      <c r="B52" t="s">
        <v>33</v>
      </c>
      <c r="AC52">
        <v>4106546</v>
      </c>
      <c r="AD52">
        <v>2911178</v>
      </c>
      <c r="AE52">
        <v>5441177</v>
      </c>
      <c r="AF52">
        <v>3974573</v>
      </c>
      <c r="AG52">
        <f>2684368+2788</f>
        <v>2687156</v>
      </c>
      <c r="AH52">
        <v>3129568</v>
      </c>
    </row>
    <row r="53" spans="2:34">
      <c r="B53" t="s">
        <v>34</v>
      </c>
      <c r="AG53">
        <v>14079</v>
      </c>
    </row>
    <row r="54" spans="2:34">
      <c r="B54" t="s">
        <v>35</v>
      </c>
    </row>
    <row r="55" spans="2:34">
      <c r="B55" t="s">
        <v>36</v>
      </c>
      <c r="AH55">
        <v>14022</v>
      </c>
    </row>
    <row r="56" spans="2:34">
      <c r="B56" t="s">
        <v>37</v>
      </c>
      <c r="AC56">
        <f>2640+321056</f>
        <v>323696</v>
      </c>
      <c r="AD56">
        <f>230550+3490</f>
        <v>234040</v>
      </c>
      <c r="AE56">
        <f>3378+169397</f>
        <v>172775</v>
      </c>
      <c r="AF56">
        <f>3223+155993</f>
        <v>159216</v>
      </c>
      <c r="AG56">
        <f>2983+270403</f>
        <v>273386</v>
      </c>
      <c r="AH56">
        <f>1843+28733</f>
        <v>30576</v>
      </c>
    </row>
    <row r="57" spans="2:34">
      <c r="B57" t="s">
        <v>38</v>
      </c>
    </row>
    <row r="58" spans="2:34">
      <c r="B58" t="s">
        <v>39</v>
      </c>
      <c r="AC58">
        <f>479+231</f>
        <v>710</v>
      </c>
      <c r="AD58">
        <f>156+13989</f>
        <v>14145</v>
      </c>
      <c r="AE58">
        <f>270+64555</f>
        <v>64825</v>
      </c>
      <c r="AF58">
        <v>51151</v>
      </c>
      <c r="AH58">
        <v>43623</v>
      </c>
    </row>
    <row r="59" spans="2:34">
      <c r="B59" t="s">
        <v>83</v>
      </c>
      <c r="AC59">
        <v>1096</v>
      </c>
      <c r="AD59">
        <f>4090+17517</f>
        <v>21607</v>
      </c>
      <c r="AE59">
        <v>28059</v>
      </c>
      <c r="AF59">
        <v>26990</v>
      </c>
      <c r="AH59">
        <v>7096</v>
      </c>
    </row>
    <row r="60" spans="2:34">
      <c r="B60" t="s">
        <v>88</v>
      </c>
    </row>
    <row r="61" spans="2:34">
      <c r="B61" t="s">
        <v>89</v>
      </c>
    </row>
    <row r="62" spans="2:34">
      <c r="B62" t="s">
        <v>96</v>
      </c>
    </row>
    <row r="63" spans="2:34">
      <c r="B63" t="s">
        <v>41</v>
      </c>
    </row>
    <row r="64" spans="2:34">
      <c r="B64" t="s">
        <v>42</v>
      </c>
    </row>
    <row r="65" spans="2:34">
      <c r="B65" t="s">
        <v>43</v>
      </c>
      <c r="AC65">
        <v>3139</v>
      </c>
      <c r="AD65">
        <v>4160</v>
      </c>
      <c r="AE65">
        <v>1788</v>
      </c>
      <c r="AF65">
        <v>3053</v>
      </c>
      <c r="AH65">
        <f>29696+3436</f>
        <v>33132</v>
      </c>
    </row>
    <row r="66" spans="2:34">
      <c r="B66" t="s">
        <v>44</v>
      </c>
    </row>
    <row r="67" spans="2:34">
      <c r="B67" t="s">
        <v>45</v>
      </c>
    </row>
    <row r="68" spans="2:34">
      <c r="B68" t="s">
        <v>46</v>
      </c>
    </row>
    <row r="69" spans="2:34">
      <c r="B69" t="s">
        <v>47</v>
      </c>
    </row>
    <row r="70" spans="2:34">
      <c r="B70" t="s">
        <v>48</v>
      </c>
    </row>
    <row r="71" spans="2:34">
      <c r="B71" t="s">
        <v>49</v>
      </c>
      <c r="AC71">
        <v>81190</v>
      </c>
      <c r="AD71">
        <v>56200</v>
      </c>
      <c r="AE71">
        <v>168996</v>
      </c>
      <c r="AF71">
        <v>125364</v>
      </c>
      <c r="AG71">
        <v>140581</v>
      </c>
      <c r="AH71">
        <v>111618</v>
      </c>
    </row>
    <row r="72" spans="2:34">
      <c r="B72" t="s">
        <v>50</v>
      </c>
    </row>
    <row r="73" spans="2:34">
      <c r="B73" t="s">
        <v>51</v>
      </c>
    </row>
    <row r="74" spans="2:34">
      <c r="B74" t="s">
        <v>90</v>
      </c>
    </row>
    <row r="75" spans="2:34">
      <c r="B75" t="s">
        <v>92</v>
      </c>
    </row>
    <row r="76" spans="2:34">
      <c r="B76" t="s">
        <v>52</v>
      </c>
    </row>
    <row r="77" spans="2:34">
      <c r="B77" t="s">
        <v>75</v>
      </c>
    </row>
    <row r="78" spans="2:34">
      <c r="B78" t="s">
        <v>53</v>
      </c>
    </row>
    <row r="79" spans="2:34">
      <c r="B79" t="s">
        <v>93</v>
      </c>
    </row>
    <row r="80" spans="2:34">
      <c r="B80" t="s">
        <v>76</v>
      </c>
    </row>
    <row r="81" spans="2:34">
      <c r="B81" t="s">
        <v>77</v>
      </c>
    </row>
    <row r="82" spans="2:34">
      <c r="B82" t="s">
        <v>78</v>
      </c>
    </row>
    <row r="83" spans="2:34">
      <c r="B83" t="s">
        <v>54</v>
      </c>
    </row>
    <row r="84" spans="2:34">
      <c r="B84" t="s">
        <v>79</v>
      </c>
    </row>
    <row r="85" spans="2:34">
      <c r="B85" t="s">
        <v>55</v>
      </c>
      <c r="AG85">
        <v>202623</v>
      </c>
      <c r="AH85">
        <v>397273</v>
      </c>
    </row>
    <row r="86" spans="2:34">
      <c r="B86" t="s">
        <v>56</v>
      </c>
    </row>
    <row r="87" spans="2:34">
      <c r="B87" t="s">
        <v>80</v>
      </c>
    </row>
    <row r="88" spans="2:34">
      <c r="B88" t="s">
        <v>81</v>
      </c>
    </row>
    <row r="89" spans="2:34">
      <c r="B89" t="s">
        <v>57</v>
      </c>
    </row>
    <row r="90" spans="2:34">
      <c r="B90" t="s">
        <v>84</v>
      </c>
      <c r="AC90">
        <f>14568+678</f>
        <v>15246</v>
      </c>
      <c r="AD90">
        <v>20484</v>
      </c>
      <c r="AE90">
        <f>118550+14380</f>
        <v>132930</v>
      </c>
      <c r="AF90">
        <f>998+4150</f>
        <v>5148</v>
      </c>
      <c r="AG90">
        <f>1034+2264</f>
        <v>3298</v>
      </c>
      <c r="AH90">
        <v>57</v>
      </c>
    </row>
    <row r="91" spans="2:34">
      <c r="B91" t="s">
        <v>58</v>
      </c>
      <c r="AD91">
        <v>40</v>
      </c>
    </row>
    <row r="92" spans="2:34">
      <c r="B92" t="s">
        <v>59</v>
      </c>
    </row>
    <row r="94" spans="2:34">
      <c r="AC94">
        <f>SUM(AC4:AC93)</f>
        <v>22988180</v>
      </c>
      <c r="AD94">
        <f>SUM(AD4:AD93)</f>
        <v>21151421</v>
      </c>
      <c r="AE94">
        <f t="shared" ref="AE94:AH94" si="0">SUM(AE4:AE93)</f>
        <v>29116621</v>
      </c>
      <c r="AF94">
        <f t="shared" si="0"/>
        <v>30479240</v>
      </c>
      <c r="AG94">
        <f t="shared" si="0"/>
        <v>33504092</v>
      </c>
      <c r="AH94">
        <f t="shared" si="0"/>
        <v>36076483</v>
      </c>
    </row>
    <row r="96" spans="2:34">
      <c r="AC96">
        <f>19951576+3036604-AC94</f>
        <v>0</v>
      </c>
      <c r="AD96">
        <f>15874223+5277198-AD94</f>
        <v>0</v>
      </c>
      <c r="AE96">
        <f>23700653+5415968-AE94</f>
        <v>0</v>
      </c>
      <c r="AF96">
        <f>26282590+4196650-AF94</f>
        <v>0</v>
      </c>
      <c r="AG96">
        <f>28023214+5480878-AG94</f>
        <v>0</v>
      </c>
      <c r="AH96">
        <f>32088897+3987586-AH94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imports</vt:lpstr>
      <vt:lpstr>exports</vt:lpstr>
      <vt:lpstr>Sheet2</vt:lpstr>
      <vt:lpstr>imp_jm</vt:lpstr>
      <vt:lpstr>imp_oth</vt:lpstr>
      <vt:lpstr>imp_gov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2009-10-01T14:58:39Z</dcterms:created>
  <dcterms:modified xsi:type="dcterms:W3CDTF">2011-10-03T14:56:00Z</dcterms:modified>
</cp:coreProperties>
</file>