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/>
  </bookViews>
  <sheets>
    <sheet name="imports" sheetId="1" r:id="rId1"/>
    <sheet name="domexp" sheetId="2" r:id="rId2"/>
    <sheet name="reexp" sheetId="3" r:id="rId3"/>
  </sheets>
  <calcPr calcId="125725"/>
</workbook>
</file>

<file path=xl/calcChain.xml><?xml version="1.0" encoding="utf-8"?>
<calcChain xmlns="http://schemas.openxmlformats.org/spreadsheetml/2006/main">
  <c r="AN137" i="1"/>
  <c r="AH3" i="3"/>
  <c r="AD11"/>
  <c r="AD7"/>
  <c r="AD3"/>
  <c r="AD101" s="1"/>
  <c r="AD103" s="1"/>
  <c r="AD89" i="1"/>
  <c r="AD130"/>
  <c r="AD128"/>
  <c r="AD12"/>
  <c r="AD135" s="1"/>
  <c r="AD137" s="1"/>
  <c r="AD4"/>
  <c r="AC54" i="3"/>
  <c r="AC7"/>
  <c r="AC3"/>
  <c r="AZ3" i="2"/>
  <c r="AZ95" s="1"/>
  <c r="AZ97" s="1"/>
  <c r="BA7" i="3"/>
  <c r="BA3" i="2"/>
  <c r="BA95" s="1"/>
  <c r="BA97" s="1"/>
  <c r="BB3" i="3"/>
  <c r="BB101" s="1"/>
  <c r="BB103" s="1"/>
  <c r="BB95" i="2"/>
  <c r="BB97" s="1"/>
  <c r="AB3" i="3"/>
  <c r="AB101" s="1"/>
  <c r="AB103" s="1"/>
  <c r="AB130" i="1"/>
  <c r="AB128"/>
  <c r="AB89"/>
  <c r="AB4"/>
  <c r="AT12"/>
  <c r="AT8"/>
  <c r="AT135" s="1"/>
  <c r="AT137" s="1"/>
  <c r="AT4"/>
  <c r="V101" i="3"/>
  <c r="W101"/>
  <c r="X101"/>
  <c r="Y101"/>
  <c r="Z101"/>
  <c r="AA101"/>
  <c r="AA103" s="1"/>
  <c r="AC101"/>
  <c r="AC103" s="1"/>
  <c r="AE101"/>
  <c r="AE103" s="1"/>
  <c r="AF101"/>
  <c r="AF103" s="1"/>
  <c r="AG101"/>
  <c r="AG103" s="1"/>
  <c r="AH101"/>
  <c r="AH103" s="1"/>
  <c r="AI101"/>
  <c r="AJ101"/>
  <c r="AK101"/>
  <c r="AL101"/>
  <c r="AM101"/>
  <c r="AN101"/>
  <c r="AN103" s="1"/>
  <c r="AO101"/>
  <c r="AO103" s="1"/>
  <c r="AP101"/>
  <c r="AP103" s="1"/>
  <c r="AQ101"/>
  <c r="AQ103" s="1"/>
  <c r="AR101"/>
  <c r="AR103" s="1"/>
  <c r="AS101"/>
  <c r="AS103" s="1"/>
  <c r="AT101"/>
  <c r="AT103" s="1"/>
  <c r="AU101"/>
  <c r="AV101"/>
  <c r="AW101"/>
  <c r="AW103" s="1"/>
  <c r="AX101"/>
  <c r="AX103" s="1"/>
  <c r="AY101"/>
  <c r="AY103" s="1"/>
  <c r="AZ101"/>
  <c r="AZ103" s="1"/>
  <c r="BA101"/>
  <c r="BA103" s="1"/>
  <c r="V95" i="2"/>
  <c r="W95"/>
  <c r="X95"/>
  <c r="Y95"/>
  <c r="Z95"/>
  <c r="AA95"/>
  <c r="AA97" s="1"/>
  <c r="AB95"/>
  <c r="AB97" s="1"/>
  <c r="AC95"/>
  <c r="AC97" s="1"/>
  <c r="AD95"/>
  <c r="AD97" s="1"/>
  <c r="AE95"/>
  <c r="AE97" s="1"/>
  <c r="AF95"/>
  <c r="AF97" s="1"/>
  <c r="AG95"/>
  <c r="AG97" s="1"/>
  <c r="AH95"/>
  <c r="AH97" s="1"/>
  <c r="AI95"/>
  <c r="AJ95"/>
  <c r="AK95"/>
  <c r="AL95"/>
  <c r="AM95"/>
  <c r="AN95"/>
  <c r="AN97" s="1"/>
  <c r="AO95"/>
  <c r="AO97" s="1"/>
  <c r="AP95"/>
  <c r="AP97" s="1"/>
  <c r="AQ95"/>
  <c r="AQ97" s="1"/>
  <c r="AR95"/>
  <c r="AR97" s="1"/>
  <c r="AS95"/>
  <c r="AS97" s="1"/>
  <c r="AT95"/>
  <c r="AT97" s="1"/>
  <c r="AU95"/>
  <c r="AV95"/>
  <c r="AW95"/>
  <c r="AW97" s="1"/>
  <c r="AX95"/>
  <c r="AX97" s="1"/>
  <c r="AY95"/>
  <c r="AY97" s="1"/>
  <c r="V135" i="1"/>
  <c r="W135"/>
  <c r="X135"/>
  <c r="Y135"/>
  <c r="Z135"/>
  <c r="AA135"/>
  <c r="AA137" s="1"/>
  <c r="AC135"/>
  <c r="AC137" s="1"/>
  <c r="AE135"/>
  <c r="AE137" s="1"/>
  <c r="AF135"/>
  <c r="AF137" s="1"/>
  <c r="AG135"/>
  <c r="AG137" s="1"/>
  <c r="AH135"/>
  <c r="AH137" s="1"/>
  <c r="AI135"/>
  <c r="AJ135"/>
  <c r="AK135"/>
  <c r="AL135"/>
  <c r="AM135"/>
  <c r="AN135"/>
  <c r="AO135"/>
  <c r="AO137" s="1"/>
  <c r="AP135"/>
  <c r="AP137" s="1"/>
  <c r="AQ135"/>
  <c r="AQ137" s="1"/>
  <c r="AR135"/>
  <c r="AR137" s="1"/>
  <c r="AS135"/>
  <c r="AS137" s="1"/>
  <c r="AU135"/>
  <c r="AV135"/>
  <c r="AW135"/>
  <c r="AW137" s="1"/>
  <c r="AX135"/>
  <c r="AX137" s="1"/>
  <c r="AY135"/>
  <c r="AY137" s="1"/>
  <c r="AZ135"/>
  <c r="AZ137" s="1"/>
  <c r="BA135"/>
  <c r="BA137" s="1"/>
  <c r="BB135"/>
  <c r="BB137" s="1"/>
  <c r="F135"/>
  <c r="G135"/>
  <c r="H135"/>
  <c r="I135"/>
  <c r="J135"/>
  <c r="J137" s="1"/>
  <c r="K135"/>
  <c r="K137" s="1"/>
  <c r="L135"/>
  <c r="M135"/>
  <c r="M137" s="1"/>
  <c r="N135"/>
  <c r="N137" s="1"/>
  <c r="O135"/>
  <c r="O137" s="1"/>
  <c r="P135"/>
  <c r="P137" s="1"/>
  <c r="Q135"/>
  <c r="Q137" s="1"/>
  <c r="R135"/>
  <c r="R137" s="1"/>
  <c r="S135"/>
  <c r="S137" s="1"/>
  <c r="F95" i="2"/>
  <c r="G95"/>
  <c r="H95"/>
  <c r="I95"/>
  <c r="J95"/>
  <c r="J97" s="1"/>
  <c r="K95"/>
  <c r="K97" s="1"/>
  <c r="L95"/>
  <c r="M95"/>
  <c r="M97" s="1"/>
  <c r="N95"/>
  <c r="N97" s="1"/>
  <c r="O95"/>
  <c r="O97" s="1"/>
  <c r="P95"/>
  <c r="P97" s="1"/>
  <c r="Q95"/>
  <c r="Q97" s="1"/>
  <c r="R95"/>
  <c r="R97" s="1"/>
  <c r="S95"/>
  <c r="S97" s="1"/>
  <c r="F101" i="3"/>
  <c r="G101"/>
  <c r="H101"/>
  <c r="I101"/>
  <c r="J101"/>
  <c r="J103" s="1"/>
  <c r="K101"/>
  <c r="K103" s="1"/>
  <c r="L101"/>
  <c r="M101"/>
  <c r="M103" s="1"/>
  <c r="N101"/>
  <c r="N103" s="1"/>
  <c r="O101"/>
  <c r="O103" s="1"/>
  <c r="P101"/>
  <c r="P103" s="1"/>
  <c r="Q101"/>
  <c r="Q103" s="1"/>
  <c r="R101"/>
  <c r="R103" s="1"/>
  <c r="S101"/>
  <c r="S103" s="1"/>
  <c r="U101"/>
  <c r="U103" s="1"/>
  <c r="T101"/>
  <c r="T103" s="1"/>
  <c r="U95" i="2"/>
  <c r="U97" s="1"/>
  <c r="T95"/>
  <c r="T97" s="1"/>
  <c r="U135" i="1"/>
  <c r="U137" s="1"/>
  <c r="T135"/>
  <c r="T137" s="1"/>
  <c r="AB135" l="1"/>
  <c r="AB137" s="1"/>
</calcChain>
</file>

<file path=xl/sharedStrings.xml><?xml version="1.0" encoding="utf-8"?>
<sst xmlns="http://schemas.openxmlformats.org/spreadsheetml/2006/main" count="520" uniqueCount="221">
  <si>
    <t>notes</t>
  </si>
  <si>
    <t>unit</t>
  </si>
  <si>
    <t>Sierra Leone</t>
  </si>
  <si>
    <t>UK</t>
  </si>
  <si>
    <t>Cameroons</t>
  </si>
  <si>
    <t>Gambia</t>
  </si>
  <si>
    <t>Gold Coast</t>
  </si>
  <si>
    <t>Lome</t>
  </si>
  <si>
    <t>Nigeria</t>
  </si>
  <si>
    <t>Ascension</t>
  </si>
  <si>
    <t>Dar Es Salam</t>
  </si>
  <si>
    <t>Falkland Islands</t>
  </si>
  <si>
    <t>Gibraltar</t>
  </si>
  <si>
    <t>India</t>
  </si>
  <si>
    <t>Natal</t>
  </si>
  <si>
    <t>Jamaica</t>
  </si>
  <si>
    <t>New Zealand</t>
  </si>
  <si>
    <t>France</t>
  </si>
  <si>
    <t>Germany</t>
  </si>
  <si>
    <t>High Seas</t>
  </si>
  <si>
    <t>Holland</t>
  </si>
  <si>
    <t>US</t>
  </si>
  <si>
    <t>Bissao</t>
  </si>
  <si>
    <t>Boulama</t>
  </si>
  <si>
    <t>Cape Lopez</t>
  </si>
  <si>
    <t>Cape Verde</t>
  </si>
  <si>
    <t>Conakry</t>
  </si>
  <si>
    <t>Congo</t>
  </si>
  <si>
    <t>Fernando Po</t>
  </si>
  <si>
    <t>Guinee Francaise</t>
  </si>
  <si>
    <t>Ivory Coast</t>
  </si>
  <si>
    <t>Landana</t>
  </si>
  <si>
    <t>Liberia</t>
  </si>
  <si>
    <t>Mossamedes</t>
  </si>
  <si>
    <t>Senegal, Dakar</t>
  </si>
  <si>
    <t>Senegal, Rufisque</t>
  </si>
  <si>
    <t>Senegal, St Louis</t>
  </si>
  <si>
    <t>San Thome</t>
  </si>
  <si>
    <t>Austria</t>
  </si>
  <si>
    <t>Belgium</t>
  </si>
  <si>
    <t>Denmark</t>
  </si>
  <si>
    <t>Italy</t>
  </si>
  <si>
    <t>Norway</t>
  </si>
  <si>
    <t>Spain</t>
  </si>
  <si>
    <t>Sweden</t>
  </si>
  <si>
    <t>Switzerland</t>
  </si>
  <si>
    <t>Cape Verde Islands</t>
  </si>
  <si>
    <t>Fayal Azores</t>
  </si>
  <si>
    <t>Grand Canary</t>
  </si>
  <si>
    <t>Japan</t>
  </si>
  <si>
    <t>Madeira</t>
  </si>
  <si>
    <t>Teneriffe</t>
  </si>
  <si>
    <t>pounds</t>
  </si>
  <si>
    <t>Cassamans</t>
  </si>
  <si>
    <t>Tripoli</t>
  </si>
  <si>
    <t>Syria</t>
  </si>
  <si>
    <t>Portugal</t>
  </si>
  <si>
    <t>Russia</t>
  </si>
  <si>
    <t>Swakopmund</t>
  </si>
  <si>
    <t>Kribi</t>
  </si>
  <si>
    <t>Senegal, Goree</t>
  </si>
  <si>
    <t>Cameroon</t>
  </si>
  <si>
    <t>under foreign possessions in 1913</t>
  </si>
  <si>
    <t>Egypt</t>
  </si>
  <si>
    <t>Port Novo</t>
  </si>
  <si>
    <t>Duala</t>
  </si>
  <si>
    <t>Part of Cameroons after 1913</t>
  </si>
  <si>
    <t>Turkey</t>
  </si>
  <si>
    <t>Loanda</t>
  </si>
  <si>
    <t>Cape Town</t>
  </si>
  <si>
    <t>Southern Nigeria</t>
  </si>
  <si>
    <t>Northern Nigeria</t>
  </si>
  <si>
    <t>Cuba</t>
  </si>
  <si>
    <t>St Vincent</t>
  </si>
  <si>
    <t>Leeward Coast</t>
  </si>
  <si>
    <t>Windward Coast</t>
  </si>
  <si>
    <t>Demerara</t>
  </si>
  <si>
    <t>Canada</t>
  </si>
  <si>
    <t>Victoria (Camerouns)</t>
  </si>
  <si>
    <t>British West Indies</t>
  </si>
  <si>
    <t>South Africa</t>
  </si>
  <si>
    <t>Zanzibar</t>
  </si>
  <si>
    <t>Canary Islands</t>
  </si>
  <si>
    <t>Senegal</t>
  </si>
  <si>
    <t>Spanish West Africa</t>
  </si>
  <si>
    <t>Portuguese West Africa</t>
  </si>
  <si>
    <t>Camerouns</t>
  </si>
  <si>
    <t>Porto Novo</t>
  </si>
  <si>
    <t xml:space="preserve">Spanish West Africa </t>
  </si>
  <si>
    <t>Parcel Post</t>
  </si>
  <si>
    <t>Dahomey</t>
  </si>
  <si>
    <t>Includes bullion: 125346 UK, 3350 Gold Coast</t>
  </si>
  <si>
    <t>Includes bullion: 0</t>
  </si>
  <si>
    <t>Includes bullion: 90638 UK, 3000 Gold Coast, 7497 Liberia, 218 Canary Islands, 21400 Senegal, 38628 French Guinea, 8000 Ivory Coast</t>
  </si>
  <si>
    <t>Australia</t>
  </si>
  <si>
    <t>Burma</t>
  </si>
  <si>
    <t>Ceylon</t>
  </si>
  <si>
    <t>Cyprus</t>
  </si>
  <si>
    <t>Eire</t>
  </si>
  <si>
    <t>Hong Kong</t>
  </si>
  <si>
    <t>Nyasaland</t>
  </si>
  <si>
    <t>Southern Rhodesia</t>
  </si>
  <si>
    <t>Trinidad</t>
  </si>
  <si>
    <t>Union of South Africa</t>
  </si>
  <si>
    <t>Other British countries</t>
  </si>
  <si>
    <t>Austria-Hungary</t>
  </si>
  <si>
    <t>Argentina</t>
  </si>
  <si>
    <t>Belgian Congo</t>
  </si>
  <si>
    <t>Brazil</t>
  </si>
  <si>
    <t>China</t>
  </si>
  <si>
    <t>French Guinea</t>
  </si>
  <si>
    <t>French India</t>
  </si>
  <si>
    <t>Indo-China</t>
  </si>
  <si>
    <t>Netherlands East Indies</t>
  </si>
  <si>
    <t>Netherlands West Indies</t>
  </si>
  <si>
    <t>Portuguese East Africa</t>
  </si>
  <si>
    <t>Other Foreign countries</t>
  </si>
  <si>
    <t>Includes bullion: 195421 UK, 192000 Gold Coast, 196800 Nigeria</t>
  </si>
  <si>
    <t>Country of origin</t>
  </si>
  <si>
    <t>Includes bullion: 169728 UK</t>
  </si>
  <si>
    <t>Countries of final destination</t>
  </si>
  <si>
    <t>Portuguese Guinea</t>
  </si>
  <si>
    <t>Includes bullion: 147600 UK, 100 Nigeria</t>
  </si>
  <si>
    <t>Parcel post</t>
  </si>
  <si>
    <t>Includes bullion: 171215 UK, 4395 Union of South Africa</t>
  </si>
  <si>
    <t>Tanganyika</t>
  </si>
  <si>
    <t>French Cameroons</t>
  </si>
  <si>
    <t>Includes bullion: 9859 UK</t>
  </si>
  <si>
    <t>Includes bullion: 50000 UK, 160000 Liberia</t>
  </si>
  <si>
    <t>British Guiana</t>
  </si>
  <si>
    <t>Kenya</t>
  </si>
  <si>
    <t>Algeria</t>
  </si>
  <si>
    <t>Mexico</t>
  </si>
  <si>
    <t>Uruguay</t>
  </si>
  <si>
    <t>Includes bullion: 100000 UK, 9828 Liberia</t>
  </si>
  <si>
    <t>Northern Rhodesia</t>
  </si>
  <si>
    <t>Includes bullion: 2631 UK</t>
  </si>
  <si>
    <t>Malta</t>
  </si>
  <si>
    <t>Morocco</t>
  </si>
  <si>
    <t>Countries of origin</t>
  </si>
  <si>
    <t>Includes bullion: 191908 UK, 90951 French Possessions, 2137 Spanish Possessions, 4841 Liberia</t>
  </si>
  <si>
    <t>French Possessions</t>
  </si>
  <si>
    <t>Spanish Possessions</t>
  </si>
  <si>
    <t>Portuguese Possessions</t>
  </si>
  <si>
    <t>Includes bullion: 59420 UK</t>
  </si>
  <si>
    <t>Includes bullion: 342326 UK, 20000  Gold Coast</t>
  </si>
  <si>
    <t>Czechoslovakia</t>
  </si>
  <si>
    <t>Finland</t>
  </si>
  <si>
    <t>Hungary</t>
  </si>
  <si>
    <t>Lebanon</t>
  </si>
  <si>
    <t>Poland</t>
  </si>
  <si>
    <t>Includes bullion: 39016 UK</t>
  </si>
  <si>
    <t>Includes bullion: 20969 UK</t>
  </si>
  <si>
    <t>Ships' stores</t>
  </si>
  <si>
    <t>Other foreign countries</t>
  </si>
  <si>
    <t>Includes bullion: 29971 UK</t>
  </si>
  <si>
    <t>Includes bullion: 602500 Gold Coast</t>
  </si>
  <si>
    <t>Libya</t>
  </si>
  <si>
    <t>Includes bullion: 170 UK</t>
  </si>
  <si>
    <t>Includes bullion: 52 UK</t>
  </si>
  <si>
    <t>Luxemburg</t>
  </si>
  <si>
    <t>Includes bullion: 5097 UK</t>
  </si>
  <si>
    <t>Includes bullion: 70000 Gambia, 102 Gold Coast</t>
  </si>
  <si>
    <t>Includes bullion: 39261 UK, 500 Gambia, 100580 Nigeria, 125 French Guinea</t>
  </si>
  <si>
    <t>Basutoland</t>
  </si>
  <si>
    <t>Fiji</t>
  </si>
  <si>
    <t>Malaya</t>
  </si>
  <si>
    <t>Swaziland</t>
  </si>
  <si>
    <t>Includes bullion: 1522 UK</t>
  </si>
  <si>
    <t>Includes bullion: 50048 UK</t>
  </si>
  <si>
    <t>Includes bullion: 2550 UK, 4000 Gold Coast</t>
  </si>
  <si>
    <t>British Somaliland</t>
  </si>
  <si>
    <t>Togoland</t>
  </si>
  <si>
    <t>Includes bullion: 234398 UK</t>
  </si>
  <si>
    <t>Includes bullion: 188371 UK, 50000 Gambia, 690 French Guinea, 162 Other Foreign countries</t>
  </si>
  <si>
    <t>Includes bullion: 273929 UK, 558 Gambia, 2800 Gold Coast, 3363 French possessions, 158 Other Foreign countries</t>
  </si>
  <si>
    <t>USSR</t>
  </si>
  <si>
    <t>Netherlands Possessions</t>
  </si>
  <si>
    <t>Includes bullion: 247199 UK</t>
  </si>
  <si>
    <t xml:space="preserve">Czechoslovakia </t>
  </si>
  <si>
    <t>Includes bullion: 7872 UK</t>
  </si>
  <si>
    <t>Includes bullion: 852 UK, 200 Nigeria, 61271 French possessions, 364 Spanish possessions, 32009 Liberia</t>
  </si>
  <si>
    <t>French West Africa possessions</t>
  </si>
  <si>
    <t>Includes bullion: 37220 UK, 2483 Gold Coast, 900 Nigeria, 100 French West Africa</t>
  </si>
  <si>
    <t>French West African Possessions</t>
  </si>
  <si>
    <t>Includes bullion: 108600 UK, 900 Nigeria, 400 Germany, 105281 French possessions, 307 Spanish possessions, 300 Portuguese possessions, 21359 Liberia</t>
  </si>
  <si>
    <t>Includes bullion: 28400 UK, 2096 Gold Coast, 1167 Nigeria, 800 Liberia</t>
  </si>
  <si>
    <t>Includes bullion: 55038 UK, 400 Germany, 142281 French possessions, 1980 Spanish possessions, 166 Portuguese possessions, 18254 Liberia</t>
  </si>
  <si>
    <t>Includes bullion: 32800 UK, 125000 Gold Coast</t>
  </si>
  <si>
    <t>Includes bullion: 139270 UK, 73221 French possessions, 244 Spanish possessions, 1552 Portuguese possessions, 17033 Liberia</t>
  </si>
  <si>
    <t>Includes bullion: 20000 UK, 20000 Gold Coast, 10200 Liberia</t>
  </si>
  <si>
    <t>Includes bullion: 165307 UK, 250 Nigeria, 98718 French possessions, 410 Portuguese possessions, 5325 Liberia</t>
  </si>
  <si>
    <t>Includes bullion: 14520 UK, 3100 Cameroons (British), 24800 Gambia, 10000 Nigeria, 4400 Liberia</t>
  </si>
  <si>
    <t>Includes bullion: 20850 UK, 99016 French possessions, 176 Portuguese possessions, 2130 Liberia</t>
  </si>
  <si>
    <t>Siberia</t>
  </si>
  <si>
    <t>Includes bullion: 32400 UK, 75 French Guinea</t>
  </si>
  <si>
    <t>Includes bullion: 51583 UK, 587 Gambia, 30000 Nigeria, 545 French West African possessions, 1584 Portuguese West African possessions, 2114 Spanish West African possessions, 1346 Liberia</t>
  </si>
  <si>
    <t>Newfoundland</t>
  </si>
  <si>
    <t>Esthonia</t>
  </si>
  <si>
    <t>Greece</t>
  </si>
  <si>
    <t>Jugoslavia</t>
  </si>
  <si>
    <t>Romania</t>
  </si>
  <si>
    <t>Venezuela</t>
  </si>
  <si>
    <t>Includes bullion: 225423 UK</t>
  </si>
  <si>
    <t>British East Africa</t>
  </si>
  <si>
    <t>British Togoland</t>
  </si>
  <si>
    <t>St Helena</t>
  </si>
  <si>
    <t>Includes bullion: 11400 UK, 645 Liberia, 930 French Possessions</t>
  </si>
  <si>
    <t>Includes bullion: 41549 UK, 1276 Gambia, 500 French West African possessions, 5000 Liberia</t>
  </si>
  <si>
    <t>Includes bullion: 256139 UK</t>
  </si>
  <si>
    <t>Aden</t>
  </si>
  <si>
    <t>Includes bullion: 6920 UK, 125600 Gold Coast, 500 Liberia</t>
  </si>
  <si>
    <t>Includes bullion: 23030 UK</t>
  </si>
  <si>
    <t>Includes bullion: 207940 UK</t>
  </si>
  <si>
    <t>Arabia</t>
  </si>
  <si>
    <t>Includes bullion: 269465 UK</t>
  </si>
  <si>
    <t>Danzig</t>
  </si>
  <si>
    <t>Includes bullion: 180 UK</t>
  </si>
  <si>
    <t>Includes bullion: 142481 UK, 1000 Gold Coast, 2300 French Guinea, 1871 Portuguese Guinea</t>
  </si>
  <si>
    <t>Includes bullion: 127172 UK, 500 Gambia, 5632 French Guinea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</si>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</sst>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41"/>
  <sheetViews>
    <sheetView tabSelected="1" workbookViewId="0">
      <pane xSplit="3" ySplit="3" topLeftCell="AD110" activePane="bottomRight" state="frozen"/>
      <selection pane="topRight" activeCell="D1" sqref="D1"/>
      <selection pane="bottomLeft" activeCell="A3" sqref="A3"/>
      <selection pane="bottomRight" activeCell="B135" sqref="B135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>
        <v>1931</v>
      </c>
      <c r="AK1" s="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1"/>
      <c r="AK2" s="1"/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T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N3" t="s">
        <v>52</v>
      </c>
      <c r="AO3" t="s">
        <v>52</v>
      </c>
      <c r="AP3" t="s">
        <v>52</v>
      </c>
      <c r="AQ3" t="s">
        <v>52</v>
      </c>
      <c r="AR3" t="s">
        <v>52</v>
      </c>
      <c r="AS3" t="s">
        <v>52</v>
      </c>
      <c r="AT3" t="s">
        <v>52</v>
      </c>
      <c r="AW3" t="s">
        <v>52</v>
      </c>
      <c r="AX3" t="s">
        <v>52</v>
      </c>
      <c r="AY3" t="s">
        <v>52</v>
      </c>
      <c r="AZ3" t="s">
        <v>52</v>
      </c>
      <c r="BA3" t="s">
        <v>52</v>
      </c>
      <c r="BB3" t="s">
        <v>52</v>
      </c>
    </row>
    <row r="4" spans="1:54">
      <c r="A4" t="s">
        <v>2</v>
      </c>
      <c r="B4" t="s">
        <v>3</v>
      </c>
      <c r="J4">
        <v>520144</v>
      </c>
      <c r="K4">
        <v>657661</v>
      </c>
      <c r="M4">
        <v>570908</v>
      </c>
      <c r="N4">
        <v>700233</v>
      </c>
      <c r="O4">
        <v>874943</v>
      </c>
      <c r="P4">
        <v>950815</v>
      </c>
      <c r="Q4">
        <v>912014</v>
      </c>
      <c r="R4">
        <v>1138683</v>
      </c>
      <c r="S4">
        <v>979796</v>
      </c>
      <c r="T4">
        <v>870901</v>
      </c>
      <c r="U4">
        <v>941899</v>
      </c>
      <c r="AA4">
        <v>1076408</v>
      </c>
      <c r="AB4">
        <f>1264891+191908</f>
        <v>1456799</v>
      </c>
      <c r="AC4">
        <v>1124955</v>
      </c>
      <c r="AD4">
        <f>1319577+108600</f>
        <v>1428177</v>
      </c>
      <c r="AE4">
        <v>1122617</v>
      </c>
      <c r="AF4">
        <v>1296475</v>
      </c>
      <c r="AG4">
        <v>1239807</v>
      </c>
      <c r="AH4">
        <v>977692</v>
      </c>
      <c r="AN4">
        <v>852124</v>
      </c>
      <c r="AO4">
        <v>942746</v>
      </c>
      <c r="AP4">
        <v>1283815</v>
      </c>
      <c r="AQ4">
        <v>1031705</v>
      </c>
      <c r="AR4">
        <v>1235395</v>
      </c>
      <c r="AS4">
        <v>1865826</v>
      </c>
      <c r="AT4">
        <f>2254760+195421</f>
        <v>2450181</v>
      </c>
      <c r="AW4">
        <v>3010536</v>
      </c>
      <c r="AX4">
        <v>2105683</v>
      </c>
      <c r="AY4">
        <v>2394964</v>
      </c>
      <c r="AZ4">
        <v>2134680</v>
      </c>
      <c r="BA4">
        <v>3230505</v>
      </c>
      <c r="BB4">
        <v>4045001</v>
      </c>
    </row>
    <row r="5" spans="1:54">
      <c r="B5" t="s">
        <v>4</v>
      </c>
      <c r="S5">
        <v>29</v>
      </c>
      <c r="T5">
        <v>6025</v>
      </c>
      <c r="U5">
        <v>6227</v>
      </c>
      <c r="AH5">
        <v>34</v>
      </c>
    </row>
    <row r="6" spans="1:54">
      <c r="B6" t="s">
        <v>77</v>
      </c>
      <c r="AA6">
        <v>1</v>
      </c>
      <c r="AC6">
        <v>2680</v>
      </c>
      <c r="AD6">
        <v>1364</v>
      </c>
      <c r="AE6">
        <v>5144</v>
      </c>
      <c r="AF6">
        <v>271</v>
      </c>
      <c r="AG6">
        <v>6539</v>
      </c>
      <c r="AH6">
        <v>4166</v>
      </c>
      <c r="AN6">
        <v>34664</v>
      </c>
      <c r="AO6">
        <v>48219</v>
      </c>
      <c r="AP6">
        <v>74130</v>
      </c>
      <c r="AQ6">
        <v>51521</v>
      </c>
      <c r="AR6">
        <v>48377</v>
      </c>
      <c r="AS6">
        <v>53235</v>
      </c>
      <c r="AT6">
        <v>79520</v>
      </c>
      <c r="AW6">
        <v>154381</v>
      </c>
      <c r="AX6">
        <v>114855</v>
      </c>
      <c r="AY6">
        <v>137667</v>
      </c>
      <c r="AZ6">
        <v>248480</v>
      </c>
      <c r="BA6">
        <v>130138</v>
      </c>
      <c r="BB6">
        <v>120459</v>
      </c>
    </row>
    <row r="7" spans="1:54">
      <c r="B7" t="s">
        <v>5</v>
      </c>
      <c r="J7">
        <v>12256</v>
      </c>
      <c r="K7">
        <v>14300</v>
      </c>
      <c r="M7">
        <v>14956</v>
      </c>
      <c r="N7">
        <v>13574</v>
      </c>
      <c r="O7">
        <v>15266</v>
      </c>
      <c r="P7">
        <v>24722</v>
      </c>
      <c r="Q7">
        <v>77274</v>
      </c>
      <c r="R7">
        <v>118029</v>
      </c>
      <c r="S7">
        <v>24779</v>
      </c>
      <c r="T7">
        <v>41645</v>
      </c>
      <c r="U7">
        <v>46485</v>
      </c>
      <c r="AA7">
        <v>4731</v>
      </c>
      <c r="AB7">
        <v>4551</v>
      </c>
      <c r="AC7">
        <v>6268</v>
      </c>
      <c r="AD7">
        <v>7049</v>
      </c>
      <c r="AE7">
        <v>25183</v>
      </c>
      <c r="AF7">
        <v>3743</v>
      </c>
      <c r="AG7">
        <v>7650</v>
      </c>
      <c r="AH7">
        <v>35148</v>
      </c>
      <c r="AN7">
        <v>1079</v>
      </c>
      <c r="AO7">
        <v>1808</v>
      </c>
      <c r="AP7">
        <v>2010</v>
      </c>
      <c r="AQ7">
        <v>5382</v>
      </c>
      <c r="AR7">
        <v>6177</v>
      </c>
      <c r="AS7">
        <v>53898</v>
      </c>
      <c r="AT7">
        <v>2822</v>
      </c>
      <c r="AW7">
        <v>2482</v>
      </c>
      <c r="AX7">
        <v>9165</v>
      </c>
      <c r="AY7">
        <v>6495</v>
      </c>
      <c r="AZ7">
        <v>10165</v>
      </c>
      <c r="BA7">
        <v>16989</v>
      </c>
      <c r="BB7">
        <v>1454</v>
      </c>
    </row>
    <row r="8" spans="1:54">
      <c r="B8" t="s">
        <v>6</v>
      </c>
      <c r="J8">
        <v>5885</v>
      </c>
      <c r="K8">
        <v>332</v>
      </c>
      <c r="M8">
        <v>200</v>
      </c>
      <c r="N8">
        <v>12356</v>
      </c>
      <c r="O8">
        <v>3253</v>
      </c>
      <c r="P8">
        <v>1112</v>
      </c>
      <c r="Q8">
        <v>6776</v>
      </c>
      <c r="R8">
        <v>657</v>
      </c>
      <c r="S8">
        <v>32213</v>
      </c>
      <c r="T8">
        <v>1047</v>
      </c>
      <c r="U8">
        <v>26522</v>
      </c>
      <c r="AA8">
        <v>8028</v>
      </c>
      <c r="AB8">
        <v>1690</v>
      </c>
      <c r="AC8">
        <v>5391</v>
      </c>
      <c r="AD8">
        <v>2456</v>
      </c>
      <c r="AE8">
        <v>2988</v>
      </c>
      <c r="AF8">
        <v>4656</v>
      </c>
      <c r="AG8">
        <v>8118</v>
      </c>
      <c r="AH8">
        <v>3734</v>
      </c>
      <c r="AN8">
        <v>2416</v>
      </c>
      <c r="AO8">
        <v>805</v>
      </c>
      <c r="AP8">
        <v>4211</v>
      </c>
      <c r="AQ8">
        <v>918</v>
      </c>
      <c r="AR8">
        <v>3322</v>
      </c>
      <c r="AS8">
        <v>2338</v>
      </c>
      <c r="AT8">
        <f>3227+192000</f>
        <v>195227</v>
      </c>
      <c r="AW8">
        <v>1944</v>
      </c>
      <c r="AX8">
        <v>3400</v>
      </c>
      <c r="AY8">
        <v>2883</v>
      </c>
      <c r="AZ8">
        <v>9071</v>
      </c>
      <c r="BA8">
        <v>3690</v>
      </c>
      <c r="BB8">
        <v>24461</v>
      </c>
    </row>
    <row r="9" spans="1:54">
      <c r="B9" t="s">
        <v>7</v>
      </c>
      <c r="R9">
        <v>37</v>
      </c>
      <c r="S9">
        <v>15</v>
      </c>
      <c r="T9">
        <v>72</v>
      </c>
      <c r="U9">
        <v>43</v>
      </c>
      <c r="AA9">
        <v>190</v>
      </c>
    </row>
    <row r="10" spans="1:54">
      <c r="B10" t="s">
        <v>71</v>
      </c>
      <c r="J10">
        <v>428</v>
      </c>
      <c r="K10">
        <v>241</v>
      </c>
      <c r="N10">
        <v>89</v>
      </c>
      <c r="P10">
        <v>32</v>
      </c>
      <c r="Q10">
        <v>5</v>
      </c>
      <c r="R10">
        <v>9</v>
      </c>
    </row>
    <row r="11" spans="1:54">
      <c r="B11" t="s">
        <v>70</v>
      </c>
      <c r="J11">
        <v>8848</v>
      </c>
      <c r="K11">
        <v>8894</v>
      </c>
      <c r="M11">
        <v>7121</v>
      </c>
      <c r="N11">
        <v>26561</v>
      </c>
      <c r="O11">
        <v>12135</v>
      </c>
      <c r="P11">
        <v>10177</v>
      </c>
      <c r="Q11">
        <v>46192</v>
      </c>
      <c r="R11">
        <v>44463</v>
      </c>
    </row>
    <row r="12" spans="1:54">
      <c r="B12" t="s">
        <v>8</v>
      </c>
      <c r="S12">
        <v>25535</v>
      </c>
      <c r="T12">
        <v>24378</v>
      </c>
      <c r="U12">
        <v>9307</v>
      </c>
      <c r="AA12">
        <v>10769</v>
      </c>
      <c r="AB12">
        <v>10361</v>
      </c>
      <c r="AC12">
        <v>21440</v>
      </c>
      <c r="AD12">
        <f>25215+900</f>
        <v>26115</v>
      </c>
      <c r="AE12">
        <v>24735</v>
      </c>
      <c r="AF12">
        <v>34675</v>
      </c>
      <c r="AG12">
        <v>24304</v>
      </c>
      <c r="AH12">
        <v>14471</v>
      </c>
      <c r="AN12">
        <v>31342</v>
      </c>
      <c r="AO12">
        <v>2269</v>
      </c>
      <c r="AP12">
        <v>3916</v>
      </c>
      <c r="AQ12">
        <v>4810</v>
      </c>
      <c r="AR12">
        <v>6194</v>
      </c>
      <c r="AS12">
        <v>23379</v>
      </c>
      <c r="AT12">
        <f>25417+196800</f>
        <v>222217</v>
      </c>
      <c r="AW12">
        <v>98149</v>
      </c>
      <c r="AX12">
        <v>185142</v>
      </c>
      <c r="AY12">
        <v>139916</v>
      </c>
      <c r="AZ12">
        <v>124372</v>
      </c>
      <c r="BA12">
        <v>101845</v>
      </c>
      <c r="BB12">
        <v>51580</v>
      </c>
    </row>
    <row r="13" spans="1:54">
      <c r="B13" t="s">
        <v>78</v>
      </c>
      <c r="AA13">
        <v>174</v>
      </c>
      <c r="AB13">
        <v>49</v>
      </c>
      <c r="AC13">
        <v>19</v>
      </c>
      <c r="AD13">
        <v>3</v>
      </c>
      <c r="AE13">
        <v>23</v>
      </c>
    </row>
    <row r="14" spans="1:54">
      <c r="B14" t="s">
        <v>79</v>
      </c>
      <c r="AA14">
        <v>60</v>
      </c>
      <c r="AN14">
        <v>4582</v>
      </c>
      <c r="AO14">
        <v>23933</v>
      </c>
    </row>
    <row r="15" spans="1:54">
      <c r="B15" t="s">
        <v>80</v>
      </c>
      <c r="AA15">
        <v>1</v>
      </c>
      <c r="AF15">
        <v>17</v>
      </c>
      <c r="AG15">
        <v>38</v>
      </c>
      <c r="AH15">
        <v>501</v>
      </c>
    </row>
    <row r="16" spans="1:54">
      <c r="B16" t="s">
        <v>81</v>
      </c>
      <c r="AA16">
        <v>11</v>
      </c>
      <c r="AB16">
        <v>9</v>
      </c>
    </row>
    <row r="17" spans="2:54">
      <c r="B17" t="s">
        <v>9</v>
      </c>
      <c r="K17">
        <v>66</v>
      </c>
      <c r="M17">
        <v>183</v>
      </c>
      <c r="N17">
        <v>43</v>
      </c>
      <c r="O17">
        <v>18</v>
      </c>
      <c r="P17">
        <v>6</v>
      </c>
      <c r="Q17">
        <v>8</v>
      </c>
      <c r="S17">
        <v>32</v>
      </c>
      <c r="T17">
        <v>75</v>
      </c>
    </row>
    <row r="18" spans="2:54">
      <c r="B18" t="s">
        <v>69</v>
      </c>
      <c r="K18">
        <v>6</v>
      </c>
      <c r="P18">
        <v>1</v>
      </c>
      <c r="R18">
        <v>1</v>
      </c>
    </row>
    <row r="19" spans="2:54">
      <c r="B19" t="s">
        <v>10</v>
      </c>
    </row>
    <row r="20" spans="2:54">
      <c r="B20" t="s">
        <v>76</v>
      </c>
      <c r="K20">
        <v>328</v>
      </c>
    </row>
    <row r="21" spans="2:54">
      <c r="B21" t="s">
        <v>11</v>
      </c>
      <c r="T21">
        <v>3758</v>
      </c>
    </row>
    <row r="22" spans="2:54">
      <c r="B22" t="s">
        <v>12</v>
      </c>
      <c r="N22">
        <v>5</v>
      </c>
      <c r="O22">
        <v>15</v>
      </c>
      <c r="P22">
        <v>30</v>
      </c>
      <c r="Q22">
        <v>3</v>
      </c>
      <c r="U22">
        <v>1</v>
      </c>
      <c r="AB22">
        <v>3</v>
      </c>
      <c r="AC22">
        <v>5</v>
      </c>
      <c r="AE22">
        <v>57</v>
      </c>
    </row>
    <row r="23" spans="2:54">
      <c r="B23" t="s">
        <v>94</v>
      </c>
      <c r="AN23">
        <v>863</v>
      </c>
      <c r="AO23">
        <v>1087</v>
      </c>
      <c r="AP23">
        <v>1236</v>
      </c>
      <c r="AQ23">
        <v>923</v>
      </c>
      <c r="AR23">
        <v>1071</v>
      </c>
      <c r="AS23">
        <v>1237</v>
      </c>
      <c r="AT23">
        <v>2247</v>
      </c>
      <c r="AW23">
        <v>612</v>
      </c>
      <c r="AY23">
        <v>14484</v>
      </c>
      <c r="AZ23">
        <v>40048</v>
      </c>
      <c r="BA23">
        <v>34627</v>
      </c>
      <c r="BB23">
        <v>44312</v>
      </c>
    </row>
    <row r="24" spans="2:54">
      <c r="B24" t="s">
        <v>129</v>
      </c>
      <c r="AQ24">
        <v>120</v>
      </c>
      <c r="AW24">
        <v>534</v>
      </c>
    </row>
    <row r="25" spans="2:54">
      <c r="B25" t="s">
        <v>13</v>
      </c>
      <c r="Q25">
        <v>19</v>
      </c>
      <c r="S25">
        <v>450</v>
      </c>
      <c r="T25">
        <v>204</v>
      </c>
      <c r="U25">
        <v>540</v>
      </c>
      <c r="AA25">
        <v>186</v>
      </c>
      <c r="AB25">
        <v>2</v>
      </c>
      <c r="AE25">
        <v>1282</v>
      </c>
      <c r="AF25">
        <v>236</v>
      </c>
      <c r="AG25">
        <v>3170</v>
      </c>
      <c r="AH25">
        <v>6505</v>
      </c>
      <c r="AN25">
        <v>77387</v>
      </c>
      <c r="AO25">
        <v>69053</v>
      </c>
      <c r="AP25">
        <v>111482</v>
      </c>
      <c r="AQ25">
        <v>62102</v>
      </c>
      <c r="AR25">
        <v>55234</v>
      </c>
      <c r="AS25">
        <v>154776</v>
      </c>
      <c r="AT25">
        <v>186733</v>
      </c>
      <c r="AW25">
        <v>636916</v>
      </c>
      <c r="AX25">
        <v>225408</v>
      </c>
      <c r="AY25">
        <v>369450</v>
      </c>
      <c r="AZ25">
        <v>337348</v>
      </c>
      <c r="BA25">
        <v>292985</v>
      </c>
      <c r="BB25">
        <v>542057</v>
      </c>
    </row>
    <row r="26" spans="2:54">
      <c r="B26" t="s">
        <v>95</v>
      </c>
      <c r="AQ26">
        <v>1999</v>
      </c>
      <c r="AR26">
        <v>879</v>
      </c>
      <c r="AS26">
        <v>812</v>
      </c>
      <c r="AT26">
        <v>32050</v>
      </c>
    </row>
    <row r="27" spans="2:54">
      <c r="B27" t="s">
        <v>96</v>
      </c>
      <c r="AE27">
        <v>18</v>
      </c>
      <c r="AN27">
        <v>796</v>
      </c>
      <c r="AO27">
        <v>670</v>
      </c>
      <c r="AP27">
        <v>736</v>
      </c>
      <c r="AQ27">
        <v>817</v>
      </c>
      <c r="AR27">
        <v>1010</v>
      </c>
      <c r="AS27">
        <v>1598</v>
      </c>
      <c r="AT27">
        <v>2125</v>
      </c>
      <c r="AX27">
        <v>485</v>
      </c>
      <c r="BA27">
        <v>1765</v>
      </c>
      <c r="BB27">
        <v>2161</v>
      </c>
    </row>
    <row r="28" spans="2:54">
      <c r="B28" t="s">
        <v>97</v>
      </c>
      <c r="AP28">
        <v>2450</v>
      </c>
      <c r="AQ28">
        <v>1886</v>
      </c>
      <c r="AR28">
        <v>3127</v>
      </c>
      <c r="AS28">
        <v>2139</v>
      </c>
      <c r="AT28">
        <v>1428</v>
      </c>
      <c r="AY28">
        <v>8685</v>
      </c>
      <c r="AZ28">
        <v>3081</v>
      </c>
      <c r="BA28">
        <v>1949</v>
      </c>
      <c r="BB28">
        <v>7054</v>
      </c>
    </row>
    <row r="29" spans="2:54">
      <c r="B29" t="s">
        <v>98</v>
      </c>
      <c r="AN29">
        <v>5267</v>
      </c>
      <c r="AO29">
        <v>8021</v>
      </c>
      <c r="AP29">
        <v>10791</v>
      </c>
      <c r="AQ29">
        <v>9678</v>
      </c>
      <c r="AR29">
        <v>10157</v>
      </c>
      <c r="AS29">
        <v>9671</v>
      </c>
      <c r="AT29">
        <v>18806</v>
      </c>
      <c r="AW29">
        <v>11823</v>
      </c>
      <c r="AY29">
        <v>5841</v>
      </c>
      <c r="AZ29">
        <v>16089</v>
      </c>
      <c r="BA29">
        <v>20598</v>
      </c>
      <c r="BB29">
        <v>39633</v>
      </c>
    </row>
    <row r="30" spans="2:54">
      <c r="B30" t="s">
        <v>99</v>
      </c>
      <c r="AN30">
        <v>4178</v>
      </c>
      <c r="AO30">
        <v>21759</v>
      </c>
      <c r="AP30">
        <v>23334</v>
      </c>
      <c r="AQ30">
        <v>16472</v>
      </c>
      <c r="AR30">
        <v>17381</v>
      </c>
      <c r="AS30">
        <v>46319</v>
      </c>
      <c r="AT30">
        <v>148739</v>
      </c>
      <c r="AY30">
        <v>595</v>
      </c>
      <c r="AZ30">
        <v>19089</v>
      </c>
      <c r="BA30">
        <v>71332</v>
      </c>
      <c r="BB30">
        <v>50761</v>
      </c>
    </row>
    <row r="31" spans="2:54">
      <c r="B31" t="s">
        <v>15</v>
      </c>
      <c r="J31">
        <v>1</v>
      </c>
      <c r="K31">
        <v>87</v>
      </c>
      <c r="N31">
        <v>13</v>
      </c>
      <c r="Q31">
        <v>93</v>
      </c>
      <c r="R31">
        <v>59</v>
      </c>
      <c r="S31">
        <v>14</v>
      </c>
      <c r="T31">
        <v>249</v>
      </c>
      <c r="AB31">
        <v>39</v>
      </c>
      <c r="AP31">
        <v>794</v>
      </c>
      <c r="AQ31">
        <v>654</v>
      </c>
      <c r="AR31">
        <v>597</v>
      </c>
      <c r="AS31">
        <v>522</v>
      </c>
      <c r="AT31">
        <v>2032</v>
      </c>
      <c r="AW31">
        <v>4415</v>
      </c>
      <c r="AX31">
        <v>5647</v>
      </c>
      <c r="AY31">
        <v>4967</v>
      </c>
      <c r="AZ31">
        <v>5299</v>
      </c>
      <c r="BA31">
        <v>6071</v>
      </c>
      <c r="BB31">
        <v>6430</v>
      </c>
    </row>
    <row r="32" spans="2:54">
      <c r="B32" t="s">
        <v>130</v>
      </c>
      <c r="AQ32">
        <v>118</v>
      </c>
      <c r="AW32">
        <v>3836</v>
      </c>
      <c r="AX32">
        <v>1176</v>
      </c>
      <c r="AY32">
        <v>4617</v>
      </c>
      <c r="AZ32">
        <v>4388</v>
      </c>
      <c r="BA32">
        <v>1006</v>
      </c>
      <c r="BB32">
        <v>1064</v>
      </c>
    </row>
    <row r="33" spans="2:54">
      <c r="B33" t="s">
        <v>14</v>
      </c>
      <c r="U33">
        <v>9</v>
      </c>
    </row>
    <row r="34" spans="2:54">
      <c r="B34" t="s">
        <v>16</v>
      </c>
      <c r="U34">
        <v>142</v>
      </c>
      <c r="AN34">
        <v>2511</v>
      </c>
      <c r="AO34">
        <v>2346</v>
      </c>
      <c r="AP34">
        <v>3002</v>
      </c>
      <c r="AQ34">
        <v>3161</v>
      </c>
      <c r="AR34">
        <v>5127</v>
      </c>
      <c r="AS34">
        <v>5833</v>
      </c>
      <c r="AT34">
        <v>651</v>
      </c>
      <c r="AW34">
        <v>2893</v>
      </c>
      <c r="AX34">
        <v>1004</v>
      </c>
      <c r="BA34">
        <v>1243</v>
      </c>
    </row>
    <row r="35" spans="2:54">
      <c r="B35" t="s">
        <v>197</v>
      </c>
      <c r="AN35">
        <v>419</v>
      </c>
      <c r="AO35">
        <v>2</v>
      </c>
    </row>
    <row r="36" spans="2:54">
      <c r="B36" t="s">
        <v>135</v>
      </c>
      <c r="AX36">
        <v>865</v>
      </c>
    </row>
    <row r="37" spans="2:54">
      <c r="B37" t="s">
        <v>100</v>
      </c>
      <c r="AN37">
        <v>1716</v>
      </c>
      <c r="AO37">
        <v>4466</v>
      </c>
      <c r="AP37">
        <v>10389</v>
      </c>
      <c r="AQ37">
        <v>12581</v>
      </c>
      <c r="AR37">
        <v>27109</v>
      </c>
      <c r="AS37">
        <v>52402</v>
      </c>
      <c r="AT37">
        <v>53146</v>
      </c>
      <c r="AW37">
        <v>153972</v>
      </c>
      <c r="AX37">
        <v>65952</v>
      </c>
      <c r="AY37">
        <v>112944</v>
      </c>
      <c r="AZ37">
        <v>170822</v>
      </c>
      <c r="BA37">
        <v>135116</v>
      </c>
      <c r="BB37">
        <v>203432</v>
      </c>
    </row>
    <row r="38" spans="2:54">
      <c r="B38" t="s">
        <v>101</v>
      </c>
      <c r="AS38">
        <v>469</v>
      </c>
      <c r="AT38">
        <v>7325</v>
      </c>
      <c r="AW38">
        <v>7962</v>
      </c>
      <c r="AX38">
        <v>2733</v>
      </c>
      <c r="AY38">
        <v>1501</v>
      </c>
      <c r="BA38">
        <v>3241</v>
      </c>
      <c r="BB38">
        <v>7492</v>
      </c>
    </row>
    <row r="39" spans="2:54">
      <c r="B39" t="s">
        <v>102</v>
      </c>
      <c r="AF39">
        <v>36879</v>
      </c>
      <c r="AP39">
        <v>16174</v>
      </c>
      <c r="AQ39">
        <v>77188</v>
      </c>
      <c r="AT39">
        <v>9815</v>
      </c>
      <c r="AW39">
        <v>10184</v>
      </c>
      <c r="AX39">
        <v>5536</v>
      </c>
      <c r="AY39">
        <v>7479</v>
      </c>
      <c r="AZ39">
        <v>8644</v>
      </c>
      <c r="BA39">
        <v>6190</v>
      </c>
      <c r="BB39">
        <v>17688</v>
      </c>
    </row>
    <row r="40" spans="2:54">
      <c r="B40" t="s">
        <v>103</v>
      </c>
      <c r="AD40">
        <v>8</v>
      </c>
      <c r="AE40">
        <v>18</v>
      </c>
      <c r="AN40">
        <v>690</v>
      </c>
      <c r="AO40">
        <v>6346</v>
      </c>
      <c r="AP40">
        <v>13130</v>
      </c>
      <c r="AQ40">
        <v>6296</v>
      </c>
      <c r="AR40">
        <v>4929</v>
      </c>
      <c r="AS40">
        <v>23762</v>
      </c>
      <c r="AT40">
        <v>133017</v>
      </c>
      <c r="AW40">
        <v>250632</v>
      </c>
      <c r="AX40">
        <v>216985</v>
      </c>
      <c r="AY40">
        <v>219860</v>
      </c>
      <c r="AZ40">
        <v>259459</v>
      </c>
      <c r="BA40">
        <v>56882</v>
      </c>
      <c r="BB40">
        <v>63361</v>
      </c>
    </row>
    <row r="41" spans="2:54">
      <c r="B41" t="s">
        <v>73</v>
      </c>
      <c r="M41">
        <v>1</v>
      </c>
      <c r="N41">
        <v>19</v>
      </c>
    </row>
    <row r="42" spans="2:54">
      <c r="B42" t="s">
        <v>104</v>
      </c>
      <c r="AN42">
        <v>532</v>
      </c>
      <c r="AO42">
        <v>1425</v>
      </c>
      <c r="AP42">
        <v>983</v>
      </c>
      <c r="AQ42">
        <v>189</v>
      </c>
      <c r="AR42">
        <v>633</v>
      </c>
      <c r="AS42">
        <v>711</v>
      </c>
      <c r="AT42">
        <v>578</v>
      </c>
      <c r="AW42">
        <v>312</v>
      </c>
      <c r="AX42">
        <v>212</v>
      </c>
      <c r="AY42">
        <v>395</v>
      </c>
      <c r="AZ42">
        <v>2030</v>
      </c>
      <c r="BA42">
        <v>680</v>
      </c>
      <c r="BB42">
        <v>1052</v>
      </c>
    </row>
    <row r="43" spans="2:54">
      <c r="B43" t="s">
        <v>131</v>
      </c>
      <c r="AN43">
        <v>100</v>
      </c>
      <c r="AO43">
        <v>27</v>
      </c>
      <c r="AW43">
        <v>1538</v>
      </c>
      <c r="AX43">
        <v>909</v>
      </c>
    </row>
    <row r="44" spans="2:54">
      <c r="B44" t="s">
        <v>106</v>
      </c>
      <c r="AN44">
        <v>624</v>
      </c>
      <c r="AO44">
        <v>943</v>
      </c>
      <c r="AP44">
        <v>1720</v>
      </c>
      <c r="AQ44">
        <v>702</v>
      </c>
      <c r="AR44">
        <v>1254</v>
      </c>
      <c r="AS44">
        <v>1022</v>
      </c>
      <c r="AT44">
        <v>2230</v>
      </c>
      <c r="AW44">
        <v>87204</v>
      </c>
      <c r="AX44">
        <v>50412</v>
      </c>
      <c r="AY44">
        <v>7507</v>
      </c>
      <c r="AZ44">
        <v>14308</v>
      </c>
      <c r="BA44">
        <v>4954</v>
      </c>
    </row>
    <row r="45" spans="2:54">
      <c r="B45" t="s">
        <v>105</v>
      </c>
      <c r="O45">
        <v>135</v>
      </c>
      <c r="Q45">
        <v>198</v>
      </c>
      <c r="R45">
        <v>920</v>
      </c>
      <c r="S45">
        <v>164</v>
      </c>
      <c r="T45">
        <v>1</v>
      </c>
    </row>
    <row r="46" spans="2:54">
      <c r="B46" t="s">
        <v>38</v>
      </c>
      <c r="AA46">
        <v>11</v>
      </c>
      <c r="AD46">
        <v>306</v>
      </c>
      <c r="AE46">
        <v>76</v>
      </c>
      <c r="AG46">
        <v>13</v>
      </c>
      <c r="AH46">
        <v>29</v>
      </c>
      <c r="AN46">
        <v>382</v>
      </c>
      <c r="AO46">
        <v>452</v>
      </c>
      <c r="AQ46">
        <v>180</v>
      </c>
      <c r="BA46">
        <v>2607</v>
      </c>
      <c r="BB46">
        <v>2003</v>
      </c>
    </row>
    <row r="47" spans="2:54">
      <c r="B47" t="s">
        <v>107</v>
      </c>
      <c r="AT47">
        <v>14117</v>
      </c>
      <c r="AW47">
        <v>43900</v>
      </c>
      <c r="AX47">
        <v>45029</v>
      </c>
      <c r="AY47">
        <v>29745</v>
      </c>
      <c r="AZ47">
        <v>26618</v>
      </c>
      <c r="BA47">
        <v>2344</v>
      </c>
    </row>
    <row r="48" spans="2:54">
      <c r="B48" t="s">
        <v>39</v>
      </c>
      <c r="J48">
        <v>143</v>
      </c>
      <c r="K48">
        <v>10094</v>
      </c>
      <c r="M48">
        <v>770</v>
      </c>
      <c r="N48">
        <v>1924</v>
      </c>
      <c r="O48">
        <v>2078</v>
      </c>
      <c r="P48">
        <v>1421</v>
      </c>
      <c r="Q48">
        <v>919</v>
      </c>
      <c r="R48">
        <v>3715</v>
      </c>
      <c r="S48">
        <v>3176</v>
      </c>
      <c r="T48">
        <v>68</v>
      </c>
      <c r="AA48">
        <v>6183</v>
      </c>
      <c r="AB48">
        <v>9224</v>
      </c>
      <c r="AC48">
        <v>13732</v>
      </c>
      <c r="AD48">
        <v>22405</v>
      </c>
      <c r="AE48">
        <v>15375</v>
      </c>
      <c r="AF48">
        <v>36247</v>
      </c>
      <c r="AG48">
        <v>41200</v>
      </c>
      <c r="AH48">
        <v>37598</v>
      </c>
      <c r="AN48">
        <v>6392</v>
      </c>
      <c r="AO48">
        <v>12065</v>
      </c>
      <c r="AP48">
        <v>24286</v>
      </c>
      <c r="AQ48">
        <v>6391</v>
      </c>
      <c r="AR48">
        <v>3269</v>
      </c>
      <c r="AS48">
        <v>2973</v>
      </c>
      <c r="AY48">
        <v>7606</v>
      </c>
      <c r="AZ48">
        <v>57966</v>
      </c>
      <c r="BA48">
        <v>45825</v>
      </c>
      <c r="BB48">
        <v>26419</v>
      </c>
    </row>
    <row r="49" spans="2:54">
      <c r="B49" t="s">
        <v>22</v>
      </c>
      <c r="J49">
        <v>370</v>
      </c>
      <c r="K49">
        <v>620</v>
      </c>
      <c r="M49">
        <v>690</v>
      </c>
      <c r="N49">
        <v>223</v>
      </c>
      <c r="O49">
        <v>615</v>
      </c>
      <c r="P49">
        <v>308</v>
      </c>
      <c r="Q49">
        <v>112</v>
      </c>
      <c r="R49">
        <v>153</v>
      </c>
      <c r="S49">
        <v>481</v>
      </c>
      <c r="T49">
        <v>1843</v>
      </c>
      <c r="U49">
        <v>136</v>
      </c>
    </row>
    <row r="50" spans="2:54">
      <c r="B50" t="s">
        <v>23</v>
      </c>
      <c r="J50">
        <v>115</v>
      </c>
      <c r="K50">
        <v>1</v>
      </c>
      <c r="M50">
        <v>63</v>
      </c>
      <c r="N50">
        <v>108</v>
      </c>
      <c r="O50">
        <v>4</v>
      </c>
      <c r="U50">
        <v>2</v>
      </c>
    </row>
    <row r="51" spans="2:54">
      <c r="B51" t="s">
        <v>108</v>
      </c>
      <c r="AB51">
        <v>1</v>
      </c>
      <c r="AD51">
        <v>4</v>
      </c>
      <c r="AG51">
        <v>25</v>
      </c>
      <c r="AT51">
        <v>341</v>
      </c>
      <c r="AW51">
        <v>36508</v>
      </c>
      <c r="AX51">
        <v>9504</v>
      </c>
      <c r="AY51">
        <v>9063</v>
      </c>
      <c r="AZ51">
        <v>2820</v>
      </c>
    </row>
    <row r="52" spans="2:54">
      <c r="B52" t="s">
        <v>61</v>
      </c>
      <c r="C52" t="s">
        <v>62</v>
      </c>
      <c r="P52">
        <v>32</v>
      </c>
      <c r="Q52">
        <v>191</v>
      </c>
      <c r="R52">
        <v>24</v>
      </c>
    </row>
    <row r="53" spans="2:54">
      <c r="B53" t="s">
        <v>82</v>
      </c>
      <c r="AA53">
        <v>13365</v>
      </c>
      <c r="AN53">
        <v>1122</v>
      </c>
      <c r="AO53">
        <v>700</v>
      </c>
      <c r="AX53">
        <v>6278</v>
      </c>
      <c r="AY53">
        <v>4544</v>
      </c>
      <c r="AZ53">
        <v>3474</v>
      </c>
      <c r="BA53">
        <v>2021</v>
      </c>
      <c r="BB53">
        <v>3774</v>
      </c>
    </row>
    <row r="54" spans="2:54">
      <c r="B54" t="s">
        <v>24</v>
      </c>
      <c r="Q54">
        <v>40</v>
      </c>
      <c r="S54">
        <v>3</v>
      </c>
      <c r="T54">
        <v>14</v>
      </c>
    </row>
    <row r="55" spans="2:54">
      <c r="B55" t="s">
        <v>25</v>
      </c>
      <c r="U55">
        <v>25</v>
      </c>
      <c r="AX55">
        <v>2997</v>
      </c>
    </row>
    <row r="56" spans="2:54">
      <c r="B56" t="s">
        <v>46</v>
      </c>
      <c r="U56">
        <v>19</v>
      </c>
    </row>
    <row r="57" spans="2:54">
      <c r="B57" t="s">
        <v>109</v>
      </c>
      <c r="AN57">
        <v>131</v>
      </c>
      <c r="AO57">
        <v>151</v>
      </c>
      <c r="AP57">
        <v>540</v>
      </c>
      <c r="AQ57">
        <v>914</v>
      </c>
      <c r="AR57">
        <v>763</v>
      </c>
      <c r="AS57">
        <v>13406</v>
      </c>
      <c r="AT57">
        <v>1421</v>
      </c>
      <c r="BB57">
        <v>1207</v>
      </c>
    </row>
    <row r="58" spans="2:54">
      <c r="B58" t="s">
        <v>26</v>
      </c>
      <c r="N58">
        <v>5941</v>
      </c>
      <c r="O58">
        <v>5552</v>
      </c>
      <c r="P58">
        <v>3928</v>
      </c>
      <c r="Q58">
        <v>6933</v>
      </c>
      <c r="R58">
        <v>10608</v>
      </c>
      <c r="S58">
        <v>22432</v>
      </c>
      <c r="T58">
        <v>21635</v>
      </c>
      <c r="U58">
        <v>21374</v>
      </c>
    </row>
    <row r="59" spans="2:54">
      <c r="B59" t="s">
        <v>27</v>
      </c>
      <c r="N59">
        <v>5211</v>
      </c>
      <c r="O59">
        <v>186</v>
      </c>
      <c r="P59">
        <v>401</v>
      </c>
      <c r="Q59">
        <v>54</v>
      </c>
      <c r="R59">
        <v>108</v>
      </c>
      <c r="S59">
        <v>120</v>
      </c>
      <c r="T59">
        <v>95</v>
      </c>
      <c r="U59">
        <v>101</v>
      </c>
      <c r="AA59">
        <v>63</v>
      </c>
      <c r="AB59">
        <v>105</v>
      </c>
      <c r="AD59">
        <v>56</v>
      </c>
      <c r="AE59">
        <v>303</v>
      </c>
      <c r="AF59">
        <v>2040</v>
      </c>
      <c r="AG59">
        <v>424</v>
      </c>
      <c r="AH59">
        <v>178</v>
      </c>
    </row>
    <row r="60" spans="2:54">
      <c r="B60" t="s">
        <v>72</v>
      </c>
      <c r="AC60">
        <v>9</v>
      </c>
      <c r="AD60">
        <v>144</v>
      </c>
      <c r="AE60">
        <v>137</v>
      </c>
      <c r="AF60">
        <v>127</v>
      </c>
      <c r="AG60">
        <v>112</v>
      </c>
      <c r="AH60">
        <v>27</v>
      </c>
    </row>
    <row r="61" spans="2:54">
      <c r="B61" t="s">
        <v>146</v>
      </c>
      <c r="AN61">
        <v>7114</v>
      </c>
      <c r="AO61">
        <v>11617</v>
      </c>
      <c r="AP61">
        <v>16324</v>
      </c>
      <c r="AQ61">
        <v>7140</v>
      </c>
      <c r="AR61">
        <v>1676</v>
      </c>
      <c r="AS61">
        <v>372</v>
      </c>
      <c r="AY61">
        <v>945</v>
      </c>
      <c r="AZ61">
        <v>20605</v>
      </c>
      <c r="BA61">
        <v>26240</v>
      </c>
      <c r="BB61">
        <v>36313</v>
      </c>
    </row>
    <row r="62" spans="2:54">
      <c r="B62" t="s">
        <v>40</v>
      </c>
      <c r="O62">
        <v>140</v>
      </c>
      <c r="P62">
        <v>15</v>
      </c>
      <c r="Q62">
        <v>25</v>
      </c>
      <c r="R62">
        <v>393</v>
      </c>
      <c r="S62">
        <v>25</v>
      </c>
      <c r="T62">
        <v>70</v>
      </c>
      <c r="U62">
        <v>63</v>
      </c>
      <c r="AA62">
        <v>1144</v>
      </c>
      <c r="AB62">
        <v>152</v>
      </c>
      <c r="AC62">
        <v>80</v>
      </c>
      <c r="AD62">
        <v>298</v>
      </c>
      <c r="AE62">
        <v>143</v>
      </c>
      <c r="AF62">
        <v>262</v>
      </c>
      <c r="AG62">
        <v>221</v>
      </c>
      <c r="AH62">
        <v>288</v>
      </c>
      <c r="AN62">
        <v>2787</v>
      </c>
      <c r="AO62">
        <v>2790</v>
      </c>
      <c r="AP62">
        <v>3532</v>
      </c>
      <c r="AQ62">
        <v>3640</v>
      </c>
      <c r="AR62">
        <v>4165</v>
      </c>
      <c r="AS62">
        <v>1321</v>
      </c>
      <c r="AZ62">
        <v>10543</v>
      </c>
      <c r="BA62">
        <v>8304</v>
      </c>
      <c r="BB62">
        <v>5260</v>
      </c>
    </row>
    <row r="63" spans="2:54">
      <c r="B63" t="s">
        <v>65</v>
      </c>
      <c r="C63" t="s">
        <v>86</v>
      </c>
      <c r="AA63">
        <v>2</v>
      </c>
    </row>
    <row r="64" spans="2:54">
      <c r="B64" t="s">
        <v>63</v>
      </c>
      <c r="AN64">
        <v>1021</v>
      </c>
      <c r="AO64">
        <v>763</v>
      </c>
      <c r="AP64">
        <v>1320</v>
      </c>
      <c r="AQ64">
        <v>1942</v>
      </c>
      <c r="AR64">
        <v>1644</v>
      </c>
      <c r="AS64">
        <v>641</v>
      </c>
      <c r="AT64">
        <v>1025</v>
      </c>
      <c r="BB64">
        <v>14806</v>
      </c>
    </row>
    <row r="65" spans="2:54">
      <c r="B65" t="s">
        <v>198</v>
      </c>
      <c r="AN65">
        <v>248</v>
      </c>
      <c r="AO65">
        <v>118</v>
      </c>
    </row>
    <row r="66" spans="2:54">
      <c r="B66" t="s">
        <v>47</v>
      </c>
    </row>
    <row r="67" spans="2:54">
      <c r="B67" t="s">
        <v>28</v>
      </c>
      <c r="N67">
        <v>172</v>
      </c>
      <c r="O67">
        <v>161</v>
      </c>
      <c r="P67">
        <v>56</v>
      </c>
      <c r="Q67">
        <v>80</v>
      </c>
      <c r="R67">
        <v>136</v>
      </c>
      <c r="S67">
        <v>148</v>
      </c>
      <c r="T67">
        <v>12</v>
      </c>
      <c r="U67">
        <v>67</v>
      </c>
    </row>
    <row r="68" spans="2:54">
      <c r="B68" t="s">
        <v>147</v>
      </c>
      <c r="AN68">
        <v>139</v>
      </c>
      <c r="AO68">
        <v>123</v>
      </c>
      <c r="AY68">
        <v>352</v>
      </c>
      <c r="AZ68">
        <v>1861</v>
      </c>
      <c r="BB68">
        <v>1838</v>
      </c>
    </row>
    <row r="69" spans="2:54">
      <c r="B69" t="s">
        <v>17</v>
      </c>
      <c r="J69">
        <v>3905</v>
      </c>
      <c r="K69">
        <v>3526</v>
      </c>
      <c r="M69">
        <v>4030</v>
      </c>
      <c r="N69">
        <v>3795</v>
      </c>
      <c r="O69">
        <v>2956</v>
      </c>
      <c r="P69">
        <v>11221</v>
      </c>
      <c r="Q69">
        <v>13811</v>
      </c>
      <c r="R69">
        <v>18139</v>
      </c>
      <c r="S69">
        <v>17607</v>
      </c>
      <c r="T69">
        <v>21994</v>
      </c>
      <c r="U69">
        <v>24181</v>
      </c>
      <c r="AA69">
        <v>37438</v>
      </c>
      <c r="AB69">
        <v>45142</v>
      </c>
      <c r="AC69">
        <v>71895</v>
      </c>
      <c r="AD69">
        <v>98711</v>
      </c>
      <c r="AE69">
        <v>92938</v>
      </c>
      <c r="AF69">
        <v>115592</v>
      </c>
      <c r="AG69">
        <v>105996</v>
      </c>
      <c r="AH69">
        <v>90224</v>
      </c>
      <c r="AN69">
        <v>13159</v>
      </c>
      <c r="AO69">
        <v>12829</v>
      </c>
      <c r="AP69">
        <v>12417</v>
      </c>
      <c r="AQ69">
        <v>9475</v>
      </c>
      <c r="AR69">
        <v>10190</v>
      </c>
      <c r="AS69">
        <v>7294</v>
      </c>
      <c r="AT69">
        <v>21292</v>
      </c>
      <c r="AW69">
        <v>3261</v>
      </c>
      <c r="AX69">
        <v>2554</v>
      </c>
      <c r="AY69">
        <v>13900</v>
      </c>
      <c r="AZ69">
        <v>33420</v>
      </c>
      <c r="BA69">
        <v>33694</v>
      </c>
      <c r="BB69">
        <v>64741</v>
      </c>
    </row>
    <row r="70" spans="2:54">
      <c r="B70" t="s">
        <v>110</v>
      </c>
      <c r="AP70">
        <v>9520</v>
      </c>
      <c r="AQ70">
        <v>13424</v>
      </c>
      <c r="AS70">
        <v>5480</v>
      </c>
      <c r="AT70">
        <v>3490</v>
      </c>
      <c r="AW70">
        <v>64802</v>
      </c>
      <c r="AX70">
        <v>76284</v>
      </c>
      <c r="AY70">
        <v>37162</v>
      </c>
      <c r="AZ70">
        <v>22858</v>
      </c>
      <c r="BA70">
        <v>47892</v>
      </c>
      <c r="BB70">
        <v>22692</v>
      </c>
    </row>
    <row r="71" spans="2:54">
      <c r="B71" t="s">
        <v>111</v>
      </c>
      <c r="AN71">
        <v>326</v>
      </c>
      <c r="AO71">
        <v>109</v>
      </c>
      <c r="AT71">
        <v>2944</v>
      </c>
      <c r="AX71">
        <v>2090</v>
      </c>
      <c r="AY71">
        <v>2954</v>
      </c>
    </row>
    <row r="72" spans="2:54">
      <c r="B72" t="s">
        <v>184</v>
      </c>
      <c r="AN72">
        <v>1334</v>
      </c>
      <c r="AO72">
        <v>3996</v>
      </c>
    </row>
    <row r="73" spans="2:54">
      <c r="B73" t="s">
        <v>18</v>
      </c>
      <c r="J73">
        <v>83401</v>
      </c>
      <c r="K73">
        <v>109269</v>
      </c>
      <c r="M73">
        <v>93166</v>
      </c>
      <c r="N73">
        <v>95155</v>
      </c>
      <c r="O73">
        <v>134629</v>
      </c>
      <c r="P73">
        <v>142169</v>
      </c>
      <c r="Q73">
        <v>166671</v>
      </c>
      <c r="R73">
        <v>174191</v>
      </c>
      <c r="S73">
        <v>98548</v>
      </c>
      <c r="T73">
        <v>13210</v>
      </c>
      <c r="U73">
        <v>2008</v>
      </c>
      <c r="AA73">
        <v>47271</v>
      </c>
      <c r="AB73">
        <v>61282</v>
      </c>
      <c r="AC73">
        <v>101523</v>
      </c>
      <c r="AD73">
        <v>138749</v>
      </c>
      <c r="AE73">
        <v>106724</v>
      </c>
      <c r="AF73">
        <v>144653</v>
      </c>
      <c r="AG73">
        <v>156357</v>
      </c>
      <c r="AH73">
        <v>145840</v>
      </c>
      <c r="AN73">
        <v>31749</v>
      </c>
      <c r="AO73">
        <v>35498</v>
      </c>
      <c r="AP73">
        <v>44734</v>
      </c>
      <c r="AQ73">
        <v>23214</v>
      </c>
      <c r="AR73">
        <v>18104</v>
      </c>
      <c r="AS73">
        <v>571</v>
      </c>
      <c r="AT73">
        <v>502</v>
      </c>
      <c r="AW73">
        <v>1579</v>
      </c>
      <c r="AY73">
        <v>9021</v>
      </c>
      <c r="BA73">
        <v>111307</v>
      </c>
      <c r="BB73">
        <v>119925</v>
      </c>
    </row>
    <row r="74" spans="2:54">
      <c r="B74" t="s">
        <v>48</v>
      </c>
      <c r="J74">
        <v>4173</v>
      </c>
      <c r="K74">
        <v>3208</v>
      </c>
      <c r="M74">
        <v>4362</v>
      </c>
      <c r="N74">
        <v>7534</v>
      </c>
      <c r="O74">
        <v>13975</v>
      </c>
      <c r="P74">
        <v>16848</v>
      </c>
      <c r="Q74">
        <v>20945</v>
      </c>
      <c r="R74">
        <v>16322</v>
      </c>
      <c r="S74">
        <v>17505</v>
      </c>
      <c r="T74">
        <v>14014</v>
      </c>
      <c r="U74">
        <v>9679</v>
      </c>
    </row>
    <row r="75" spans="2:54">
      <c r="B75" t="s">
        <v>199</v>
      </c>
      <c r="AN75">
        <v>129</v>
      </c>
      <c r="AO75">
        <v>166</v>
      </c>
    </row>
    <row r="76" spans="2:54">
      <c r="B76" t="s">
        <v>29</v>
      </c>
      <c r="N76">
        <v>5471</v>
      </c>
      <c r="O76">
        <v>8276</v>
      </c>
      <c r="P76">
        <v>8657</v>
      </c>
      <c r="Q76">
        <v>8539</v>
      </c>
      <c r="R76">
        <v>1650</v>
      </c>
      <c r="S76">
        <v>16365</v>
      </c>
      <c r="T76">
        <v>3318</v>
      </c>
      <c r="U76">
        <v>791</v>
      </c>
      <c r="AA76">
        <v>50434</v>
      </c>
    </row>
    <row r="77" spans="2:54">
      <c r="B77" t="s">
        <v>19</v>
      </c>
    </row>
    <row r="78" spans="2:54">
      <c r="B78" t="s">
        <v>20</v>
      </c>
      <c r="J78">
        <v>11908</v>
      </c>
      <c r="K78">
        <v>9250</v>
      </c>
      <c r="M78">
        <v>27377</v>
      </c>
      <c r="N78">
        <v>28061</v>
      </c>
      <c r="O78">
        <v>44125</v>
      </c>
      <c r="P78">
        <v>57393</v>
      </c>
      <c r="Q78">
        <v>81262</v>
      </c>
      <c r="R78">
        <v>89634</v>
      </c>
      <c r="S78">
        <v>47533</v>
      </c>
      <c r="T78">
        <v>55333</v>
      </c>
      <c r="U78">
        <v>37517</v>
      </c>
      <c r="AA78">
        <v>34204</v>
      </c>
      <c r="AB78">
        <v>40448</v>
      </c>
      <c r="AC78">
        <v>46223</v>
      </c>
      <c r="AD78">
        <v>42189</v>
      </c>
      <c r="AE78">
        <v>40485</v>
      </c>
      <c r="AF78">
        <v>63919</v>
      </c>
      <c r="AG78">
        <v>79491</v>
      </c>
      <c r="AH78">
        <v>69079</v>
      </c>
      <c r="AN78">
        <v>8448</v>
      </c>
      <c r="AO78">
        <v>9553</v>
      </c>
      <c r="AP78">
        <v>13551</v>
      </c>
      <c r="AQ78">
        <v>6444</v>
      </c>
      <c r="AR78">
        <v>10970</v>
      </c>
      <c r="AS78">
        <v>15417</v>
      </c>
      <c r="AT78">
        <v>378</v>
      </c>
      <c r="AY78">
        <v>7822</v>
      </c>
      <c r="AZ78">
        <v>48068</v>
      </c>
      <c r="BA78">
        <v>62181</v>
      </c>
      <c r="BB78">
        <v>55661</v>
      </c>
    </row>
    <row r="79" spans="2:54">
      <c r="B79" t="s">
        <v>148</v>
      </c>
      <c r="AN79">
        <v>102</v>
      </c>
      <c r="AO79">
        <v>522</v>
      </c>
      <c r="AP79">
        <v>749</v>
      </c>
      <c r="AQ79">
        <v>374</v>
      </c>
      <c r="AR79">
        <v>386</v>
      </c>
      <c r="AS79">
        <v>201</v>
      </c>
      <c r="BA79">
        <v>973</v>
      </c>
      <c r="BB79">
        <v>1052</v>
      </c>
    </row>
    <row r="80" spans="2:54">
      <c r="B80" t="s">
        <v>112</v>
      </c>
      <c r="AT80">
        <v>850</v>
      </c>
    </row>
    <row r="81" spans="2:54">
      <c r="B81" t="s">
        <v>41</v>
      </c>
      <c r="O81">
        <v>160</v>
      </c>
      <c r="P81">
        <v>61</v>
      </c>
      <c r="Q81">
        <v>633</v>
      </c>
      <c r="R81">
        <v>1107</v>
      </c>
      <c r="S81">
        <v>2263</v>
      </c>
      <c r="T81">
        <v>835</v>
      </c>
      <c r="U81">
        <v>565</v>
      </c>
      <c r="AA81">
        <v>177</v>
      </c>
      <c r="AB81">
        <v>600</v>
      </c>
      <c r="AC81">
        <v>556</v>
      </c>
      <c r="AD81">
        <v>2535</v>
      </c>
      <c r="AE81">
        <v>4125</v>
      </c>
      <c r="AF81">
        <v>6766</v>
      </c>
      <c r="AG81">
        <v>7687</v>
      </c>
      <c r="AH81">
        <v>9033</v>
      </c>
      <c r="AN81">
        <v>6562</v>
      </c>
      <c r="AO81">
        <v>2345</v>
      </c>
      <c r="AP81">
        <v>8755</v>
      </c>
      <c r="AQ81">
        <v>7690</v>
      </c>
      <c r="AR81">
        <v>6504</v>
      </c>
      <c r="AS81">
        <v>3009</v>
      </c>
      <c r="AY81">
        <v>6877</v>
      </c>
      <c r="AZ81">
        <v>40994</v>
      </c>
      <c r="BA81">
        <v>40708</v>
      </c>
      <c r="BB81">
        <v>44737</v>
      </c>
    </row>
    <row r="82" spans="2:54">
      <c r="B82" t="s">
        <v>30</v>
      </c>
      <c r="N82">
        <v>451</v>
      </c>
      <c r="O82">
        <v>898</v>
      </c>
      <c r="P82">
        <v>2618</v>
      </c>
      <c r="Q82">
        <v>3964</v>
      </c>
      <c r="R82">
        <v>4659</v>
      </c>
      <c r="S82">
        <v>23883</v>
      </c>
      <c r="T82">
        <v>34375</v>
      </c>
      <c r="U82">
        <v>1698</v>
      </c>
      <c r="AA82">
        <v>10325</v>
      </c>
    </row>
    <row r="83" spans="2:54">
      <c r="B83" t="s">
        <v>49</v>
      </c>
      <c r="R83">
        <v>37</v>
      </c>
      <c r="S83">
        <v>297</v>
      </c>
      <c r="T83">
        <v>536</v>
      </c>
      <c r="U83">
        <v>65</v>
      </c>
      <c r="AA83">
        <v>49</v>
      </c>
      <c r="AB83">
        <v>455</v>
      </c>
      <c r="AC83">
        <v>82</v>
      </c>
      <c r="AD83">
        <v>166</v>
      </c>
      <c r="AE83">
        <v>107</v>
      </c>
      <c r="AG83">
        <v>166</v>
      </c>
      <c r="AH83">
        <v>604</v>
      </c>
      <c r="AN83">
        <v>9258</v>
      </c>
      <c r="AO83">
        <v>19754</v>
      </c>
      <c r="AP83">
        <v>29439</v>
      </c>
      <c r="AQ83">
        <v>20084</v>
      </c>
      <c r="AR83">
        <v>17597</v>
      </c>
      <c r="AS83">
        <v>14454</v>
      </c>
      <c r="AT83">
        <v>4576</v>
      </c>
      <c r="AZ83">
        <v>30880</v>
      </c>
      <c r="BA83">
        <v>32649</v>
      </c>
      <c r="BB83">
        <v>106762</v>
      </c>
    </row>
    <row r="84" spans="2:54">
      <c r="B84" t="s">
        <v>200</v>
      </c>
      <c r="AN84">
        <v>206</v>
      </c>
      <c r="AO84">
        <v>286</v>
      </c>
    </row>
    <row r="85" spans="2:54">
      <c r="B85" t="s">
        <v>59</v>
      </c>
      <c r="R85">
        <v>5</v>
      </c>
      <c r="S85">
        <v>10</v>
      </c>
    </row>
    <row r="86" spans="2:54">
      <c r="B86" t="s">
        <v>31</v>
      </c>
    </row>
    <row r="87" spans="2:54">
      <c r="B87" t="s">
        <v>149</v>
      </c>
      <c r="BB87">
        <v>2377</v>
      </c>
    </row>
    <row r="88" spans="2:54">
      <c r="B88" t="s">
        <v>74</v>
      </c>
      <c r="J88">
        <v>14101</v>
      </c>
      <c r="K88">
        <v>21528</v>
      </c>
      <c r="M88">
        <v>43942</v>
      </c>
    </row>
    <row r="89" spans="2:54">
      <c r="B89" t="s">
        <v>32</v>
      </c>
      <c r="J89">
        <v>1614</v>
      </c>
      <c r="K89">
        <v>3285</v>
      </c>
      <c r="M89">
        <v>3801</v>
      </c>
      <c r="N89">
        <v>7301</v>
      </c>
      <c r="O89">
        <v>30980</v>
      </c>
      <c r="P89">
        <v>9573</v>
      </c>
      <c r="Q89">
        <v>11609</v>
      </c>
      <c r="R89">
        <v>12176</v>
      </c>
      <c r="S89">
        <v>6191</v>
      </c>
      <c r="T89">
        <v>3609</v>
      </c>
      <c r="U89">
        <v>1817</v>
      </c>
      <c r="AA89">
        <v>9808</v>
      </c>
      <c r="AB89">
        <f>1275+4841</f>
        <v>6116</v>
      </c>
      <c r="AC89">
        <v>33538</v>
      </c>
      <c r="AD89">
        <f>1797+21359</f>
        <v>23156</v>
      </c>
      <c r="AE89">
        <v>21182</v>
      </c>
      <c r="AF89">
        <v>25022</v>
      </c>
      <c r="AG89">
        <v>8285</v>
      </c>
      <c r="AH89">
        <v>7501</v>
      </c>
      <c r="AN89">
        <v>1647</v>
      </c>
      <c r="AO89">
        <v>5129</v>
      </c>
      <c r="AW89">
        <v>160001</v>
      </c>
      <c r="AX89">
        <v>9828</v>
      </c>
    </row>
    <row r="90" spans="2:54">
      <c r="B90" t="s">
        <v>68</v>
      </c>
      <c r="P90">
        <v>14</v>
      </c>
      <c r="Q90">
        <v>21</v>
      </c>
    </row>
    <row r="91" spans="2:54">
      <c r="B91" t="s">
        <v>160</v>
      </c>
      <c r="AZ91">
        <v>3827</v>
      </c>
    </row>
    <row r="92" spans="2:54">
      <c r="B92" t="s">
        <v>50</v>
      </c>
      <c r="J92">
        <v>196</v>
      </c>
      <c r="K92">
        <v>179</v>
      </c>
      <c r="M92">
        <v>181</v>
      </c>
      <c r="N92">
        <v>807</v>
      </c>
      <c r="O92">
        <v>4928</v>
      </c>
      <c r="P92">
        <v>8305</v>
      </c>
      <c r="Q92">
        <v>26871</v>
      </c>
      <c r="R92">
        <v>49596</v>
      </c>
      <c r="S92">
        <v>12328</v>
      </c>
      <c r="T92">
        <v>56</v>
      </c>
      <c r="U92">
        <v>52</v>
      </c>
      <c r="AA92">
        <v>205</v>
      </c>
      <c r="AN92">
        <v>2047</v>
      </c>
      <c r="AO92">
        <v>2851</v>
      </c>
      <c r="AP92">
        <v>3970</v>
      </c>
      <c r="AQ92">
        <v>3800</v>
      </c>
      <c r="AS92">
        <v>11413</v>
      </c>
      <c r="AT92">
        <v>1440</v>
      </c>
      <c r="AY92">
        <v>13144</v>
      </c>
      <c r="AZ92">
        <v>26008</v>
      </c>
      <c r="BA92">
        <v>24957</v>
      </c>
      <c r="BB92">
        <v>15780</v>
      </c>
    </row>
    <row r="93" spans="2:54">
      <c r="B93" t="s">
        <v>132</v>
      </c>
      <c r="AW93">
        <v>16949</v>
      </c>
      <c r="AZ93">
        <v>5790</v>
      </c>
      <c r="BA93">
        <v>1325</v>
      </c>
    </row>
    <row r="94" spans="2:54">
      <c r="B94" t="s">
        <v>138</v>
      </c>
      <c r="AN94">
        <v>132</v>
      </c>
      <c r="AO94">
        <v>175</v>
      </c>
      <c r="AP94">
        <v>780</v>
      </c>
      <c r="AQ94">
        <v>606</v>
      </c>
    </row>
    <row r="95" spans="2:54">
      <c r="B95" t="s">
        <v>33</v>
      </c>
    </row>
    <row r="96" spans="2:54">
      <c r="B96" t="s">
        <v>113</v>
      </c>
      <c r="AO96">
        <v>13</v>
      </c>
      <c r="AP96">
        <v>506</v>
      </c>
      <c r="AT96">
        <v>727</v>
      </c>
    </row>
    <row r="97" spans="2:54">
      <c r="B97" t="s">
        <v>114</v>
      </c>
      <c r="AN97">
        <v>1219</v>
      </c>
      <c r="AO97">
        <v>1298</v>
      </c>
      <c r="AQ97">
        <v>801</v>
      </c>
      <c r="AS97">
        <v>65252</v>
      </c>
      <c r="AT97">
        <v>55449</v>
      </c>
      <c r="AW97">
        <v>77220</v>
      </c>
      <c r="AX97">
        <v>109050</v>
      </c>
      <c r="AY97">
        <v>140715</v>
      </c>
      <c r="AZ97">
        <v>172532</v>
      </c>
      <c r="BA97">
        <v>166063</v>
      </c>
      <c r="BB97">
        <v>197487</v>
      </c>
    </row>
    <row r="98" spans="2:54">
      <c r="B98" t="s">
        <v>42</v>
      </c>
      <c r="O98">
        <v>9</v>
      </c>
      <c r="P98">
        <v>6</v>
      </c>
      <c r="R98">
        <v>1024</v>
      </c>
      <c r="S98">
        <v>184</v>
      </c>
      <c r="T98">
        <v>90</v>
      </c>
      <c r="AA98">
        <v>122</v>
      </c>
      <c r="AB98">
        <v>58</v>
      </c>
      <c r="AD98">
        <v>116</v>
      </c>
      <c r="AE98">
        <v>157</v>
      </c>
      <c r="AF98">
        <v>68</v>
      </c>
      <c r="AG98">
        <v>157</v>
      </c>
      <c r="AH98">
        <v>57</v>
      </c>
      <c r="AN98">
        <v>2197</v>
      </c>
      <c r="AO98">
        <v>2520</v>
      </c>
      <c r="AP98">
        <v>2550</v>
      </c>
      <c r="AQ98">
        <v>1612</v>
      </c>
      <c r="AR98">
        <v>1401</v>
      </c>
      <c r="AS98">
        <v>1072</v>
      </c>
      <c r="AT98">
        <v>421</v>
      </c>
      <c r="AY98">
        <v>2155</v>
      </c>
      <c r="AZ98">
        <v>3438</v>
      </c>
      <c r="BA98">
        <v>3272</v>
      </c>
      <c r="BB98">
        <v>3123</v>
      </c>
    </row>
    <row r="99" spans="2:54">
      <c r="B99" t="s">
        <v>150</v>
      </c>
      <c r="AN99">
        <v>672</v>
      </c>
      <c r="AO99">
        <v>543</v>
      </c>
      <c r="AQ99">
        <v>477</v>
      </c>
      <c r="AR99">
        <v>262</v>
      </c>
      <c r="BA99">
        <v>4548</v>
      </c>
      <c r="BB99">
        <v>1773</v>
      </c>
    </row>
    <row r="100" spans="2:54">
      <c r="B100" t="s">
        <v>87</v>
      </c>
      <c r="AA100">
        <v>38</v>
      </c>
    </row>
    <row r="101" spans="2:54">
      <c r="B101" t="s">
        <v>56</v>
      </c>
      <c r="R101">
        <v>22</v>
      </c>
      <c r="S101">
        <v>71</v>
      </c>
      <c r="AA101">
        <v>83</v>
      </c>
      <c r="AB101">
        <v>50</v>
      </c>
      <c r="AC101">
        <v>47</v>
      </c>
      <c r="AD101">
        <v>99</v>
      </c>
      <c r="AE101">
        <v>28</v>
      </c>
      <c r="AF101">
        <v>21</v>
      </c>
      <c r="AG101">
        <v>109</v>
      </c>
      <c r="AH101">
        <v>288</v>
      </c>
      <c r="AN101">
        <v>1534</v>
      </c>
      <c r="AO101">
        <v>1854</v>
      </c>
      <c r="AP101">
        <v>3067</v>
      </c>
      <c r="AQ101">
        <v>1931</v>
      </c>
      <c r="AR101">
        <v>2325</v>
      </c>
      <c r="AS101">
        <v>2263</v>
      </c>
      <c r="AT101">
        <v>4458</v>
      </c>
      <c r="AW101">
        <v>739</v>
      </c>
      <c r="AX101">
        <v>210</v>
      </c>
      <c r="AY101">
        <v>531</v>
      </c>
      <c r="AZ101">
        <v>2921</v>
      </c>
      <c r="BA101">
        <v>6252</v>
      </c>
      <c r="BB101">
        <v>3747</v>
      </c>
    </row>
    <row r="102" spans="2:54">
      <c r="B102" t="s">
        <v>115</v>
      </c>
      <c r="AT102">
        <v>306</v>
      </c>
    </row>
    <row r="103" spans="2:54">
      <c r="B103" t="s">
        <v>121</v>
      </c>
      <c r="AP103">
        <v>2611</v>
      </c>
      <c r="AQ103">
        <v>769</v>
      </c>
    </row>
    <row r="104" spans="2:54">
      <c r="B104" t="s">
        <v>85</v>
      </c>
      <c r="AA104">
        <v>918</v>
      </c>
      <c r="AN104">
        <v>1584</v>
      </c>
    </row>
    <row r="105" spans="2:54">
      <c r="B105" t="s">
        <v>201</v>
      </c>
      <c r="AN105">
        <v>693</v>
      </c>
      <c r="AO105">
        <v>441</v>
      </c>
      <c r="AP105">
        <v>555</v>
      </c>
      <c r="AQ105">
        <v>255</v>
      </c>
    </row>
    <row r="106" spans="2:54">
      <c r="B106" t="s">
        <v>57</v>
      </c>
      <c r="S106">
        <v>34</v>
      </c>
      <c r="AA106">
        <v>63</v>
      </c>
      <c r="AN106">
        <v>557</v>
      </c>
      <c r="AO106">
        <v>679</v>
      </c>
    </row>
    <row r="107" spans="2:54">
      <c r="B107" t="s">
        <v>37</v>
      </c>
      <c r="U107">
        <v>6</v>
      </c>
    </row>
    <row r="108" spans="2:54">
      <c r="B108" t="s">
        <v>83</v>
      </c>
      <c r="AA108">
        <v>25148</v>
      </c>
      <c r="AP108">
        <v>581</v>
      </c>
      <c r="AQ108">
        <v>361</v>
      </c>
      <c r="AW108">
        <v>5838</v>
      </c>
      <c r="BB108">
        <v>1266</v>
      </c>
    </row>
    <row r="109" spans="2:54">
      <c r="B109" t="s">
        <v>34</v>
      </c>
      <c r="J109">
        <v>2339</v>
      </c>
      <c r="K109">
        <v>2529</v>
      </c>
      <c r="M109">
        <v>3238</v>
      </c>
      <c r="N109">
        <v>23177</v>
      </c>
      <c r="O109">
        <v>798</v>
      </c>
      <c r="P109">
        <v>2230</v>
      </c>
      <c r="Q109">
        <v>1013</v>
      </c>
      <c r="R109">
        <v>2192</v>
      </c>
      <c r="S109">
        <v>6326</v>
      </c>
      <c r="T109">
        <v>32025</v>
      </c>
      <c r="U109">
        <v>21636</v>
      </c>
    </row>
    <row r="110" spans="2:54">
      <c r="B110" t="s">
        <v>60</v>
      </c>
      <c r="J110">
        <v>9</v>
      </c>
      <c r="K110">
        <v>2</v>
      </c>
      <c r="M110">
        <v>6</v>
      </c>
      <c r="O110">
        <v>2</v>
      </c>
      <c r="R110">
        <v>3</v>
      </c>
    </row>
    <row r="111" spans="2:54">
      <c r="B111" t="s">
        <v>35</v>
      </c>
      <c r="J111">
        <v>179</v>
      </c>
      <c r="K111">
        <v>44</v>
      </c>
      <c r="M111">
        <v>93</v>
      </c>
      <c r="N111">
        <v>30</v>
      </c>
      <c r="O111">
        <v>55</v>
      </c>
      <c r="P111">
        <v>5</v>
      </c>
      <c r="Q111">
        <v>129</v>
      </c>
      <c r="S111">
        <v>203</v>
      </c>
      <c r="T111">
        <v>6</v>
      </c>
      <c r="U111">
        <v>4</v>
      </c>
    </row>
    <row r="112" spans="2:54">
      <c r="B112" t="s">
        <v>36</v>
      </c>
      <c r="J112">
        <v>76</v>
      </c>
      <c r="K112">
        <v>190</v>
      </c>
      <c r="M112">
        <v>10</v>
      </c>
      <c r="N112">
        <v>31</v>
      </c>
      <c r="O112">
        <v>3</v>
      </c>
      <c r="P112">
        <v>3</v>
      </c>
      <c r="R112">
        <v>3</v>
      </c>
    </row>
    <row r="113" spans="2:54">
      <c r="B113" t="s">
        <v>194</v>
      </c>
      <c r="AH113">
        <v>44</v>
      </c>
    </row>
    <row r="114" spans="2:54">
      <c r="B114" t="s">
        <v>43</v>
      </c>
      <c r="J114">
        <v>42</v>
      </c>
      <c r="K114">
        <v>28</v>
      </c>
      <c r="M114">
        <v>56</v>
      </c>
      <c r="N114">
        <v>45</v>
      </c>
      <c r="O114">
        <v>1</v>
      </c>
      <c r="P114">
        <v>106</v>
      </c>
      <c r="Q114">
        <v>1781</v>
      </c>
      <c r="R114">
        <v>99</v>
      </c>
      <c r="S114">
        <v>54</v>
      </c>
      <c r="T114">
        <v>79</v>
      </c>
      <c r="U114">
        <v>9</v>
      </c>
      <c r="AB114">
        <v>83</v>
      </c>
      <c r="AC114">
        <v>71</v>
      </c>
      <c r="AD114">
        <v>76</v>
      </c>
      <c r="AE114">
        <v>86</v>
      </c>
      <c r="AF114">
        <v>62</v>
      </c>
      <c r="AG114">
        <v>130</v>
      </c>
      <c r="AH114">
        <v>215</v>
      </c>
      <c r="AN114">
        <v>4427</v>
      </c>
      <c r="AO114">
        <v>3522</v>
      </c>
      <c r="AP114">
        <v>3043</v>
      </c>
      <c r="AQ114">
        <v>2338</v>
      </c>
      <c r="AR114">
        <v>2040</v>
      </c>
      <c r="AS114">
        <v>775</v>
      </c>
      <c r="AT114">
        <v>457</v>
      </c>
      <c r="AX114">
        <v>155</v>
      </c>
      <c r="AY114">
        <v>376</v>
      </c>
      <c r="AZ114">
        <v>2863</v>
      </c>
      <c r="BA114">
        <v>2971</v>
      </c>
      <c r="BB114">
        <v>2902</v>
      </c>
    </row>
    <row r="115" spans="2:54">
      <c r="B115" t="s">
        <v>84</v>
      </c>
      <c r="AA115">
        <v>12</v>
      </c>
      <c r="AN115">
        <v>2116</v>
      </c>
    </row>
    <row r="116" spans="2:54">
      <c r="B116" t="s">
        <v>58</v>
      </c>
      <c r="R116">
        <v>2</v>
      </c>
      <c r="S116">
        <v>3</v>
      </c>
    </row>
    <row r="117" spans="2:54">
      <c r="B117" t="s">
        <v>44</v>
      </c>
      <c r="Q117">
        <v>11</v>
      </c>
      <c r="R117">
        <v>32</v>
      </c>
      <c r="S117">
        <v>46</v>
      </c>
      <c r="T117">
        <v>75</v>
      </c>
      <c r="AA117">
        <v>1676</v>
      </c>
      <c r="AB117">
        <v>912</v>
      </c>
      <c r="AC117">
        <v>304</v>
      </c>
      <c r="AD117">
        <v>137</v>
      </c>
      <c r="AE117">
        <v>480</v>
      </c>
      <c r="AF117">
        <v>80</v>
      </c>
      <c r="AG117">
        <v>964</v>
      </c>
      <c r="AH117">
        <v>528</v>
      </c>
      <c r="AN117">
        <v>5208</v>
      </c>
      <c r="AO117">
        <v>4276</v>
      </c>
      <c r="AP117">
        <v>7425</v>
      </c>
      <c r="AQ117">
        <v>3149</v>
      </c>
      <c r="AR117">
        <v>2671</v>
      </c>
      <c r="AS117">
        <v>1904</v>
      </c>
      <c r="AY117">
        <v>20735</v>
      </c>
      <c r="AZ117">
        <v>17762</v>
      </c>
      <c r="BA117">
        <v>17669</v>
      </c>
      <c r="BB117">
        <v>22378</v>
      </c>
    </row>
    <row r="118" spans="2:54">
      <c r="B118" t="s">
        <v>45</v>
      </c>
      <c r="O118">
        <v>6</v>
      </c>
      <c r="Q118">
        <v>145</v>
      </c>
      <c r="R118">
        <v>530</v>
      </c>
      <c r="S118">
        <v>391</v>
      </c>
      <c r="T118">
        <v>291</v>
      </c>
      <c r="U118">
        <v>1296</v>
      </c>
      <c r="AA118">
        <v>84</v>
      </c>
      <c r="AB118">
        <v>70</v>
      </c>
      <c r="AD118">
        <v>142</v>
      </c>
      <c r="AE118">
        <v>48</v>
      </c>
      <c r="AG118">
        <v>3</v>
      </c>
      <c r="AH118">
        <v>183</v>
      </c>
      <c r="AN118">
        <v>1453</v>
      </c>
      <c r="AO118">
        <v>2199</v>
      </c>
      <c r="AP118">
        <v>1880</v>
      </c>
      <c r="AQ118">
        <v>1973</v>
      </c>
      <c r="AR118">
        <v>1165</v>
      </c>
      <c r="AS118">
        <v>928</v>
      </c>
      <c r="AW118">
        <v>693</v>
      </c>
      <c r="AY118">
        <v>2460</v>
      </c>
      <c r="AZ118">
        <v>5854</v>
      </c>
      <c r="BA118">
        <v>959</v>
      </c>
      <c r="BB118">
        <v>799</v>
      </c>
    </row>
    <row r="119" spans="2:54">
      <c r="B119" t="s">
        <v>55</v>
      </c>
      <c r="R119">
        <v>90</v>
      </c>
      <c r="S119">
        <v>83</v>
      </c>
      <c r="AA119">
        <v>31</v>
      </c>
      <c r="AD119">
        <v>53</v>
      </c>
      <c r="AF119">
        <v>762</v>
      </c>
      <c r="AH119">
        <v>2687</v>
      </c>
      <c r="AN119">
        <v>2106</v>
      </c>
      <c r="AO119">
        <v>2471</v>
      </c>
      <c r="AP119">
        <v>2431</v>
      </c>
      <c r="AQ119">
        <v>3087</v>
      </c>
      <c r="AR119">
        <v>2090</v>
      </c>
      <c r="AS119">
        <v>668</v>
      </c>
      <c r="BB119">
        <v>817</v>
      </c>
    </row>
    <row r="120" spans="2:54">
      <c r="B120" t="s">
        <v>51</v>
      </c>
      <c r="J120">
        <v>887</v>
      </c>
      <c r="K120">
        <v>405</v>
      </c>
      <c r="M120">
        <v>943</v>
      </c>
      <c r="N120">
        <v>1016</v>
      </c>
      <c r="O120">
        <v>1570</v>
      </c>
      <c r="P120">
        <v>4261</v>
      </c>
      <c r="Q120">
        <v>8056</v>
      </c>
      <c r="R120">
        <v>6715</v>
      </c>
      <c r="S120">
        <v>2778</v>
      </c>
      <c r="T120">
        <v>1382</v>
      </c>
      <c r="U120">
        <v>938</v>
      </c>
    </row>
    <row r="121" spans="2:54">
      <c r="B121" t="s">
        <v>54</v>
      </c>
      <c r="O121">
        <v>9</v>
      </c>
      <c r="R121">
        <v>25</v>
      </c>
      <c r="S121">
        <v>20</v>
      </c>
      <c r="AH121">
        <v>1822</v>
      </c>
    </row>
    <row r="122" spans="2:54">
      <c r="B122" t="s">
        <v>67</v>
      </c>
      <c r="Q122">
        <v>4</v>
      </c>
      <c r="AE122">
        <v>2</v>
      </c>
      <c r="AH122">
        <v>16</v>
      </c>
      <c r="AN122">
        <v>132</v>
      </c>
      <c r="AO122">
        <v>45</v>
      </c>
    </row>
    <row r="123" spans="2:54">
      <c r="B123" t="s">
        <v>21</v>
      </c>
      <c r="J123">
        <v>21262</v>
      </c>
      <c r="K123">
        <v>17666</v>
      </c>
      <c r="M123">
        <v>23790</v>
      </c>
      <c r="N123">
        <v>35235</v>
      </c>
      <c r="O123">
        <v>4589</v>
      </c>
      <c r="P123">
        <v>10705</v>
      </c>
      <c r="Q123">
        <v>28463</v>
      </c>
      <c r="R123">
        <v>54055</v>
      </c>
      <c r="S123">
        <v>62914</v>
      </c>
      <c r="T123">
        <v>102435</v>
      </c>
      <c r="U123">
        <v>135603</v>
      </c>
      <c r="AA123">
        <v>172083</v>
      </c>
      <c r="AB123">
        <v>185548</v>
      </c>
      <c r="AC123">
        <v>208725</v>
      </c>
      <c r="AD123">
        <v>240510</v>
      </c>
      <c r="AE123">
        <v>203200</v>
      </c>
      <c r="AF123">
        <v>238332</v>
      </c>
      <c r="AG123">
        <v>232694</v>
      </c>
      <c r="AH123">
        <v>253988</v>
      </c>
      <c r="AN123">
        <v>74293</v>
      </c>
      <c r="AO123">
        <v>66833</v>
      </c>
      <c r="AP123">
        <v>76273</v>
      </c>
      <c r="AQ123">
        <v>87360</v>
      </c>
      <c r="AR123">
        <v>116191</v>
      </c>
      <c r="AS123">
        <v>51501</v>
      </c>
      <c r="AT123">
        <v>81113</v>
      </c>
      <c r="AW123">
        <v>425892</v>
      </c>
      <c r="AX123">
        <v>356822</v>
      </c>
      <c r="AY123">
        <v>191243</v>
      </c>
      <c r="AZ123">
        <v>635782</v>
      </c>
      <c r="BA123">
        <v>209480</v>
      </c>
      <c r="BB123">
        <v>181439</v>
      </c>
    </row>
    <row r="124" spans="2:54">
      <c r="B124" t="s">
        <v>133</v>
      </c>
      <c r="AR124">
        <v>208</v>
      </c>
      <c r="AW124">
        <v>1808</v>
      </c>
      <c r="AX124">
        <v>1354</v>
      </c>
    </row>
    <row r="125" spans="2:54">
      <c r="B125" t="s">
        <v>176</v>
      </c>
      <c r="AR125">
        <v>193</v>
      </c>
    </row>
    <row r="126" spans="2:54">
      <c r="B126" t="s">
        <v>202</v>
      </c>
      <c r="AN126">
        <v>129</v>
      </c>
      <c r="AO126">
        <v>34</v>
      </c>
    </row>
    <row r="127" spans="2:54">
      <c r="B127" t="s">
        <v>75</v>
      </c>
      <c r="J127">
        <v>10366</v>
      </c>
      <c r="K127">
        <v>22112</v>
      </c>
      <c r="M127">
        <v>13813</v>
      </c>
      <c r="AT127">
        <v>653</v>
      </c>
    </row>
    <row r="128" spans="2:54">
      <c r="B128" t="s">
        <v>141</v>
      </c>
      <c r="AB128">
        <f>25250+90951</f>
        <v>116201</v>
      </c>
      <c r="AC128">
        <v>84731</v>
      </c>
      <c r="AD128">
        <f>26395+105281</f>
        <v>131676</v>
      </c>
      <c r="AE128">
        <v>167933</v>
      </c>
      <c r="AF128">
        <v>93422</v>
      </c>
      <c r="AG128">
        <v>121180</v>
      </c>
      <c r="AH128">
        <v>118484</v>
      </c>
      <c r="AR128">
        <v>8318</v>
      </c>
      <c r="AS128">
        <v>651</v>
      </c>
    </row>
    <row r="129" spans="2:54">
      <c r="B129" t="s">
        <v>177</v>
      </c>
      <c r="AR129">
        <v>18439</v>
      </c>
    </row>
    <row r="130" spans="2:54">
      <c r="B130" t="s">
        <v>142</v>
      </c>
      <c r="AB130">
        <f>7174+2137</f>
        <v>9311</v>
      </c>
      <c r="AC130">
        <v>7775</v>
      </c>
      <c r="AD130">
        <f>9031+307</f>
        <v>9338</v>
      </c>
      <c r="AE130">
        <v>5960</v>
      </c>
      <c r="AF130">
        <v>6092</v>
      </c>
      <c r="AG130">
        <v>8020</v>
      </c>
      <c r="AH130">
        <v>5267</v>
      </c>
    </row>
    <row r="131" spans="2:54">
      <c r="B131" t="s">
        <v>143</v>
      </c>
      <c r="AB131">
        <v>720</v>
      </c>
      <c r="AC131">
        <v>594</v>
      </c>
      <c r="AD131">
        <v>2423</v>
      </c>
      <c r="AE131">
        <v>2568</v>
      </c>
      <c r="AF131">
        <v>1605</v>
      </c>
      <c r="AG131">
        <v>1647</v>
      </c>
      <c r="AH131">
        <v>2822</v>
      </c>
    </row>
    <row r="132" spans="2:54">
      <c r="B132" t="s">
        <v>116</v>
      </c>
      <c r="AN132">
        <v>270</v>
      </c>
      <c r="AO132">
        <v>2070</v>
      </c>
      <c r="AP132">
        <v>4440</v>
      </c>
      <c r="AQ132">
        <v>1689</v>
      </c>
      <c r="AR132">
        <v>8346</v>
      </c>
      <c r="AS132">
        <v>1116</v>
      </c>
      <c r="AW132">
        <v>778</v>
      </c>
      <c r="AX132">
        <v>600</v>
      </c>
      <c r="AY132">
        <v>458</v>
      </c>
      <c r="AZ132">
        <v>2665</v>
      </c>
      <c r="BA132">
        <v>3303</v>
      </c>
      <c r="BB132">
        <v>1380</v>
      </c>
    </row>
    <row r="133" spans="2:54">
      <c r="B133" t="s">
        <v>89</v>
      </c>
      <c r="AT133">
        <v>67542</v>
      </c>
      <c r="AW133">
        <v>203910</v>
      </c>
      <c r="AX133">
        <v>99838</v>
      </c>
      <c r="AY133">
        <v>19326</v>
      </c>
    </row>
    <row r="135" spans="2:54">
      <c r="B135" t="s">
        <v>220</v>
      </c>
      <c r="F135">
        <f t="shared" ref="F135:S135" si="0">SUM(F4:F134)</f>
        <v>0</v>
      </c>
      <c r="G135">
        <f t="shared" si="0"/>
        <v>0</v>
      </c>
      <c r="H135">
        <f t="shared" si="0"/>
        <v>0</v>
      </c>
      <c r="I135">
        <f t="shared" si="0"/>
        <v>0</v>
      </c>
      <c r="J135">
        <f t="shared" si="0"/>
        <v>702648</v>
      </c>
      <c r="K135">
        <f t="shared" si="0"/>
        <v>885851</v>
      </c>
      <c r="L135">
        <f t="shared" si="0"/>
        <v>0</v>
      </c>
      <c r="M135">
        <f t="shared" si="0"/>
        <v>813700</v>
      </c>
      <c r="N135">
        <f t="shared" si="0"/>
        <v>974581</v>
      </c>
      <c r="O135">
        <f t="shared" si="0"/>
        <v>1162470</v>
      </c>
      <c r="P135">
        <f t="shared" si="0"/>
        <v>1267231</v>
      </c>
      <c r="Q135">
        <f t="shared" si="0"/>
        <v>1424864</v>
      </c>
      <c r="R135">
        <f t="shared" si="0"/>
        <v>1750303</v>
      </c>
      <c r="S135">
        <f t="shared" si="0"/>
        <v>1405049</v>
      </c>
      <c r="T135">
        <f>SUM(T4:T134)</f>
        <v>1255755</v>
      </c>
      <c r="U135">
        <f>SUM(U4:U134)</f>
        <v>1290827</v>
      </c>
      <c r="V135">
        <f t="shared" ref="V135:BB135" si="1">SUM(V4:V134)</f>
        <v>0</v>
      </c>
      <c r="W135">
        <f t="shared" si="1"/>
        <v>0</v>
      </c>
      <c r="X135">
        <f t="shared" si="1"/>
        <v>0</v>
      </c>
      <c r="Y135">
        <f t="shared" si="1"/>
        <v>0</v>
      </c>
      <c r="Z135">
        <f t="shared" si="1"/>
        <v>0</v>
      </c>
      <c r="AA135">
        <f t="shared" si="1"/>
        <v>1511496</v>
      </c>
      <c r="AB135">
        <f t="shared" si="1"/>
        <v>1949981</v>
      </c>
      <c r="AC135">
        <f t="shared" si="1"/>
        <v>1730643</v>
      </c>
      <c r="AD135">
        <f t="shared" si="1"/>
        <v>2178461</v>
      </c>
      <c r="AE135">
        <f t="shared" si="1"/>
        <v>1844122</v>
      </c>
      <c r="AF135">
        <f t="shared" si="1"/>
        <v>2112024</v>
      </c>
      <c r="AG135">
        <f t="shared" si="1"/>
        <v>2054507</v>
      </c>
      <c r="AH135">
        <f t="shared" si="1"/>
        <v>1789053</v>
      </c>
      <c r="AI135">
        <f t="shared" si="1"/>
        <v>0</v>
      </c>
      <c r="AJ135">
        <f t="shared" si="1"/>
        <v>0</v>
      </c>
      <c r="AK135">
        <f t="shared" si="1"/>
        <v>0</v>
      </c>
      <c r="AL135">
        <f t="shared" si="1"/>
        <v>0</v>
      </c>
      <c r="AM135">
        <f t="shared" si="1"/>
        <v>0</v>
      </c>
      <c r="AN135">
        <f t="shared" si="1"/>
        <v>1214315</v>
      </c>
      <c r="AO135">
        <f t="shared" si="1"/>
        <v>1346715</v>
      </c>
      <c r="AP135">
        <f t="shared" si="1"/>
        <v>1839582</v>
      </c>
      <c r="AQ135">
        <f t="shared" si="1"/>
        <v>1500342</v>
      </c>
      <c r="AR135">
        <f t="shared" si="1"/>
        <v>1666890</v>
      </c>
      <c r="AS135">
        <f t="shared" si="1"/>
        <v>2502631</v>
      </c>
      <c r="AT135">
        <f t="shared" si="1"/>
        <v>3814391</v>
      </c>
      <c r="AU135">
        <f t="shared" si="1"/>
        <v>0</v>
      </c>
      <c r="AV135">
        <f t="shared" si="1"/>
        <v>0</v>
      </c>
      <c r="AW135">
        <f t="shared" si="1"/>
        <v>5484203</v>
      </c>
      <c r="AX135">
        <f t="shared" si="1"/>
        <v>3718162</v>
      </c>
      <c r="AY135">
        <f t="shared" si="1"/>
        <v>3961384</v>
      </c>
      <c r="AZ135">
        <f t="shared" si="1"/>
        <v>4586922</v>
      </c>
      <c r="BA135">
        <f t="shared" si="1"/>
        <v>4979350</v>
      </c>
      <c r="BB135">
        <f t="shared" si="1"/>
        <v>6171910</v>
      </c>
    </row>
    <row r="137" spans="2:54">
      <c r="J137">
        <f>702648-J135</f>
        <v>0</v>
      </c>
      <c r="K137">
        <f>885851-K135</f>
        <v>0</v>
      </c>
      <c r="M137">
        <f>813700-M135</f>
        <v>0</v>
      </c>
      <c r="N137">
        <f>974581-N135</f>
        <v>0</v>
      </c>
      <c r="O137">
        <f>1162470-O135</f>
        <v>0</v>
      </c>
      <c r="P137">
        <f>1267231-P135</f>
        <v>0</v>
      </c>
      <c r="Q137">
        <f>1424864-Q135</f>
        <v>0</v>
      </c>
      <c r="R137">
        <f>1750303-R135</f>
        <v>0</v>
      </c>
      <c r="S137">
        <f>1405049-S135</f>
        <v>0</v>
      </c>
      <c r="T137">
        <f>1255755-T135</f>
        <v>0</v>
      </c>
      <c r="U137">
        <f>1290827-U135</f>
        <v>0</v>
      </c>
      <c r="AA137">
        <f>1511496-AA135</f>
        <v>0</v>
      </c>
      <c r="AB137">
        <f>1660144+289837-AB135</f>
        <v>0</v>
      </c>
      <c r="AC137">
        <f>1730643-AC135</f>
        <v>0</v>
      </c>
      <c r="AD137">
        <f>1941314+237147-AD135</f>
        <v>0</v>
      </c>
      <c r="AE137">
        <f>1844122-AE135</f>
        <v>0</v>
      </c>
      <c r="AF137">
        <f>2112024-AF135</f>
        <v>0</v>
      </c>
      <c r="AG137">
        <f>2054507-AG135</f>
        <v>0</v>
      </c>
      <c r="AH137">
        <f>1789053-AH135</f>
        <v>0</v>
      </c>
      <c r="AN137">
        <f>1214315-AN135</f>
        <v>0</v>
      </c>
      <c r="AO137">
        <f>1346715-AO135</f>
        <v>0</v>
      </c>
      <c r="AP137">
        <f>1839582-AP135</f>
        <v>0</v>
      </c>
      <c r="AQ137">
        <f>1500342-AQ135</f>
        <v>0</v>
      </c>
      <c r="AR137">
        <f>1666890-AR135</f>
        <v>0</v>
      </c>
      <c r="AS137">
        <f>2502631-AS135</f>
        <v>0</v>
      </c>
      <c r="AT137">
        <f>3230170+584221-AT135</f>
        <v>0</v>
      </c>
      <c r="AW137">
        <f>5484203-AW135</f>
        <v>0</v>
      </c>
      <c r="AX137">
        <f>3718162-AX135</f>
        <v>0</v>
      </c>
      <c r="AY137">
        <f>3961384-AY135</f>
        <v>0</v>
      </c>
      <c r="AZ137">
        <f>4586922-AZ135</f>
        <v>0</v>
      </c>
      <c r="BA137">
        <f>4979350-BA135</f>
        <v>0</v>
      </c>
      <c r="BB137">
        <f>6171910-BB135</f>
        <v>0</v>
      </c>
    </row>
    <row r="139" spans="2:54">
      <c r="AA139" t="s">
        <v>93</v>
      </c>
      <c r="AB139" t="s">
        <v>140</v>
      </c>
      <c r="AC139" t="s">
        <v>181</v>
      </c>
      <c r="AD139" t="s">
        <v>185</v>
      </c>
      <c r="AE139" t="s">
        <v>187</v>
      </c>
      <c r="AF139" t="s">
        <v>189</v>
      </c>
      <c r="AG139" t="s">
        <v>191</v>
      </c>
      <c r="AH139" t="s">
        <v>193</v>
      </c>
      <c r="AN139" t="s">
        <v>196</v>
      </c>
      <c r="AO139" t="s">
        <v>208</v>
      </c>
      <c r="AP139" t="s">
        <v>218</v>
      </c>
      <c r="AQ139" t="s">
        <v>219</v>
      </c>
      <c r="AR139" t="s">
        <v>175</v>
      </c>
      <c r="AS139" t="s">
        <v>174</v>
      </c>
      <c r="AT139" t="s">
        <v>117</v>
      </c>
      <c r="AW139" t="s">
        <v>128</v>
      </c>
      <c r="AX139" t="s">
        <v>134</v>
      </c>
      <c r="AY139" t="s">
        <v>169</v>
      </c>
      <c r="AZ139" t="s">
        <v>159</v>
      </c>
      <c r="BA139" t="s">
        <v>158</v>
      </c>
      <c r="BB139" t="s">
        <v>145</v>
      </c>
    </row>
    <row r="141" spans="2:54">
      <c r="AA141" t="s">
        <v>139</v>
      </c>
      <c r="AB141" t="s">
        <v>139</v>
      </c>
      <c r="AC141" t="s">
        <v>139</v>
      </c>
      <c r="AD141" t="s">
        <v>139</v>
      </c>
      <c r="AE141" t="s">
        <v>139</v>
      </c>
      <c r="AF141" t="s">
        <v>139</v>
      </c>
      <c r="AG141" t="s">
        <v>139</v>
      </c>
      <c r="AH141" t="s">
        <v>139</v>
      </c>
      <c r="AN141" t="s">
        <v>139</v>
      </c>
      <c r="AO141" t="s">
        <v>139</v>
      </c>
      <c r="AP141" t="s">
        <v>139</v>
      </c>
      <c r="AQ141" t="s">
        <v>139</v>
      </c>
      <c r="AR141" t="s">
        <v>118</v>
      </c>
      <c r="AS141" t="s">
        <v>118</v>
      </c>
      <c r="AT141" t="s">
        <v>118</v>
      </c>
      <c r="AW141" t="s">
        <v>118</v>
      </c>
      <c r="AX141" t="s">
        <v>118</v>
      </c>
      <c r="AY141" t="s">
        <v>118</v>
      </c>
      <c r="AZ141" t="s">
        <v>118</v>
      </c>
      <c r="BA141" t="s">
        <v>118</v>
      </c>
      <c r="BB141" t="s">
        <v>118</v>
      </c>
    </row>
  </sheetData>
  <sortState ref="B38:BB91">
    <sortCondition ref="B38:B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1"/>
  <sheetViews>
    <sheetView workbookViewId="0">
      <pane xSplit="3" ySplit="2" topLeftCell="AC69" activePane="bottomRight" state="frozen"/>
      <selection pane="topRight" activeCell="D1" sqref="D1"/>
      <selection pane="bottomLeft" activeCell="A3" sqref="A3"/>
      <selection pane="bottomRight" activeCell="AP90" sqref="AP90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>
        <v>1931</v>
      </c>
      <c r="AK1" s="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52</v>
      </c>
      <c r="AT2" t="s">
        <v>52</v>
      </c>
      <c r="AW2" t="s">
        <v>52</v>
      </c>
      <c r="AX2" t="s">
        <v>52</v>
      </c>
      <c r="AY2" t="s">
        <v>52</v>
      </c>
      <c r="AZ2" t="s">
        <v>52</v>
      </c>
      <c r="BA2" t="s">
        <v>52</v>
      </c>
      <c r="BB2" t="s">
        <v>52</v>
      </c>
    </row>
    <row r="3" spans="1:54">
      <c r="A3" t="s">
        <v>2</v>
      </c>
      <c r="B3" t="s">
        <v>3</v>
      </c>
      <c r="J3">
        <v>151754</v>
      </c>
      <c r="K3">
        <v>181614</v>
      </c>
      <c r="M3">
        <v>105493</v>
      </c>
      <c r="N3">
        <v>166175</v>
      </c>
      <c r="O3">
        <v>176543</v>
      </c>
      <c r="P3">
        <v>271192</v>
      </c>
      <c r="Q3">
        <v>261542</v>
      </c>
      <c r="R3">
        <v>213821</v>
      </c>
      <c r="S3">
        <v>326877</v>
      </c>
      <c r="T3">
        <v>592161</v>
      </c>
      <c r="U3">
        <v>712540</v>
      </c>
      <c r="AA3">
        <v>799622</v>
      </c>
      <c r="AB3">
        <v>1055764</v>
      </c>
      <c r="AC3">
        <v>1203323</v>
      </c>
      <c r="AD3">
        <v>1174535</v>
      </c>
      <c r="AE3">
        <v>721675</v>
      </c>
      <c r="AF3">
        <v>537497</v>
      </c>
      <c r="AG3">
        <v>503942</v>
      </c>
      <c r="AH3">
        <v>404501</v>
      </c>
      <c r="AN3">
        <v>1062690</v>
      </c>
      <c r="AO3">
        <v>1456701</v>
      </c>
      <c r="AP3">
        <v>1953498</v>
      </c>
      <c r="AQ3">
        <v>1434906</v>
      </c>
      <c r="AR3">
        <v>1333845</v>
      </c>
      <c r="AS3">
        <v>1961401</v>
      </c>
      <c r="AT3">
        <v>1253668</v>
      </c>
      <c r="AW3">
        <v>1095175</v>
      </c>
      <c r="AX3">
        <v>1457507</v>
      </c>
      <c r="AY3">
        <v>1499199</v>
      </c>
      <c r="AZ3">
        <f>2077514+5097</f>
        <v>2082611</v>
      </c>
      <c r="BA3">
        <f>2848884+29971</f>
        <v>2878855</v>
      </c>
      <c r="BB3">
        <v>3607387</v>
      </c>
    </row>
    <row r="4" spans="1:54">
      <c r="B4" t="s">
        <v>4</v>
      </c>
      <c r="S4">
        <v>1415</v>
      </c>
      <c r="T4">
        <v>1</v>
      </c>
      <c r="U4">
        <v>107</v>
      </c>
      <c r="AA4">
        <v>1</v>
      </c>
      <c r="AG4">
        <v>16</v>
      </c>
      <c r="AH4">
        <v>5</v>
      </c>
    </row>
    <row r="5" spans="1:54">
      <c r="B5" t="s">
        <v>5</v>
      </c>
      <c r="J5">
        <v>33498</v>
      </c>
      <c r="K5">
        <v>44516</v>
      </c>
      <c r="M5">
        <v>44722</v>
      </c>
      <c r="N5">
        <v>56735</v>
      </c>
      <c r="O5">
        <v>76645</v>
      </c>
      <c r="P5">
        <v>77157</v>
      </c>
      <c r="Q5">
        <v>107798</v>
      </c>
      <c r="R5">
        <v>103508</v>
      </c>
      <c r="S5">
        <v>78875</v>
      </c>
      <c r="T5">
        <v>65288</v>
      </c>
      <c r="U5">
        <v>105705</v>
      </c>
      <c r="AA5">
        <v>95772</v>
      </c>
      <c r="AB5">
        <v>87862</v>
      </c>
      <c r="AC5">
        <v>61390</v>
      </c>
      <c r="AD5">
        <v>58995</v>
      </c>
      <c r="AE5">
        <v>76878</v>
      </c>
      <c r="AF5">
        <v>76004</v>
      </c>
      <c r="AG5">
        <v>82779</v>
      </c>
      <c r="AH5">
        <v>63732</v>
      </c>
      <c r="AN5">
        <v>42848</v>
      </c>
      <c r="AO5">
        <v>33001</v>
      </c>
      <c r="AP5">
        <v>40168</v>
      </c>
      <c r="AQ5">
        <v>16439</v>
      </c>
      <c r="AR5">
        <v>16366</v>
      </c>
      <c r="AS5">
        <v>37162</v>
      </c>
      <c r="AT5">
        <v>30916</v>
      </c>
      <c r="AW5">
        <v>24414</v>
      </c>
      <c r="AX5">
        <v>41943</v>
      </c>
      <c r="AY5">
        <v>105603</v>
      </c>
      <c r="AZ5">
        <v>144222</v>
      </c>
      <c r="BA5">
        <v>179031</v>
      </c>
      <c r="BB5">
        <v>152094</v>
      </c>
    </row>
    <row r="6" spans="1:54">
      <c r="B6" t="s">
        <v>6</v>
      </c>
      <c r="J6">
        <v>389</v>
      </c>
      <c r="K6">
        <v>412</v>
      </c>
      <c r="M6">
        <v>719</v>
      </c>
      <c r="N6">
        <v>674</v>
      </c>
      <c r="O6">
        <v>491</v>
      </c>
      <c r="P6">
        <v>753</v>
      </c>
      <c r="Q6">
        <v>410</v>
      </c>
      <c r="R6">
        <v>602</v>
      </c>
      <c r="S6">
        <v>640</v>
      </c>
      <c r="T6">
        <v>764</v>
      </c>
      <c r="U6">
        <v>1047</v>
      </c>
      <c r="AA6">
        <v>1852</v>
      </c>
      <c r="AB6">
        <v>2749</v>
      </c>
      <c r="AC6">
        <v>2586</v>
      </c>
      <c r="AD6">
        <v>2313</v>
      </c>
      <c r="AE6">
        <v>1337</v>
      </c>
      <c r="AF6">
        <v>2293</v>
      </c>
      <c r="AG6">
        <v>1607</v>
      </c>
      <c r="AH6">
        <v>1702</v>
      </c>
      <c r="AN6">
        <v>1030</v>
      </c>
      <c r="AO6">
        <v>1317</v>
      </c>
      <c r="AP6">
        <v>2480</v>
      </c>
      <c r="AQ6">
        <v>516</v>
      </c>
      <c r="AR6">
        <v>585</v>
      </c>
      <c r="AS6">
        <v>265</v>
      </c>
      <c r="AT6">
        <v>224</v>
      </c>
      <c r="AW6">
        <v>244</v>
      </c>
      <c r="AX6">
        <v>700</v>
      </c>
      <c r="AY6">
        <v>14</v>
      </c>
      <c r="AZ6">
        <v>57</v>
      </c>
      <c r="BA6">
        <v>98</v>
      </c>
      <c r="BB6">
        <v>230</v>
      </c>
    </row>
    <row r="7" spans="1:54">
      <c r="B7" t="s">
        <v>7</v>
      </c>
      <c r="S7">
        <v>7</v>
      </c>
      <c r="T7">
        <v>14</v>
      </c>
    </row>
    <row r="8" spans="1:54">
      <c r="B8" t="s">
        <v>71</v>
      </c>
      <c r="J8">
        <v>122</v>
      </c>
      <c r="N8">
        <v>1</v>
      </c>
    </row>
    <row r="9" spans="1:54">
      <c r="B9" t="s">
        <v>70</v>
      </c>
      <c r="J9">
        <v>611</v>
      </c>
      <c r="K9">
        <v>1210</v>
      </c>
      <c r="M9">
        <v>1601</v>
      </c>
      <c r="N9">
        <v>1812</v>
      </c>
    </row>
    <row r="10" spans="1:54">
      <c r="B10" t="s">
        <v>8</v>
      </c>
      <c r="O10">
        <v>1769</v>
      </c>
      <c r="P10">
        <v>3025</v>
      </c>
      <c r="Q10">
        <v>2438</v>
      </c>
      <c r="R10">
        <v>934</v>
      </c>
      <c r="S10">
        <v>1186</v>
      </c>
      <c r="T10">
        <v>4413</v>
      </c>
      <c r="U10">
        <v>3711</v>
      </c>
      <c r="AA10">
        <v>41478</v>
      </c>
      <c r="AB10">
        <v>44299</v>
      </c>
      <c r="AC10">
        <v>57379</v>
      </c>
      <c r="AD10">
        <v>89008</v>
      </c>
      <c r="AE10">
        <v>89789</v>
      </c>
      <c r="AF10">
        <v>121008</v>
      </c>
      <c r="AG10">
        <v>134890</v>
      </c>
      <c r="AH10">
        <v>151068</v>
      </c>
      <c r="AN10">
        <v>699</v>
      </c>
      <c r="AO10">
        <v>6757</v>
      </c>
      <c r="AP10">
        <v>11332</v>
      </c>
      <c r="AQ10">
        <v>2951</v>
      </c>
      <c r="AR10">
        <v>163</v>
      </c>
      <c r="AS10">
        <v>1330</v>
      </c>
      <c r="AT10">
        <v>158</v>
      </c>
      <c r="AX10">
        <v>14088</v>
      </c>
      <c r="AY10">
        <v>43</v>
      </c>
      <c r="AZ10">
        <v>88291</v>
      </c>
      <c r="BA10">
        <v>1985</v>
      </c>
      <c r="BB10">
        <v>48931</v>
      </c>
    </row>
    <row r="11" spans="1:54">
      <c r="B11" t="s">
        <v>210</v>
      </c>
      <c r="AO11">
        <v>2637</v>
      </c>
      <c r="AP11">
        <v>2759</v>
      </c>
      <c r="AQ11">
        <v>383</v>
      </c>
    </row>
    <row r="12" spans="1:54">
      <c r="B12" t="s">
        <v>94</v>
      </c>
      <c r="AN12">
        <v>1084</v>
      </c>
      <c r="AO12">
        <v>2517</v>
      </c>
      <c r="AP12">
        <v>4692</v>
      </c>
      <c r="AQ12">
        <v>1016</v>
      </c>
      <c r="AR12">
        <v>749</v>
      </c>
      <c r="AS12">
        <v>2378</v>
      </c>
      <c r="AX12">
        <v>60</v>
      </c>
      <c r="AY12">
        <v>2517</v>
      </c>
      <c r="AZ12">
        <v>1481</v>
      </c>
      <c r="BA12">
        <v>1052</v>
      </c>
      <c r="BB12">
        <v>5673</v>
      </c>
    </row>
    <row r="13" spans="1:54">
      <c r="B13" t="s">
        <v>204</v>
      </c>
      <c r="AN13">
        <v>31</v>
      </c>
    </row>
    <row r="14" spans="1:54">
      <c r="B14" t="s">
        <v>129</v>
      </c>
      <c r="AN14">
        <v>149</v>
      </c>
      <c r="AO14">
        <v>184</v>
      </c>
      <c r="AP14">
        <v>167</v>
      </c>
      <c r="AQ14">
        <v>316</v>
      </c>
      <c r="AR14">
        <v>74</v>
      </c>
    </row>
    <row r="15" spans="1:54">
      <c r="B15" t="s">
        <v>205</v>
      </c>
      <c r="AN15">
        <v>14</v>
      </c>
    </row>
    <row r="16" spans="1:54">
      <c r="B16" t="s">
        <v>77</v>
      </c>
      <c r="AE16">
        <v>451</v>
      </c>
      <c r="AF16">
        <v>1402</v>
      </c>
      <c r="AG16">
        <v>963</v>
      </c>
      <c r="AH16">
        <v>440</v>
      </c>
      <c r="AN16">
        <v>1909</v>
      </c>
      <c r="AO16">
        <v>859</v>
      </c>
      <c r="AP16">
        <v>1613</v>
      </c>
      <c r="AQ16">
        <v>2111</v>
      </c>
      <c r="AR16">
        <v>2005</v>
      </c>
      <c r="AS16">
        <v>754</v>
      </c>
      <c r="AZ16">
        <v>5402</v>
      </c>
      <c r="BA16">
        <v>509</v>
      </c>
      <c r="BB16">
        <v>2003</v>
      </c>
    </row>
    <row r="17" spans="2:54">
      <c r="B17" t="s">
        <v>206</v>
      </c>
      <c r="AN17">
        <v>3</v>
      </c>
    </row>
    <row r="18" spans="2:54">
      <c r="B18" t="s">
        <v>103</v>
      </c>
      <c r="AE18">
        <v>122</v>
      </c>
      <c r="AF18">
        <v>1183</v>
      </c>
      <c r="AG18">
        <v>420</v>
      </c>
      <c r="AH18">
        <v>1022</v>
      </c>
      <c r="AN18">
        <v>2217</v>
      </c>
      <c r="AO18">
        <v>2986</v>
      </c>
      <c r="AP18">
        <v>3700</v>
      </c>
      <c r="AQ18">
        <v>2609</v>
      </c>
      <c r="AR18">
        <v>4391</v>
      </c>
      <c r="AS18">
        <v>7855</v>
      </c>
      <c r="AT18">
        <v>4628</v>
      </c>
      <c r="AW18">
        <v>5069</v>
      </c>
      <c r="AX18">
        <v>11072</v>
      </c>
      <c r="AY18">
        <v>7085</v>
      </c>
      <c r="AZ18">
        <v>4335</v>
      </c>
      <c r="BA18">
        <v>3829</v>
      </c>
      <c r="BB18">
        <v>7856</v>
      </c>
    </row>
    <row r="19" spans="2:54">
      <c r="B19" t="s">
        <v>9</v>
      </c>
    </row>
    <row r="20" spans="2:54">
      <c r="B20" t="s">
        <v>10</v>
      </c>
    </row>
    <row r="21" spans="2:54">
      <c r="B21" t="s">
        <v>98</v>
      </c>
      <c r="AR21">
        <v>187</v>
      </c>
      <c r="AS21">
        <v>919</v>
      </c>
      <c r="AZ21">
        <v>405</v>
      </c>
    </row>
    <row r="22" spans="2:54">
      <c r="B22" t="s">
        <v>11</v>
      </c>
    </row>
    <row r="23" spans="2:54">
      <c r="B23" t="s">
        <v>12</v>
      </c>
      <c r="AW23">
        <v>45</v>
      </c>
    </row>
    <row r="24" spans="2:54">
      <c r="B24" t="s">
        <v>13</v>
      </c>
    </row>
    <row r="25" spans="2:54">
      <c r="B25" t="s">
        <v>15</v>
      </c>
    </row>
    <row r="26" spans="2:54">
      <c r="B26" t="s">
        <v>14</v>
      </c>
    </row>
    <row r="27" spans="2:54">
      <c r="B27" t="s">
        <v>16</v>
      </c>
      <c r="AN27">
        <v>258</v>
      </c>
      <c r="AO27">
        <v>154</v>
      </c>
      <c r="AP27">
        <v>269</v>
      </c>
      <c r="AQ27">
        <v>147</v>
      </c>
      <c r="AR27">
        <v>55</v>
      </c>
      <c r="AS27">
        <v>63</v>
      </c>
      <c r="AZ27">
        <v>155</v>
      </c>
      <c r="BB27">
        <v>2397</v>
      </c>
    </row>
    <row r="28" spans="2:54">
      <c r="B28" t="s">
        <v>101</v>
      </c>
      <c r="AS28">
        <v>140</v>
      </c>
      <c r="BB28">
        <v>400</v>
      </c>
    </row>
    <row r="29" spans="2:54">
      <c r="B29" t="s">
        <v>17</v>
      </c>
      <c r="J29">
        <v>473</v>
      </c>
      <c r="K29">
        <v>332</v>
      </c>
      <c r="M29">
        <v>494</v>
      </c>
      <c r="N29">
        <v>543</v>
      </c>
      <c r="O29">
        <v>1448</v>
      </c>
      <c r="P29">
        <v>470</v>
      </c>
      <c r="Q29">
        <v>486</v>
      </c>
      <c r="R29">
        <v>183</v>
      </c>
      <c r="S29">
        <v>1431</v>
      </c>
      <c r="T29">
        <v>11191</v>
      </c>
      <c r="U29">
        <v>60166</v>
      </c>
      <c r="AA29">
        <v>3178</v>
      </c>
      <c r="AB29">
        <v>2097</v>
      </c>
      <c r="AC29">
        <v>8441</v>
      </c>
      <c r="AD29">
        <v>8909</v>
      </c>
      <c r="AE29">
        <v>5607</v>
      </c>
      <c r="AF29">
        <v>6279</v>
      </c>
      <c r="AG29">
        <v>23609</v>
      </c>
      <c r="AH29">
        <v>23326</v>
      </c>
      <c r="AN29">
        <v>1558</v>
      </c>
      <c r="AO29">
        <v>6669</v>
      </c>
      <c r="AP29">
        <v>11475</v>
      </c>
      <c r="AQ29">
        <v>3635</v>
      </c>
      <c r="AR29">
        <v>6165</v>
      </c>
      <c r="AS29">
        <v>768</v>
      </c>
      <c r="AY29">
        <v>1150</v>
      </c>
      <c r="AZ29">
        <v>3763</v>
      </c>
      <c r="BA29">
        <v>1167</v>
      </c>
      <c r="BB29">
        <v>5687</v>
      </c>
    </row>
    <row r="30" spans="2:54">
      <c r="B30" t="s">
        <v>126</v>
      </c>
      <c r="AF30">
        <v>22</v>
      </c>
    </row>
    <row r="31" spans="2:54">
      <c r="B31" t="s">
        <v>182</v>
      </c>
      <c r="AC31">
        <v>67573</v>
      </c>
      <c r="AD31">
        <v>67525</v>
      </c>
      <c r="AE31">
        <v>84080</v>
      </c>
    </row>
    <row r="32" spans="2:54">
      <c r="B32" t="s">
        <v>18</v>
      </c>
      <c r="J32">
        <v>202259</v>
      </c>
      <c r="K32">
        <v>231824</v>
      </c>
      <c r="M32">
        <v>302658</v>
      </c>
      <c r="N32">
        <v>421147</v>
      </c>
      <c r="O32">
        <v>585314</v>
      </c>
      <c r="P32">
        <v>523486</v>
      </c>
      <c r="Q32">
        <v>670961</v>
      </c>
      <c r="R32">
        <v>821408</v>
      </c>
      <c r="S32">
        <v>312107</v>
      </c>
      <c r="AA32">
        <v>10356</v>
      </c>
      <c r="AB32">
        <v>38873</v>
      </c>
      <c r="AC32">
        <v>25030</v>
      </c>
      <c r="AD32">
        <v>160120</v>
      </c>
      <c r="AE32">
        <v>507820</v>
      </c>
      <c r="AF32">
        <v>650455</v>
      </c>
      <c r="AG32">
        <v>727825</v>
      </c>
      <c r="AH32">
        <v>448089</v>
      </c>
      <c r="AN32">
        <v>178804</v>
      </c>
      <c r="AO32">
        <v>352617</v>
      </c>
      <c r="AP32">
        <v>443216</v>
      </c>
      <c r="AQ32">
        <v>130338</v>
      </c>
      <c r="AR32">
        <v>166671</v>
      </c>
      <c r="BA32">
        <v>88817</v>
      </c>
      <c r="BB32">
        <v>120808</v>
      </c>
    </row>
    <row r="33" spans="2:54">
      <c r="B33" t="s">
        <v>19</v>
      </c>
      <c r="R33">
        <v>5</v>
      </c>
      <c r="S33">
        <v>20</v>
      </c>
      <c r="U33">
        <v>141</v>
      </c>
      <c r="AA33">
        <v>558</v>
      </c>
      <c r="AB33">
        <v>190</v>
      </c>
      <c r="AC33">
        <v>66</v>
      </c>
      <c r="AD33">
        <v>82</v>
      </c>
      <c r="AE33">
        <v>39</v>
      </c>
      <c r="AF33">
        <v>199</v>
      </c>
      <c r="AG33">
        <v>329</v>
      </c>
      <c r="AH33">
        <v>1</v>
      </c>
    </row>
    <row r="34" spans="2:54">
      <c r="B34" t="s">
        <v>20</v>
      </c>
      <c r="AA34">
        <v>4493</v>
      </c>
      <c r="AB34">
        <v>39</v>
      </c>
      <c r="AC34">
        <v>7104</v>
      </c>
      <c r="AD34">
        <v>1308</v>
      </c>
      <c r="AE34">
        <v>13439</v>
      </c>
      <c r="AF34">
        <v>6977</v>
      </c>
      <c r="AG34">
        <v>5315</v>
      </c>
      <c r="AH34">
        <v>107674</v>
      </c>
      <c r="AN34">
        <v>124589</v>
      </c>
      <c r="AO34">
        <v>264646</v>
      </c>
      <c r="AP34">
        <v>180065</v>
      </c>
      <c r="AQ34">
        <v>587798</v>
      </c>
      <c r="AR34">
        <v>503561</v>
      </c>
      <c r="AY34">
        <v>1650</v>
      </c>
      <c r="AZ34">
        <v>1833</v>
      </c>
      <c r="BA34">
        <v>26670</v>
      </c>
      <c r="BB34">
        <v>2576</v>
      </c>
    </row>
    <row r="35" spans="2:54">
      <c r="B35" t="s">
        <v>21</v>
      </c>
      <c r="Q35">
        <v>4</v>
      </c>
      <c r="U35">
        <v>17372</v>
      </c>
      <c r="AA35">
        <v>19052</v>
      </c>
      <c r="AB35">
        <v>52355</v>
      </c>
      <c r="AC35">
        <v>69944</v>
      </c>
      <c r="AD35">
        <v>57831</v>
      </c>
      <c r="AE35">
        <v>46704</v>
      </c>
      <c r="AF35">
        <v>32684</v>
      </c>
      <c r="AG35">
        <v>29655</v>
      </c>
      <c r="AH35">
        <v>42421</v>
      </c>
      <c r="AN35">
        <v>38842</v>
      </c>
      <c r="AO35">
        <v>22479</v>
      </c>
      <c r="AP35">
        <v>63007</v>
      </c>
      <c r="AQ35">
        <v>43835</v>
      </c>
      <c r="AR35">
        <v>42028</v>
      </c>
      <c r="AS35">
        <v>92546</v>
      </c>
      <c r="AT35">
        <v>82910</v>
      </c>
      <c r="AW35">
        <v>7085</v>
      </c>
      <c r="AX35">
        <v>90097</v>
      </c>
      <c r="AY35">
        <v>191898</v>
      </c>
      <c r="AZ35">
        <v>183815</v>
      </c>
      <c r="BA35">
        <v>109320</v>
      </c>
      <c r="BB35">
        <v>239168</v>
      </c>
    </row>
    <row r="36" spans="2:54">
      <c r="B36" t="s">
        <v>22</v>
      </c>
      <c r="J36">
        <v>9615</v>
      </c>
      <c r="K36">
        <v>17578</v>
      </c>
      <c r="M36">
        <v>11652</v>
      </c>
      <c r="N36">
        <v>16948</v>
      </c>
      <c r="O36">
        <v>24005</v>
      </c>
      <c r="P36">
        <v>16414</v>
      </c>
      <c r="Q36">
        <v>21345</v>
      </c>
      <c r="R36">
        <v>28936</v>
      </c>
      <c r="S36">
        <v>25864</v>
      </c>
      <c r="T36">
        <v>4619</v>
      </c>
      <c r="U36">
        <v>3373</v>
      </c>
    </row>
    <row r="37" spans="2:54">
      <c r="B37" t="s">
        <v>23</v>
      </c>
      <c r="J37">
        <v>1006</v>
      </c>
      <c r="K37">
        <v>378</v>
      </c>
      <c r="M37">
        <v>978</v>
      </c>
      <c r="N37">
        <v>1079</v>
      </c>
      <c r="O37">
        <v>1021</v>
      </c>
      <c r="P37">
        <v>170</v>
      </c>
      <c r="Q37">
        <v>470</v>
      </c>
      <c r="R37">
        <v>304</v>
      </c>
      <c r="S37">
        <v>146</v>
      </c>
    </row>
    <row r="38" spans="2:54">
      <c r="B38" t="s">
        <v>24</v>
      </c>
    </row>
    <row r="39" spans="2:54">
      <c r="B39" t="s">
        <v>25</v>
      </c>
    </row>
    <row r="40" spans="2:54">
      <c r="B40" t="s">
        <v>53</v>
      </c>
      <c r="S40">
        <v>492</v>
      </c>
    </row>
    <row r="41" spans="2:54">
      <c r="B41" t="s">
        <v>26</v>
      </c>
      <c r="N41">
        <v>8008</v>
      </c>
      <c r="O41">
        <v>4926</v>
      </c>
      <c r="P41">
        <v>4724</v>
      </c>
      <c r="Q41">
        <v>1692</v>
      </c>
      <c r="R41">
        <v>2035</v>
      </c>
      <c r="S41">
        <v>2155</v>
      </c>
      <c r="T41">
        <v>4534</v>
      </c>
      <c r="U41">
        <v>6196</v>
      </c>
    </row>
    <row r="42" spans="2:54">
      <c r="B42" t="s">
        <v>27</v>
      </c>
      <c r="N42">
        <v>293</v>
      </c>
      <c r="O42">
        <v>68</v>
      </c>
      <c r="P42">
        <v>9</v>
      </c>
      <c r="Q42">
        <v>41</v>
      </c>
      <c r="R42">
        <v>40</v>
      </c>
      <c r="AF42">
        <v>2</v>
      </c>
    </row>
    <row r="43" spans="2:54">
      <c r="B43" t="s">
        <v>72</v>
      </c>
      <c r="AH43">
        <v>2649</v>
      </c>
      <c r="AQ43">
        <v>367</v>
      </c>
    </row>
    <row r="44" spans="2:54">
      <c r="B44" t="s">
        <v>28</v>
      </c>
      <c r="N44">
        <v>75</v>
      </c>
      <c r="O44">
        <v>20</v>
      </c>
      <c r="P44">
        <v>24</v>
      </c>
      <c r="Q44">
        <v>32</v>
      </c>
      <c r="R44">
        <v>31</v>
      </c>
      <c r="S44">
        <v>14</v>
      </c>
      <c r="U44">
        <v>25</v>
      </c>
      <c r="AQ44">
        <v>3</v>
      </c>
    </row>
    <row r="45" spans="2:54">
      <c r="B45" t="s">
        <v>29</v>
      </c>
      <c r="N45">
        <v>6613</v>
      </c>
      <c r="O45">
        <v>5261</v>
      </c>
      <c r="P45">
        <v>4139</v>
      </c>
      <c r="Q45">
        <v>5054</v>
      </c>
      <c r="R45">
        <v>4340</v>
      </c>
      <c r="S45">
        <v>4440</v>
      </c>
      <c r="T45">
        <v>2178</v>
      </c>
      <c r="U45">
        <v>16</v>
      </c>
      <c r="AA45">
        <v>2552</v>
      </c>
      <c r="AB45">
        <v>1904</v>
      </c>
      <c r="AF45">
        <v>2585</v>
      </c>
      <c r="AG45">
        <v>2925</v>
      </c>
      <c r="AH45">
        <v>2402</v>
      </c>
      <c r="AS45">
        <v>2453</v>
      </c>
      <c r="AT45">
        <v>1674</v>
      </c>
      <c r="AW45">
        <v>7908</v>
      </c>
      <c r="AX45">
        <v>3735</v>
      </c>
      <c r="AY45">
        <v>4664</v>
      </c>
      <c r="AZ45">
        <v>6298</v>
      </c>
      <c r="BA45">
        <v>5224</v>
      </c>
      <c r="BB45">
        <v>2478</v>
      </c>
    </row>
    <row r="46" spans="2:54">
      <c r="B46" t="s">
        <v>30</v>
      </c>
      <c r="N46">
        <v>459</v>
      </c>
      <c r="O46">
        <v>523</v>
      </c>
      <c r="P46">
        <v>210</v>
      </c>
      <c r="Q46">
        <v>507</v>
      </c>
      <c r="R46">
        <v>367</v>
      </c>
      <c r="S46">
        <v>169</v>
      </c>
      <c r="T46">
        <v>133</v>
      </c>
      <c r="U46">
        <v>235</v>
      </c>
      <c r="AA46">
        <v>25</v>
      </c>
      <c r="AB46">
        <v>1</v>
      </c>
      <c r="AG46">
        <v>5</v>
      </c>
      <c r="AH46">
        <v>22</v>
      </c>
    </row>
    <row r="47" spans="2:54">
      <c r="B47" t="s">
        <v>31</v>
      </c>
    </row>
    <row r="48" spans="2:54">
      <c r="B48" t="s">
        <v>32</v>
      </c>
      <c r="J48">
        <v>301</v>
      </c>
      <c r="K48">
        <v>738</v>
      </c>
      <c r="M48">
        <v>1285</v>
      </c>
      <c r="N48">
        <v>1057</v>
      </c>
      <c r="O48">
        <v>424</v>
      </c>
      <c r="P48">
        <v>546</v>
      </c>
      <c r="Q48">
        <v>1285</v>
      </c>
      <c r="R48">
        <v>824</v>
      </c>
      <c r="S48">
        <v>1065</v>
      </c>
      <c r="T48">
        <v>1463</v>
      </c>
      <c r="U48">
        <v>427</v>
      </c>
      <c r="AA48">
        <v>1387</v>
      </c>
      <c r="AB48">
        <v>1630</v>
      </c>
      <c r="AC48">
        <v>1422</v>
      </c>
      <c r="AD48">
        <v>1562</v>
      </c>
      <c r="AE48">
        <v>2197</v>
      </c>
      <c r="AF48">
        <v>5641</v>
      </c>
      <c r="AG48">
        <v>7373</v>
      </c>
      <c r="AH48">
        <v>1613</v>
      </c>
      <c r="AN48">
        <v>703</v>
      </c>
      <c r="AO48">
        <v>66</v>
      </c>
      <c r="AP48">
        <v>96</v>
      </c>
      <c r="AQ48">
        <v>194</v>
      </c>
      <c r="AR48">
        <v>1300</v>
      </c>
      <c r="AS48">
        <v>18</v>
      </c>
      <c r="AT48">
        <v>8</v>
      </c>
      <c r="AX48">
        <v>1</v>
      </c>
      <c r="AY48">
        <v>103</v>
      </c>
      <c r="AZ48">
        <v>392</v>
      </c>
      <c r="BA48">
        <v>1472</v>
      </c>
      <c r="BB48">
        <v>1709</v>
      </c>
    </row>
    <row r="49" spans="2:54">
      <c r="B49" t="s">
        <v>115</v>
      </c>
      <c r="AS49">
        <v>275</v>
      </c>
      <c r="AT49">
        <v>404</v>
      </c>
    </row>
    <row r="50" spans="2:54">
      <c r="B50" t="s">
        <v>121</v>
      </c>
      <c r="AS50">
        <v>3049</v>
      </c>
      <c r="AT50">
        <v>513</v>
      </c>
      <c r="AX50">
        <v>900</v>
      </c>
      <c r="AZ50">
        <v>900</v>
      </c>
      <c r="BA50">
        <v>2760</v>
      </c>
      <c r="BB50">
        <v>250</v>
      </c>
    </row>
    <row r="51" spans="2:54">
      <c r="B51" t="s">
        <v>85</v>
      </c>
      <c r="AA51">
        <v>3743</v>
      </c>
      <c r="AB51">
        <v>6335</v>
      </c>
      <c r="AC51">
        <v>5937</v>
      </c>
      <c r="AD51">
        <v>5286</v>
      </c>
      <c r="AE51">
        <v>3484</v>
      </c>
      <c r="AF51">
        <v>3480</v>
      </c>
      <c r="AG51">
        <v>2709</v>
      </c>
      <c r="AH51">
        <v>3389</v>
      </c>
    </row>
    <row r="52" spans="2:54">
      <c r="B52" t="s">
        <v>33</v>
      </c>
    </row>
    <row r="53" spans="2:54">
      <c r="B53" t="s">
        <v>64</v>
      </c>
      <c r="R53">
        <v>47</v>
      </c>
    </row>
    <row r="54" spans="2:54">
      <c r="B54" t="s">
        <v>34</v>
      </c>
      <c r="J54">
        <v>22816</v>
      </c>
      <c r="K54">
        <v>33204</v>
      </c>
      <c r="M54">
        <v>42427</v>
      </c>
      <c r="N54">
        <v>72899</v>
      </c>
      <c r="O54">
        <v>86118</v>
      </c>
      <c r="P54">
        <v>97236</v>
      </c>
      <c r="Q54">
        <v>147120</v>
      </c>
      <c r="R54">
        <v>196464</v>
      </c>
      <c r="S54">
        <v>155249</v>
      </c>
      <c r="T54">
        <v>165421</v>
      </c>
      <c r="U54">
        <v>189160</v>
      </c>
    </row>
    <row r="55" spans="2:54">
      <c r="B55" t="s">
        <v>60</v>
      </c>
      <c r="J55">
        <v>2563</v>
      </c>
      <c r="K55">
        <v>3526</v>
      </c>
      <c r="M55">
        <v>2705</v>
      </c>
      <c r="N55">
        <v>110</v>
      </c>
      <c r="O55">
        <v>178</v>
      </c>
      <c r="P55">
        <v>156</v>
      </c>
      <c r="Q55">
        <v>38</v>
      </c>
      <c r="R55">
        <v>10</v>
      </c>
    </row>
    <row r="56" spans="2:54">
      <c r="B56" t="s">
        <v>35</v>
      </c>
      <c r="J56">
        <v>5236</v>
      </c>
      <c r="K56">
        <v>3795</v>
      </c>
      <c r="M56">
        <v>4702</v>
      </c>
      <c r="N56">
        <v>3622</v>
      </c>
      <c r="O56">
        <v>2859</v>
      </c>
      <c r="P56">
        <v>4383</v>
      </c>
      <c r="Q56">
        <v>1427</v>
      </c>
      <c r="R56">
        <v>2624</v>
      </c>
      <c r="S56">
        <v>21203</v>
      </c>
      <c r="T56">
        <v>32</v>
      </c>
    </row>
    <row r="57" spans="2:54">
      <c r="B57" t="s">
        <v>36</v>
      </c>
      <c r="J57">
        <v>432</v>
      </c>
      <c r="K57">
        <v>468</v>
      </c>
      <c r="M57">
        <v>165</v>
      </c>
      <c r="N57">
        <v>1665</v>
      </c>
      <c r="O57">
        <v>9</v>
      </c>
      <c r="P57">
        <v>386</v>
      </c>
      <c r="Q57">
        <v>262</v>
      </c>
      <c r="R57">
        <v>36</v>
      </c>
      <c r="T57">
        <v>61</v>
      </c>
    </row>
    <row r="58" spans="2:54">
      <c r="B58" t="s">
        <v>83</v>
      </c>
      <c r="AA58">
        <v>68622</v>
      </c>
      <c r="AB58">
        <v>52464</v>
      </c>
      <c r="AF58">
        <v>74784</v>
      </c>
      <c r="AG58">
        <v>66428</v>
      </c>
      <c r="AH58">
        <v>51941</v>
      </c>
      <c r="AS58">
        <v>4865</v>
      </c>
      <c r="AW58">
        <v>2000</v>
      </c>
      <c r="AY58">
        <v>1501</v>
      </c>
    </row>
    <row r="59" spans="2:54">
      <c r="B59" t="s">
        <v>37</v>
      </c>
    </row>
    <row r="60" spans="2:54">
      <c r="B60" t="s">
        <v>88</v>
      </c>
      <c r="AA60">
        <v>13</v>
      </c>
      <c r="AB60">
        <v>5</v>
      </c>
      <c r="AC60">
        <v>3</v>
      </c>
      <c r="AD60">
        <v>6</v>
      </c>
      <c r="AF60">
        <v>17</v>
      </c>
      <c r="AG60">
        <v>1</v>
      </c>
      <c r="AH60">
        <v>43</v>
      </c>
    </row>
    <row r="61" spans="2:54">
      <c r="B61" t="s">
        <v>38</v>
      </c>
      <c r="AF61">
        <v>95</v>
      </c>
    </row>
    <row r="62" spans="2:54">
      <c r="B62" t="s">
        <v>39</v>
      </c>
      <c r="O62">
        <v>3</v>
      </c>
      <c r="AA62">
        <v>16663</v>
      </c>
      <c r="AB62">
        <v>426</v>
      </c>
      <c r="AC62">
        <v>100</v>
      </c>
      <c r="AD62">
        <v>329</v>
      </c>
      <c r="AE62">
        <v>2239</v>
      </c>
      <c r="AF62">
        <v>102</v>
      </c>
      <c r="AG62">
        <v>2158</v>
      </c>
      <c r="AH62">
        <v>1392</v>
      </c>
      <c r="AN62">
        <v>17761</v>
      </c>
      <c r="AO62">
        <v>6206</v>
      </c>
      <c r="AP62">
        <v>3431</v>
      </c>
      <c r="AQ62">
        <v>2742</v>
      </c>
      <c r="AR62">
        <v>4085</v>
      </c>
      <c r="AY62">
        <v>4698</v>
      </c>
      <c r="AZ62">
        <v>3272</v>
      </c>
      <c r="BA62">
        <v>4988</v>
      </c>
      <c r="BB62">
        <v>24570</v>
      </c>
    </row>
    <row r="63" spans="2:54">
      <c r="B63" t="s">
        <v>107</v>
      </c>
      <c r="BA63">
        <v>340</v>
      </c>
    </row>
    <row r="64" spans="2:54">
      <c r="B64" t="s">
        <v>82</v>
      </c>
      <c r="AA64">
        <v>415</v>
      </c>
      <c r="AB64">
        <v>117</v>
      </c>
      <c r="AC64">
        <v>55</v>
      </c>
      <c r="AD64">
        <v>107</v>
      </c>
      <c r="AF64">
        <v>1</v>
      </c>
      <c r="AG64">
        <v>2</v>
      </c>
      <c r="AH64">
        <v>119</v>
      </c>
      <c r="AN64">
        <v>3</v>
      </c>
      <c r="AO64">
        <v>2</v>
      </c>
      <c r="AP64">
        <v>15</v>
      </c>
      <c r="AQ64">
        <v>264</v>
      </c>
      <c r="AY64">
        <v>68</v>
      </c>
      <c r="BA64">
        <v>390</v>
      </c>
    </row>
    <row r="65" spans="2:54">
      <c r="B65" t="s">
        <v>179</v>
      </c>
      <c r="AQ65">
        <v>2128</v>
      </c>
      <c r="AR65">
        <v>3488</v>
      </c>
    </row>
    <row r="66" spans="2:54">
      <c r="B66" t="s">
        <v>216</v>
      </c>
      <c r="AP66">
        <v>931</v>
      </c>
    </row>
    <row r="67" spans="2:54">
      <c r="B67" t="s">
        <v>40</v>
      </c>
      <c r="AG67">
        <v>3624</v>
      </c>
      <c r="AH67">
        <v>11900</v>
      </c>
      <c r="AN67">
        <v>49697</v>
      </c>
      <c r="AO67">
        <v>34607</v>
      </c>
      <c r="AP67">
        <v>15500</v>
      </c>
      <c r="AQ67">
        <v>17367</v>
      </c>
      <c r="AR67">
        <v>3144</v>
      </c>
      <c r="AY67">
        <v>18071</v>
      </c>
      <c r="AZ67">
        <v>2733</v>
      </c>
      <c r="BA67">
        <v>9283</v>
      </c>
      <c r="BB67">
        <v>3040</v>
      </c>
    </row>
    <row r="68" spans="2:54">
      <c r="B68" t="s">
        <v>41</v>
      </c>
      <c r="AE68">
        <v>6664</v>
      </c>
      <c r="AF68">
        <v>4367</v>
      </c>
      <c r="AG68">
        <v>12782</v>
      </c>
      <c r="AN68">
        <v>10812</v>
      </c>
      <c r="AQ68">
        <v>1115</v>
      </c>
      <c r="AR68">
        <v>213</v>
      </c>
      <c r="AS68">
        <v>601</v>
      </c>
      <c r="BA68">
        <v>682</v>
      </c>
      <c r="BB68">
        <v>3711</v>
      </c>
    </row>
    <row r="69" spans="2:54">
      <c r="B69" t="s">
        <v>42</v>
      </c>
      <c r="AP69">
        <v>194</v>
      </c>
    </row>
    <row r="70" spans="2:54">
      <c r="B70" t="s">
        <v>150</v>
      </c>
      <c r="AN70">
        <v>12427</v>
      </c>
      <c r="AO70">
        <v>17530</v>
      </c>
      <c r="AP70">
        <v>60922</v>
      </c>
      <c r="AQ70">
        <v>72588</v>
      </c>
      <c r="AR70">
        <v>45834</v>
      </c>
      <c r="BB70">
        <v>330</v>
      </c>
    </row>
    <row r="71" spans="2:54">
      <c r="B71" t="s">
        <v>57</v>
      </c>
      <c r="AQ71">
        <v>1628</v>
      </c>
    </row>
    <row r="72" spans="2:54">
      <c r="B72" t="s">
        <v>43</v>
      </c>
    </row>
    <row r="73" spans="2:54">
      <c r="B73" t="s">
        <v>44</v>
      </c>
      <c r="AO73">
        <v>232</v>
      </c>
      <c r="AP73">
        <v>537</v>
      </c>
      <c r="AQ73">
        <v>103</v>
      </c>
      <c r="AR73">
        <v>170</v>
      </c>
      <c r="AY73">
        <v>1113</v>
      </c>
      <c r="AZ73">
        <v>846</v>
      </c>
      <c r="BA73">
        <v>536</v>
      </c>
      <c r="BB73">
        <v>680</v>
      </c>
    </row>
    <row r="74" spans="2:54">
      <c r="B74" t="s">
        <v>45</v>
      </c>
      <c r="AB74">
        <v>5</v>
      </c>
      <c r="AG74">
        <v>2</v>
      </c>
      <c r="AN74">
        <v>2</v>
      </c>
      <c r="AP74">
        <v>1</v>
      </c>
    </row>
    <row r="75" spans="2:54">
      <c r="B75" t="s">
        <v>131</v>
      </c>
      <c r="AN75">
        <v>28</v>
      </c>
      <c r="AO75">
        <v>224</v>
      </c>
      <c r="AP75">
        <v>237</v>
      </c>
      <c r="AQ75">
        <v>412</v>
      </c>
      <c r="AR75">
        <v>273</v>
      </c>
      <c r="AS75">
        <v>227</v>
      </c>
    </row>
    <row r="76" spans="2:54">
      <c r="B76" t="s">
        <v>214</v>
      </c>
      <c r="AQ76">
        <v>82</v>
      </c>
    </row>
    <row r="77" spans="2:54">
      <c r="B77" t="s">
        <v>46</v>
      </c>
    </row>
    <row r="78" spans="2:54">
      <c r="B78" t="s">
        <v>63</v>
      </c>
      <c r="R78">
        <v>36</v>
      </c>
      <c r="AG78">
        <v>255</v>
      </c>
      <c r="AN78">
        <v>287</v>
      </c>
      <c r="AO78">
        <v>553</v>
      </c>
      <c r="AP78">
        <v>155</v>
      </c>
      <c r="AQ78">
        <v>41</v>
      </c>
      <c r="AY78">
        <v>521</v>
      </c>
    </row>
    <row r="79" spans="2:54">
      <c r="B79" t="s">
        <v>47</v>
      </c>
    </row>
    <row r="80" spans="2:54">
      <c r="B80" t="s">
        <v>48</v>
      </c>
      <c r="J80">
        <v>10</v>
      </c>
      <c r="P80">
        <v>78</v>
      </c>
      <c r="Q80">
        <v>4</v>
      </c>
      <c r="R80">
        <v>33</v>
      </c>
      <c r="S80">
        <v>11</v>
      </c>
      <c r="T80">
        <v>328</v>
      </c>
      <c r="U80">
        <v>841</v>
      </c>
    </row>
    <row r="81" spans="2:54">
      <c r="B81" t="s">
        <v>49</v>
      </c>
    </row>
    <row r="82" spans="2:54">
      <c r="B82" t="s">
        <v>50</v>
      </c>
    </row>
    <row r="83" spans="2:54">
      <c r="B83" t="s">
        <v>138</v>
      </c>
      <c r="AN83">
        <v>850</v>
      </c>
      <c r="AO83">
        <v>1715</v>
      </c>
      <c r="AP83">
        <v>3157</v>
      </c>
      <c r="AQ83">
        <v>3011</v>
      </c>
      <c r="AR83">
        <v>1487</v>
      </c>
      <c r="AS83">
        <v>488</v>
      </c>
    </row>
    <row r="84" spans="2:54">
      <c r="B84" t="s">
        <v>55</v>
      </c>
      <c r="AH84">
        <v>2</v>
      </c>
      <c r="AO84">
        <v>4</v>
      </c>
      <c r="AP84">
        <v>135</v>
      </c>
      <c r="AQ84">
        <v>77</v>
      </c>
      <c r="AR84">
        <v>164</v>
      </c>
    </row>
    <row r="85" spans="2:54">
      <c r="B85" t="s">
        <v>51</v>
      </c>
      <c r="Q85">
        <v>30</v>
      </c>
      <c r="R85">
        <v>15</v>
      </c>
      <c r="S85">
        <v>18</v>
      </c>
      <c r="T85">
        <v>150</v>
      </c>
      <c r="U85">
        <v>784</v>
      </c>
    </row>
    <row r="86" spans="2:54">
      <c r="B86" t="s">
        <v>74</v>
      </c>
      <c r="J86">
        <v>183</v>
      </c>
      <c r="K86">
        <v>531</v>
      </c>
      <c r="M86">
        <v>1029</v>
      </c>
    </row>
    <row r="87" spans="2:54">
      <c r="B87" t="s">
        <v>75</v>
      </c>
      <c r="J87">
        <v>4538</v>
      </c>
      <c r="K87">
        <v>6216</v>
      </c>
      <c r="M87">
        <v>9219</v>
      </c>
    </row>
    <row r="88" spans="2:54">
      <c r="B88" t="s">
        <v>141</v>
      </c>
      <c r="AN88">
        <v>2926</v>
      </c>
      <c r="AO88">
        <v>5486</v>
      </c>
      <c r="AP88">
        <v>7007</v>
      </c>
      <c r="AQ88">
        <v>12788</v>
      </c>
      <c r="AR88">
        <v>33681</v>
      </c>
    </row>
    <row r="89" spans="2:54">
      <c r="B89" t="s">
        <v>143</v>
      </c>
      <c r="AN89">
        <v>4568</v>
      </c>
      <c r="AO89">
        <v>4769</v>
      </c>
      <c r="AP89">
        <v>9218</v>
      </c>
      <c r="AQ89">
        <v>2285</v>
      </c>
      <c r="AR89">
        <v>1037</v>
      </c>
    </row>
    <row r="90" spans="2:54">
      <c r="B90" t="s">
        <v>142</v>
      </c>
      <c r="AN90">
        <v>27</v>
      </c>
      <c r="AR90">
        <v>1</v>
      </c>
    </row>
    <row r="91" spans="2:54">
      <c r="B91" t="s">
        <v>154</v>
      </c>
      <c r="AZ91">
        <v>36</v>
      </c>
      <c r="BA91">
        <v>388</v>
      </c>
      <c r="BB91">
        <v>63</v>
      </c>
    </row>
    <row r="92" spans="2:54">
      <c r="B92" t="s">
        <v>89</v>
      </c>
      <c r="AA92">
        <v>21</v>
      </c>
      <c r="AT92">
        <v>549</v>
      </c>
      <c r="AW92">
        <v>1829</v>
      </c>
      <c r="AX92">
        <v>1805</v>
      </c>
      <c r="AY92">
        <v>201</v>
      </c>
    </row>
    <row r="93" spans="2:54">
      <c r="B93" t="s">
        <v>153</v>
      </c>
      <c r="BA93">
        <v>8403</v>
      </c>
      <c r="BB93">
        <v>11058</v>
      </c>
    </row>
    <row r="95" spans="2:54">
      <c r="F95">
        <f t="shared" ref="F95:AK95" si="0">SUM(F3:F94)</f>
        <v>0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435806</v>
      </c>
      <c r="K95">
        <f t="shared" si="0"/>
        <v>526342</v>
      </c>
      <c r="L95">
        <f t="shared" si="0"/>
        <v>0</v>
      </c>
      <c r="M95">
        <f t="shared" si="0"/>
        <v>529849</v>
      </c>
      <c r="N95">
        <f t="shared" si="0"/>
        <v>759915</v>
      </c>
      <c r="O95">
        <f t="shared" si="0"/>
        <v>967625</v>
      </c>
      <c r="P95">
        <f t="shared" si="0"/>
        <v>1004558</v>
      </c>
      <c r="Q95">
        <f t="shared" si="0"/>
        <v>1222946</v>
      </c>
      <c r="R95">
        <f t="shared" si="0"/>
        <v>1376603</v>
      </c>
      <c r="S95">
        <f t="shared" si="0"/>
        <v>933384</v>
      </c>
      <c r="T95">
        <f t="shared" si="0"/>
        <v>852751</v>
      </c>
      <c r="U95">
        <f t="shared" si="0"/>
        <v>1101846</v>
      </c>
      <c r="V95">
        <f t="shared" si="0"/>
        <v>0</v>
      </c>
      <c r="W95">
        <f t="shared" si="0"/>
        <v>0</v>
      </c>
      <c r="X95">
        <f t="shared" si="0"/>
        <v>0</v>
      </c>
      <c r="Y95">
        <f t="shared" si="0"/>
        <v>0</v>
      </c>
      <c r="Z95">
        <f t="shared" si="0"/>
        <v>0</v>
      </c>
      <c r="AA95">
        <f t="shared" si="0"/>
        <v>1069803</v>
      </c>
      <c r="AB95">
        <f t="shared" si="0"/>
        <v>1347115</v>
      </c>
      <c r="AC95">
        <f t="shared" si="0"/>
        <v>1510353</v>
      </c>
      <c r="AD95">
        <f t="shared" si="0"/>
        <v>1627916</v>
      </c>
      <c r="AE95">
        <f t="shared" si="0"/>
        <v>1562525</v>
      </c>
      <c r="AF95">
        <f t="shared" si="0"/>
        <v>1527077</v>
      </c>
      <c r="AG95">
        <f t="shared" si="0"/>
        <v>1609614</v>
      </c>
      <c r="AH95">
        <f t="shared" si="0"/>
        <v>1319453</v>
      </c>
      <c r="AI95">
        <f t="shared" si="0"/>
        <v>0</v>
      </c>
      <c r="AJ95">
        <f t="shared" si="0"/>
        <v>0</v>
      </c>
      <c r="AK95">
        <f t="shared" si="0"/>
        <v>0</v>
      </c>
      <c r="AL95">
        <f t="shared" ref="AL95:BB95" si="1">SUM(AL3:AL94)</f>
        <v>0</v>
      </c>
      <c r="AM95">
        <f t="shared" si="1"/>
        <v>0</v>
      </c>
      <c r="AN95">
        <f t="shared" si="1"/>
        <v>1556816</v>
      </c>
      <c r="AO95">
        <f t="shared" si="1"/>
        <v>2224918</v>
      </c>
      <c r="AP95">
        <f t="shared" si="1"/>
        <v>2819977</v>
      </c>
      <c r="AQ95">
        <f t="shared" si="1"/>
        <v>2344195</v>
      </c>
      <c r="AR95">
        <f t="shared" si="1"/>
        <v>2171722</v>
      </c>
      <c r="AS95">
        <f t="shared" si="1"/>
        <v>2117557</v>
      </c>
      <c r="AT95">
        <f t="shared" si="1"/>
        <v>1375652</v>
      </c>
      <c r="AU95">
        <f t="shared" si="1"/>
        <v>0</v>
      </c>
      <c r="AV95">
        <f t="shared" si="1"/>
        <v>0</v>
      </c>
      <c r="AW95">
        <f t="shared" si="1"/>
        <v>1143769</v>
      </c>
      <c r="AX95">
        <f t="shared" si="1"/>
        <v>1621908</v>
      </c>
      <c r="AY95">
        <f t="shared" si="1"/>
        <v>1840099</v>
      </c>
      <c r="AZ95">
        <f t="shared" si="1"/>
        <v>2530847</v>
      </c>
      <c r="BA95">
        <f t="shared" si="1"/>
        <v>3325799</v>
      </c>
      <c r="BB95">
        <f t="shared" si="1"/>
        <v>4243099</v>
      </c>
    </row>
    <row r="97" spans="10:54">
      <c r="J97">
        <f>435806-J95</f>
        <v>0</v>
      </c>
      <c r="K97">
        <f>526342-K95</f>
        <v>0</v>
      </c>
      <c r="M97">
        <f>529849-M95</f>
        <v>0</v>
      </c>
      <c r="N97">
        <f>759915-N95</f>
        <v>0</v>
      </c>
      <c r="O97">
        <f>967625-O95</f>
        <v>0</v>
      </c>
      <c r="P97">
        <f>1004558-P95</f>
        <v>0</v>
      </c>
      <c r="Q97">
        <f>1222946-Q95</f>
        <v>0</v>
      </c>
      <c r="R97">
        <f>1376603-R95</f>
        <v>0</v>
      </c>
      <c r="S97">
        <f>933384-S95</f>
        <v>0</v>
      </c>
      <c r="T97">
        <f>852751-T95</f>
        <v>0</v>
      </c>
      <c r="U97">
        <f>1101846-U95</f>
        <v>0</v>
      </c>
      <c r="AA97">
        <f>1069803-AA95</f>
        <v>0</v>
      </c>
      <c r="AB97">
        <f>1347115-AB95</f>
        <v>0</v>
      </c>
      <c r="AC97">
        <f>1510353-AC95</f>
        <v>0</v>
      </c>
      <c r="AD97">
        <f>1627916-AD95</f>
        <v>0</v>
      </c>
      <c r="AE97">
        <f>1562525-AE95</f>
        <v>0</v>
      </c>
      <c r="AF97">
        <f>1527077-AF95</f>
        <v>0</v>
      </c>
      <c r="AG97">
        <f>1609614-AG95</f>
        <v>0</v>
      </c>
      <c r="AH97">
        <f>1319453-AH95</f>
        <v>0</v>
      </c>
      <c r="AN97">
        <f>1556816-AN95</f>
        <v>0</v>
      </c>
      <c r="AO97">
        <f>2224918-AO95</f>
        <v>0</v>
      </c>
      <c r="AP97">
        <f>2819977-AP95</f>
        <v>0</v>
      </c>
      <c r="AQ97">
        <f>2344195-AQ95</f>
        <v>0</v>
      </c>
      <c r="AR97">
        <f>2171722-AR95</f>
        <v>0</v>
      </c>
      <c r="AS97">
        <f>2117557-AS95</f>
        <v>0</v>
      </c>
      <c r="AT97">
        <f>1375652-AT95</f>
        <v>0</v>
      </c>
      <c r="AW97">
        <f>1143769-AW95</f>
        <v>0</v>
      </c>
      <c r="AX97">
        <f>1621908-AX95</f>
        <v>0</v>
      </c>
      <c r="AY97">
        <f>1840099-AY95</f>
        <v>0</v>
      </c>
      <c r="AZ97">
        <f>2525750+5097-AZ95</f>
        <v>0</v>
      </c>
      <c r="BA97">
        <f>3295828+29971-BA95</f>
        <v>0</v>
      </c>
      <c r="BB97">
        <f>4243099-BB95</f>
        <v>0</v>
      </c>
    </row>
    <row r="99" spans="10:54">
      <c r="AA99" t="s">
        <v>92</v>
      </c>
      <c r="AB99" t="s">
        <v>92</v>
      </c>
      <c r="AC99" t="s">
        <v>92</v>
      </c>
      <c r="AD99" t="s">
        <v>92</v>
      </c>
      <c r="AE99" t="s">
        <v>92</v>
      </c>
      <c r="AF99" t="s">
        <v>92</v>
      </c>
      <c r="AG99" t="s">
        <v>92</v>
      </c>
      <c r="AH99" t="s">
        <v>92</v>
      </c>
      <c r="AN99" t="s">
        <v>203</v>
      </c>
      <c r="AO99" t="s">
        <v>209</v>
      </c>
      <c r="AP99" t="s">
        <v>215</v>
      </c>
      <c r="AQ99" t="s">
        <v>213</v>
      </c>
      <c r="AR99" t="s">
        <v>178</v>
      </c>
      <c r="AS99" t="s">
        <v>173</v>
      </c>
      <c r="AT99" t="s">
        <v>119</v>
      </c>
      <c r="AW99" t="s">
        <v>127</v>
      </c>
      <c r="AX99" t="s">
        <v>136</v>
      </c>
      <c r="AY99" t="s">
        <v>168</v>
      </c>
      <c r="AZ99" t="s">
        <v>161</v>
      </c>
      <c r="BA99" t="s">
        <v>155</v>
      </c>
      <c r="BB99" t="s">
        <v>152</v>
      </c>
    </row>
    <row r="101" spans="10:54">
      <c r="AA101" t="s">
        <v>120</v>
      </c>
      <c r="AB101" t="s">
        <v>120</v>
      </c>
      <c r="AC101" t="s">
        <v>120</v>
      </c>
      <c r="AD101" t="s">
        <v>120</v>
      </c>
      <c r="AE101" t="s">
        <v>120</v>
      </c>
      <c r="AF101" t="s">
        <v>120</v>
      </c>
      <c r="AG101" t="s">
        <v>120</v>
      </c>
      <c r="AH101" t="s">
        <v>120</v>
      </c>
      <c r="AN101" t="s">
        <v>120</v>
      </c>
      <c r="AO101" t="s">
        <v>120</v>
      </c>
      <c r="AP101" t="s">
        <v>120</v>
      </c>
      <c r="AQ101" t="s">
        <v>120</v>
      </c>
      <c r="AR101" t="s">
        <v>120</v>
      </c>
      <c r="AS101" t="s">
        <v>120</v>
      </c>
      <c r="AT101" t="s">
        <v>120</v>
      </c>
      <c r="AW101" t="s">
        <v>120</v>
      </c>
      <c r="AX101" t="s">
        <v>120</v>
      </c>
      <c r="AZ101" t="s">
        <v>120</v>
      </c>
      <c r="BA101" t="s">
        <v>120</v>
      </c>
      <c r="BB101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07"/>
  <sheetViews>
    <sheetView workbookViewId="0">
      <pane xSplit="3" ySplit="2" topLeftCell="AC78" activePane="bottomRight" state="frozen"/>
      <selection activeCell="T53" sqref="T53:U53"/>
      <selection pane="topRight" activeCell="T53" sqref="T53:U53"/>
      <selection pane="bottomLeft" activeCell="T53" sqref="T53:U53"/>
      <selection pane="bottomRight" activeCell="AP96" sqref="AP96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>
        <v>1931</v>
      </c>
      <c r="AK1" s="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52</v>
      </c>
      <c r="AT2" t="s">
        <v>52</v>
      </c>
      <c r="AW2" t="s">
        <v>52</v>
      </c>
      <c r="AX2" t="s">
        <v>52</v>
      </c>
      <c r="AY2" t="s">
        <v>52</v>
      </c>
      <c r="AZ2" t="s">
        <v>52</v>
      </c>
      <c r="BA2" t="s">
        <v>52</v>
      </c>
      <c r="BB2" t="s">
        <v>52</v>
      </c>
    </row>
    <row r="3" spans="1:54">
      <c r="A3" t="s">
        <v>2</v>
      </c>
      <c r="B3" t="s">
        <v>3</v>
      </c>
      <c r="J3">
        <v>51022</v>
      </c>
      <c r="K3">
        <v>36566</v>
      </c>
      <c r="M3">
        <v>71723</v>
      </c>
      <c r="N3">
        <v>17730</v>
      </c>
      <c r="O3">
        <v>3711</v>
      </c>
      <c r="P3">
        <v>42380</v>
      </c>
      <c r="Q3">
        <v>11193</v>
      </c>
      <c r="R3">
        <v>16270</v>
      </c>
      <c r="S3">
        <v>41084</v>
      </c>
      <c r="T3">
        <v>65136</v>
      </c>
      <c r="U3">
        <v>6116</v>
      </c>
      <c r="AA3">
        <v>141772</v>
      </c>
      <c r="AB3">
        <f>28310+59420</f>
        <v>87730</v>
      </c>
      <c r="AC3">
        <f>13349+37220</f>
        <v>50569</v>
      </c>
      <c r="AD3">
        <f>18832+28400</f>
        <v>47232</v>
      </c>
      <c r="AE3">
        <v>51624</v>
      </c>
      <c r="AF3">
        <v>66251</v>
      </c>
      <c r="AG3">
        <v>35546</v>
      </c>
      <c r="AH3">
        <f>94116+32400</f>
        <v>126516</v>
      </c>
      <c r="AN3">
        <v>16233</v>
      </c>
      <c r="AO3">
        <v>12575</v>
      </c>
      <c r="AP3">
        <v>10508</v>
      </c>
      <c r="AQ3">
        <v>35472</v>
      </c>
      <c r="AR3">
        <v>16181</v>
      </c>
      <c r="AS3">
        <v>10110</v>
      </c>
      <c r="AT3">
        <v>152518</v>
      </c>
      <c r="AW3">
        <v>210357</v>
      </c>
      <c r="AX3">
        <v>49375</v>
      </c>
      <c r="AY3">
        <v>85192</v>
      </c>
      <c r="AZ3">
        <v>76219</v>
      </c>
      <c r="BA3">
        <v>72293</v>
      </c>
      <c r="BB3">
        <f>53535+39016</f>
        <v>92551</v>
      </c>
    </row>
    <row r="4" spans="1:54">
      <c r="B4" t="s">
        <v>4</v>
      </c>
      <c r="S4">
        <v>657</v>
      </c>
      <c r="T4">
        <v>329</v>
      </c>
      <c r="U4">
        <v>1283</v>
      </c>
      <c r="AA4">
        <v>744</v>
      </c>
      <c r="AG4">
        <v>3481</v>
      </c>
      <c r="AH4">
        <v>176</v>
      </c>
      <c r="AN4">
        <v>100</v>
      </c>
      <c r="AP4">
        <v>18</v>
      </c>
    </row>
    <row r="5" spans="1:54">
      <c r="B5" t="s">
        <v>69</v>
      </c>
      <c r="AC5">
        <v>30</v>
      </c>
    </row>
    <row r="6" spans="1:54">
      <c r="B6" t="s">
        <v>5</v>
      </c>
      <c r="J6">
        <v>2133</v>
      </c>
      <c r="K6">
        <v>4866</v>
      </c>
      <c r="M6">
        <v>56379</v>
      </c>
      <c r="N6">
        <v>512</v>
      </c>
      <c r="O6">
        <v>40515</v>
      </c>
      <c r="P6">
        <v>12429</v>
      </c>
      <c r="Q6">
        <v>22960</v>
      </c>
      <c r="R6">
        <v>12688</v>
      </c>
      <c r="S6">
        <v>38602</v>
      </c>
      <c r="T6">
        <v>68361</v>
      </c>
      <c r="U6">
        <v>26796</v>
      </c>
      <c r="AA6">
        <v>1014</v>
      </c>
      <c r="AB6">
        <v>1437</v>
      </c>
      <c r="AC6">
        <v>3366</v>
      </c>
      <c r="AD6">
        <v>1017</v>
      </c>
      <c r="AE6">
        <v>1503</v>
      </c>
      <c r="AF6">
        <v>2701</v>
      </c>
      <c r="AG6">
        <v>26716</v>
      </c>
      <c r="AH6">
        <v>1853</v>
      </c>
      <c r="AN6">
        <v>1603</v>
      </c>
      <c r="AO6">
        <v>1571</v>
      </c>
      <c r="AP6">
        <v>774</v>
      </c>
      <c r="AQ6">
        <v>1368</v>
      </c>
      <c r="AR6">
        <v>1493</v>
      </c>
      <c r="AS6">
        <v>4697</v>
      </c>
      <c r="AT6">
        <v>22775</v>
      </c>
      <c r="AW6">
        <v>10413</v>
      </c>
      <c r="AX6">
        <v>20523</v>
      </c>
      <c r="AY6">
        <v>6005</v>
      </c>
      <c r="AZ6">
        <v>80130</v>
      </c>
      <c r="BA6">
        <v>16026</v>
      </c>
      <c r="BB6">
        <v>9820</v>
      </c>
    </row>
    <row r="7" spans="1:54">
      <c r="B7" t="s">
        <v>6</v>
      </c>
      <c r="J7">
        <v>2741</v>
      </c>
      <c r="K7">
        <v>14466</v>
      </c>
      <c r="M7">
        <v>8291</v>
      </c>
      <c r="N7">
        <v>6931</v>
      </c>
      <c r="O7">
        <v>41147</v>
      </c>
      <c r="P7">
        <v>21052</v>
      </c>
      <c r="Q7">
        <v>29982</v>
      </c>
      <c r="R7">
        <v>62038</v>
      </c>
      <c r="S7">
        <v>75407</v>
      </c>
      <c r="T7">
        <v>142074</v>
      </c>
      <c r="U7">
        <v>27433</v>
      </c>
      <c r="AA7">
        <v>17655</v>
      </c>
      <c r="AB7">
        <v>3156</v>
      </c>
      <c r="AC7">
        <f>5489+2483</f>
        <v>7972</v>
      </c>
      <c r="AD7">
        <f>2880+2096</f>
        <v>4976</v>
      </c>
      <c r="AE7">
        <v>127079</v>
      </c>
      <c r="AF7">
        <v>25119</v>
      </c>
      <c r="AG7">
        <v>6454</v>
      </c>
      <c r="AH7">
        <v>3137</v>
      </c>
      <c r="AN7">
        <v>1437</v>
      </c>
      <c r="AO7">
        <v>129768</v>
      </c>
      <c r="AP7">
        <v>2332</v>
      </c>
      <c r="AQ7">
        <v>1840</v>
      </c>
      <c r="AR7">
        <v>7305</v>
      </c>
      <c r="AS7">
        <v>8965</v>
      </c>
      <c r="AT7">
        <v>14447</v>
      </c>
      <c r="AW7">
        <v>7892</v>
      </c>
      <c r="AX7">
        <v>11856</v>
      </c>
      <c r="AY7">
        <v>16997</v>
      </c>
      <c r="AZ7">
        <v>49457</v>
      </c>
      <c r="BA7">
        <f>81426+602500</f>
        <v>683926</v>
      </c>
      <c r="BB7">
        <v>44912</v>
      </c>
    </row>
    <row r="8" spans="1:54">
      <c r="B8" t="s">
        <v>7</v>
      </c>
      <c r="S8">
        <v>348</v>
      </c>
      <c r="T8">
        <v>4596</v>
      </c>
      <c r="U8">
        <v>675</v>
      </c>
      <c r="AA8">
        <v>1341</v>
      </c>
      <c r="AB8">
        <v>126</v>
      </c>
      <c r="AD8">
        <v>57</v>
      </c>
      <c r="AE8">
        <v>6</v>
      </c>
      <c r="AF8">
        <v>200</v>
      </c>
      <c r="AG8">
        <v>36</v>
      </c>
      <c r="AH8">
        <v>4</v>
      </c>
    </row>
    <row r="9" spans="1:54">
      <c r="B9" t="s">
        <v>71</v>
      </c>
      <c r="J9">
        <v>395</v>
      </c>
      <c r="M9">
        <v>9</v>
      </c>
      <c r="N9">
        <v>2</v>
      </c>
    </row>
    <row r="10" spans="1:54">
      <c r="B10" t="s">
        <v>70</v>
      </c>
      <c r="J10">
        <v>19681</v>
      </c>
      <c r="K10">
        <v>31601</v>
      </c>
      <c r="M10">
        <v>27638</v>
      </c>
      <c r="N10">
        <v>44616</v>
      </c>
    </row>
    <row r="11" spans="1:54">
      <c r="B11" t="s">
        <v>8</v>
      </c>
      <c r="O11">
        <v>74218</v>
      </c>
      <c r="P11">
        <v>65544</v>
      </c>
      <c r="Q11">
        <v>56146</v>
      </c>
      <c r="R11">
        <v>74112</v>
      </c>
      <c r="S11">
        <v>58660</v>
      </c>
      <c r="T11">
        <v>6632</v>
      </c>
      <c r="U11">
        <v>16058</v>
      </c>
      <c r="AA11">
        <v>5437</v>
      </c>
      <c r="AB11">
        <v>2894</v>
      </c>
      <c r="AC11">
        <v>4863</v>
      </c>
      <c r="AD11">
        <f>4691+1167</f>
        <v>5858</v>
      </c>
      <c r="AE11">
        <v>1079</v>
      </c>
      <c r="AF11">
        <v>1587</v>
      </c>
      <c r="AG11">
        <v>15940</v>
      </c>
      <c r="AH11">
        <v>2642</v>
      </c>
      <c r="AN11">
        <v>1205</v>
      </c>
      <c r="AO11">
        <v>3433</v>
      </c>
      <c r="AP11">
        <v>4254</v>
      </c>
      <c r="AQ11">
        <v>2320</v>
      </c>
      <c r="AR11">
        <v>8672</v>
      </c>
      <c r="AS11">
        <v>4236</v>
      </c>
      <c r="AT11">
        <v>7335</v>
      </c>
      <c r="AW11">
        <v>39514</v>
      </c>
      <c r="AX11">
        <v>20903</v>
      </c>
      <c r="AY11">
        <v>128849</v>
      </c>
      <c r="AZ11">
        <v>41330</v>
      </c>
      <c r="BA11">
        <v>28791</v>
      </c>
      <c r="BB11">
        <v>27958</v>
      </c>
    </row>
    <row r="12" spans="1:54">
      <c r="B12" t="s">
        <v>164</v>
      </c>
      <c r="AY12">
        <v>200</v>
      </c>
    </row>
    <row r="13" spans="1:54">
      <c r="B13" t="s">
        <v>171</v>
      </c>
      <c r="AS13">
        <v>80</v>
      </c>
    </row>
    <row r="14" spans="1:54">
      <c r="B14" t="s">
        <v>79</v>
      </c>
      <c r="AN14">
        <v>25</v>
      </c>
    </row>
    <row r="15" spans="1:54">
      <c r="B15" t="s">
        <v>130</v>
      </c>
      <c r="AX15">
        <v>500</v>
      </c>
      <c r="BA15">
        <v>500</v>
      </c>
    </row>
    <row r="16" spans="1:54">
      <c r="B16" t="s">
        <v>137</v>
      </c>
      <c r="AX16">
        <v>75</v>
      </c>
    </row>
    <row r="17" spans="2:54">
      <c r="B17" t="s">
        <v>77</v>
      </c>
      <c r="AE17">
        <v>88</v>
      </c>
      <c r="AF17">
        <v>2</v>
      </c>
      <c r="AG17">
        <v>86</v>
      </c>
      <c r="AO17">
        <v>148</v>
      </c>
      <c r="AS17">
        <v>1</v>
      </c>
    </row>
    <row r="18" spans="2:54">
      <c r="B18" t="s">
        <v>103</v>
      </c>
      <c r="AD18">
        <v>7</v>
      </c>
      <c r="AG18">
        <v>22</v>
      </c>
      <c r="AN18">
        <v>71</v>
      </c>
      <c r="AO18">
        <v>8</v>
      </c>
      <c r="AP18">
        <v>345</v>
      </c>
      <c r="AQ18">
        <v>42</v>
      </c>
      <c r="AR18">
        <v>44</v>
      </c>
      <c r="AS18">
        <v>357</v>
      </c>
      <c r="AT18">
        <v>1586</v>
      </c>
      <c r="AW18">
        <v>8572</v>
      </c>
      <c r="AX18">
        <v>3337</v>
      </c>
      <c r="AY18">
        <v>975</v>
      </c>
      <c r="AZ18">
        <v>1226</v>
      </c>
      <c r="BA18">
        <v>35</v>
      </c>
    </row>
    <row r="19" spans="2:54">
      <c r="B19" t="s">
        <v>9</v>
      </c>
      <c r="AW19">
        <v>200</v>
      </c>
    </row>
    <row r="20" spans="2:54">
      <c r="B20" t="s">
        <v>97</v>
      </c>
      <c r="AW20">
        <v>300</v>
      </c>
    </row>
    <row r="21" spans="2:54">
      <c r="B21" t="s">
        <v>125</v>
      </c>
      <c r="AR21">
        <v>300</v>
      </c>
      <c r="AW21">
        <v>280</v>
      </c>
    </row>
    <row r="22" spans="2:54">
      <c r="B22" t="s">
        <v>102</v>
      </c>
      <c r="AW22">
        <v>685</v>
      </c>
    </row>
    <row r="23" spans="2:54">
      <c r="B23" t="s">
        <v>10</v>
      </c>
      <c r="U23">
        <v>30</v>
      </c>
    </row>
    <row r="24" spans="2:54">
      <c r="B24" t="s">
        <v>11</v>
      </c>
    </row>
    <row r="25" spans="2:54">
      <c r="B25" t="s">
        <v>12</v>
      </c>
    </row>
    <row r="26" spans="2:54">
      <c r="B26" t="s">
        <v>13</v>
      </c>
      <c r="AY26">
        <v>33</v>
      </c>
      <c r="BA26">
        <v>39</v>
      </c>
      <c r="BB26">
        <v>100</v>
      </c>
    </row>
    <row r="27" spans="2:54">
      <c r="B27" t="s">
        <v>95</v>
      </c>
      <c r="AY27">
        <v>2200</v>
      </c>
    </row>
    <row r="28" spans="2:54">
      <c r="B28" t="s">
        <v>165</v>
      </c>
      <c r="AY28">
        <v>300</v>
      </c>
    </row>
    <row r="29" spans="2:54">
      <c r="B29" t="s">
        <v>166</v>
      </c>
      <c r="AY29">
        <v>30</v>
      </c>
    </row>
    <row r="30" spans="2:54">
      <c r="B30" t="s">
        <v>167</v>
      </c>
      <c r="AY30">
        <v>300</v>
      </c>
    </row>
    <row r="31" spans="2:54">
      <c r="B31" t="s">
        <v>15</v>
      </c>
      <c r="AA31">
        <v>100</v>
      </c>
    </row>
    <row r="32" spans="2:54">
      <c r="B32" t="s">
        <v>14</v>
      </c>
    </row>
    <row r="33" spans="2:54">
      <c r="B33" t="s">
        <v>16</v>
      </c>
    </row>
    <row r="34" spans="2:54">
      <c r="B34" t="s">
        <v>104</v>
      </c>
      <c r="AZ34">
        <v>63</v>
      </c>
      <c r="BA34">
        <v>1</v>
      </c>
    </row>
    <row r="35" spans="2:54">
      <c r="B35" t="s">
        <v>82</v>
      </c>
      <c r="AA35">
        <v>124</v>
      </c>
      <c r="AB35">
        <v>257</v>
      </c>
      <c r="AC35">
        <v>214</v>
      </c>
      <c r="AD35">
        <v>134</v>
      </c>
      <c r="AE35">
        <v>299</v>
      </c>
      <c r="AF35">
        <v>416</v>
      </c>
      <c r="AG35">
        <v>642</v>
      </c>
      <c r="AH35">
        <v>1</v>
      </c>
      <c r="AN35">
        <v>337</v>
      </c>
      <c r="AP35">
        <v>70</v>
      </c>
      <c r="AQ35">
        <v>218</v>
      </c>
      <c r="AY35">
        <v>1013</v>
      </c>
      <c r="BA35">
        <v>1300</v>
      </c>
      <c r="BB35">
        <v>1456</v>
      </c>
    </row>
    <row r="36" spans="2:54">
      <c r="B36" t="s">
        <v>17</v>
      </c>
      <c r="J36">
        <v>2</v>
      </c>
      <c r="K36">
        <v>2</v>
      </c>
      <c r="M36">
        <v>1967</v>
      </c>
      <c r="N36">
        <v>3126</v>
      </c>
      <c r="O36">
        <v>1630</v>
      </c>
      <c r="P36">
        <v>4075</v>
      </c>
      <c r="Q36">
        <v>483</v>
      </c>
      <c r="R36">
        <v>17</v>
      </c>
      <c r="S36">
        <v>264</v>
      </c>
      <c r="T36">
        <v>156</v>
      </c>
      <c r="U36">
        <v>275</v>
      </c>
      <c r="AA36">
        <v>410</v>
      </c>
      <c r="AB36">
        <v>765</v>
      </c>
      <c r="AD36">
        <v>181</v>
      </c>
      <c r="AE36">
        <v>89</v>
      </c>
      <c r="AF36">
        <v>186</v>
      </c>
      <c r="AG36">
        <v>238</v>
      </c>
      <c r="AH36">
        <v>240</v>
      </c>
      <c r="AN36">
        <v>70</v>
      </c>
      <c r="AO36">
        <v>297</v>
      </c>
      <c r="AP36">
        <v>253</v>
      </c>
      <c r="AQ36">
        <v>761</v>
      </c>
      <c r="AR36">
        <v>361</v>
      </c>
      <c r="AY36">
        <v>250</v>
      </c>
      <c r="AZ36">
        <v>330</v>
      </c>
      <c r="BA36">
        <v>2775</v>
      </c>
      <c r="BB36">
        <v>2625</v>
      </c>
    </row>
    <row r="37" spans="2:54">
      <c r="B37" t="s">
        <v>18</v>
      </c>
      <c r="J37">
        <v>328</v>
      </c>
      <c r="K37">
        <v>161</v>
      </c>
      <c r="M37">
        <v>2047</v>
      </c>
      <c r="N37">
        <v>418</v>
      </c>
      <c r="O37">
        <v>178</v>
      </c>
      <c r="P37">
        <v>1419</v>
      </c>
      <c r="Q37">
        <v>3555</v>
      </c>
      <c r="R37">
        <v>747</v>
      </c>
      <c r="S37">
        <v>1045</v>
      </c>
      <c r="AA37">
        <v>312</v>
      </c>
      <c r="AB37">
        <v>678</v>
      </c>
      <c r="AC37">
        <v>673</v>
      </c>
      <c r="AD37">
        <v>446</v>
      </c>
      <c r="AE37">
        <v>299</v>
      </c>
      <c r="AF37">
        <v>159</v>
      </c>
      <c r="AG37">
        <v>375</v>
      </c>
      <c r="AH37">
        <v>661</v>
      </c>
      <c r="AN37">
        <v>270</v>
      </c>
      <c r="AO37">
        <v>492</v>
      </c>
      <c r="AP37">
        <v>130</v>
      </c>
      <c r="AQ37">
        <v>724</v>
      </c>
      <c r="AR37">
        <v>222</v>
      </c>
      <c r="BA37">
        <v>216</v>
      </c>
      <c r="BB37">
        <v>182</v>
      </c>
    </row>
    <row r="38" spans="2:54">
      <c r="B38" t="s">
        <v>19</v>
      </c>
      <c r="N38">
        <v>67921</v>
      </c>
      <c r="O38">
        <v>68394</v>
      </c>
      <c r="P38">
        <v>87523</v>
      </c>
      <c r="Q38">
        <v>107011</v>
      </c>
      <c r="R38">
        <v>100388</v>
      </c>
      <c r="S38">
        <v>92448</v>
      </c>
      <c r="T38">
        <v>66229</v>
      </c>
      <c r="U38">
        <v>37636</v>
      </c>
      <c r="AA38">
        <v>125364</v>
      </c>
      <c r="AB38">
        <v>158644</v>
      </c>
      <c r="AC38">
        <v>126754</v>
      </c>
      <c r="AD38">
        <v>125911</v>
      </c>
      <c r="AE38">
        <v>119141</v>
      </c>
      <c r="AF38">
        <v>125695</v>
      </c>
      <c r="AG38">
        <v>112961</v>
      </c>
      <c r="AH38">
        <v>71583</v>
      </c>
    </row>
    <row r="39" spans="2:54">
      <c r="B39" t="s">
        <v>20</v>
      </c>
      <c r="AC39">
        <v>50</v>
      </c>
      <c r="AE39">
        <v>8</v>
      </c>
      <c r="AF39">
        <v>2</v>
      </c>
      <c r="AG39">
        <v>1024</v>
      </c>
      <c r="AH39">
        <v>305</v>
      </c>
      <c r="AP39">
        <v>27</v>
      </c>
      <c r="AQ39">
        <v>41</v>
      </c>
      <c r="AR39">
        <v>118</v>
      </c>
      <c r="AS39">
        <v>10</v>
      </c>
      <c r="AY39">
        <v>1096</v>
      </c>
      <c r="AZ39">
        <v>3428</v>
      </c>
      <c r="BA39">
        <v>3900</v>
      </c>
      <c r="BB39">
        <v>3101</v>
      </c>
    </row>
    <row r="40" spans="2:54">
      <c r="B40" t="s">
        <v>21</v>
      </c>
      <c r="M40">
        <v>600</v>
      </c>
      <c r="N40">
        <v>7</v>
      </c>
      <c r="O40">
        <v>11</v>
      </c>
      <c r="P40">
        <v>3</v>
      </c>
      <c r="T40">
        <v>14</v>
      </c>
      <c r="AA40">
        <v>326</v>
      </c>
      <c r="AB40">
        <v>323</v>
      </c>
      <c r="AC40">
        <v>424</v>
      </c>
      <c r="AD40">
        <v>90</v>
      </c>
      <c r="AE40">
        <v>181</v>
      </c>
      <c r="AF40">
        <v>387</v>
      </c>
      <c r="AG40">
        <v>221</v>
      </c>
      <c r="AH40">
        <v>477</v>
      </c>
      <c r="AN40">
        <v>268</v>
      </c>
      <c r="AO40">
        <v>1269</v>
      </c>
      <c r="AP40">
        <v>182</v>
      </c>
      <c r="AQ40">
        <v>130</v>
      </c>
      <c r="AR40">
        <v>126</v>
      </c>
      <c r="AS40">
        <v>229</v>
      </c>
      <c r="AT40">
        <v>312</v>
      </c>
      <c r="AW40">
        <v>4035</v>
      </c>
      <c r="AX40">
        <v>499</v>
      </c>
      <c r="AY40">
        <v>1603</v>
      </c>
      <c r="AZ40">
        <v>278</v>
      </c>
      <c r="BA40">
        <v>64</v>
      </c>
      <c r="BB40">
        <v>255</v>
      </c>
    </row>
    <row r="41" spans="2:54">
      <c r="B41" t="s">
        <v>107</v>
      </c>
      <c r="AN41">
        <v>121</v>
      </c>
      <c r="AS41">
        <v>5</v>
      </c>
      <c r="AT41">
        <v>300</v>
      </c>
      <c r="AW41">
        <v>262</v>
      </c>
      <c r="AX41">
        <v>322</v>
      </c>
    </row>
    <row r="42" spans="2:54">
      <c r="B42" t="s">
        <v>22</v>
      </c>
      <c r="J42">
        <v>17</v>
      </c>
      <c r="K42">
        <v>11</v>
      </c>
      <c r="M42">
        <v>8</v>
      </c>
      <c r="N42">
        <v>70</v>
      </c>
      <c r="O42">
        <v>15</v>
      </c>
      <c r="Q42">
        <v>130</v>
      </c>
      <c r="R42">
        <v>28</v>
      </c>
      <c r="S42">
        <v>113</v>
      </c>
      <c r="T42">
        <v>15</v>
      </c>
    </row>
    <row r="43" spans="2:54">
      <c r="B43" t="s">
        <v>23</v>
      </c>
      <c r="N43">
        <v>8</v>
      </c>
      <c r="O43">
        <v>4</v>
      </c>
      <c r="Q43">
        <v>1</v>
      </c>
    </row>
    <row r="44" spans="2:54">
      <c r="B44" t="s">
        <v>61</v>
      </c>
      <c r="O44">
        <v>50</v>
      </c>
      <c r="P44">
        <v>12</v>
      </c>
      <c r="Q44">
        <v>207</v>
      </c>
      <c r="AB44">
        <v>2</v>
      </c>
    </row>
    <row r="45" spans="2:54">
      <c r="B45" t="s">
        <v>24</v>
      </c>
    </row>
    <row r="46" spans="2:54">
      <c r="B46" t="s">
        <v>25</v>
      </c>
    </row>
    <row r="47" spans="2:54">
      <c r="B47" t="s">
        <v>26</v>
      </c>
      <c r="N47">
        <v>14126</v>
      </c>
      <c r="O47">
        <v>18898</v>
      </c>
      <c r="P47">
        <v>14954</v>
      </c>
      <c r="Q47">
        <v>1046</v>
      </c>
      <c r="R47">
        <v>16866</v>
      </c>
      <c r="S47">
        <v>2630</v>
      </c>
      <c r="T47">
        <v>5943</v>
      </c>
      <c r="U47">
        <v>2562</v>
      </c>
    </row>
    <row r="48" spans="2:54">
      <c r="B48" t="s">
        <v>27</v>
      </c>
      <c r="N48">
        <v>322</v>
      </c>
      <c r="O48">
        <v>69</v>
      </c>
      <c r="P48">
        <v>992</v>
      </c>
      <c r="Q48">
        <v>173</v>
      </c>
      <c r="T48">
        <v>603</v>
      </c>
      <c r="U48">
        <v>200</v>
      </c>
      <c r="AA48">
        <v>85</v>
      </c>
      <c r="AB48">
        <v>213</v>
      </c>
      <c r="AC48">
        <v>1</v>
      </c>
      <c r="AD48">
        <v>1236</v>
      </c>
      <c r="AF48">
        <v>200</v>
      </c>
      <c r="AG48">
        <v>50</v>
      </c>
    </row>
    <row r="49" spans="2:54">
      <c r="B49" t="s">
        <v>90</v>
      </c>
      <c r="AA49">
        <v>19</v>
      </c>
      <c r="AB49">
        <v>2</v>
      </c>
    </row>
    <row r="50" spans="2:54">
      <c r="B50" t="s">
        <v>65</v>
      </c>
      <c r="C50" t="s">
        <v>66</v>
      </c>
      <c r="R50">
        <v>101</v>
      </c>
    </row>
    <row r="51" spans="2:54">
      <c r="B51" t="s">
        <v>63</v>
      </c>
      <c r="AX51">
        <v>300</v>
      </c>
      <c r="AY51">
        <v>45</v>
      </c>
    </row>
    <row r="52" spans="2:54">
      <c r="B52" t="s">
        <v>28</v>
      </c>
      <c r="N52">
        <v>67</v>
      </c>
      <c r="O52">
        <v>10</v>
      </c>
      <c r="Q52">
        <v>506</v>
      </c>
      <c r="R52">
        <v>21</v>
      </c>
      <c r="S52">
        <v>30</v>
      </c>
      <c r="T52">
        <v>21</v>
      </c>
      <c r="U52">
        <v>705</v>
      </c>
    </row>
    <row r="53" spans="2:54">
      <c r="B53" t="s">
        <v>126</v>
      </c>
      <c r="AE53">
        <v>5</v>
      </c>
      <c r="AF53">
        <v>265</v>
      </c>
      <c r="AG53">
        <v>283</v>
      </c>
      <c r="AH53">
        <v>655</v>
      </c>
      <c r="AW53">
        <v>7</v>
      </c>
    </row>
    <row r="54" spans="2:54">
      <c r="B54" t="s">
        <v>184</v>
      </c>
      <c r="AC54">
        <f>3101+100</f>
        <v>3201</v>
      </c>
      <c r="AD54">
        <v>3032</v>
      </c>
      <c r="AE54">
        <v>3750</v>
      </c>
    </row>
    <row r="55" spans="2:54">
      <c r="B55" t="s">
        <v>29</v>
      </c>
      <c r="N55">
        <v>603</v>
      </c>
      <c r="O55">
        <v>93</v>
      </c>
      <c r="P55">
        <v>27</v>
      </c>
      <c r="Q55">
        <v>3258</v>
      </c>
      <c r="R55">
        <v>72</v>
      </c>
      <c r="S55">
        <v>91</v>
      </c>
      <c r="T55">
        <v>3</v>
      </c>
      <c r="U55">
        <v>46</v>
      </c>
      <c r="AA55">
        <v>3435</v>
      </c>
      <c r="AB55">
        <v>1089</v>
      </c>
      <c r="AF55">
        <v>1333</v>
      </c>
      <c r="AG55">
        <v>1572</v>
      </c>
      <c r="AH55">
        <v>1460</v>
      </c>
      <c r="AS55">
        <v>26</v>
      </c>
      <c r="AW55">
        <v>105</v>
      </c>
      <c r="AX55">
        <v>42057</v>
      </c>
      <c r="AY55">
        <v>16080</v>
      </c>
      <c r="AZ55">
        <v>698</v>
      </c>
      <c r="BA55">
        <v>23354</v>
      </c>
      <c r="BB55">
        <v>1493</v>
      </c>
    </row>
    <row r="56" spans="2:54">
      <c r="B56" t="s">
        <v>30</v>
      </c>
      <c r="N56">
        <v>42060</v>
      </c>
      <c r="O56">
        <v>25762</v>
      </c>
      <c r="P56">
        <v>32781</v>
      </c>
      <c r="Q56">
        <v>68892</v>
      </c>
      <c r="R56">
        <v>47600</v>
      </c>
      <c r="S56">
        <v>898</v>
      </c>
      <c r="T56">
        <v>37195</v>
      </c>
      <c r="U56">
        <v>100</v>
      </c>
      <c r="AA56">
        <v>3023</v>
      </c>
      <c r="AB56">
        <v>108</v>
      </c>
      <c r="AF56">
        <v>75</v>
      </c>
      <c r="AG56">
        <v>56</v>
      </c>
      <c r="AH56">
        <v>102</v>
      </c>
      <c r="AS56">
        <v>226</v>
      </c>
      <c r="AY56">
        <v>1</v>
      </c>
      <c r="AZ56">
        <v>2250</v>
      </c>
      <c r="BB56">
        <v>1846</v>
      </c>
    </row>
    <row r="57" spans="2:54">
      <c r="B57" t="s">
        <v>31</v>
      </c>
      <c r="U57">
        <v>150</v>
      </c>
    </row>
    <row r="58" spans="2:54">
      <c r="B58" t="s">
        <v>149</v>
      </c>
      <c r="AY58">
        <v>494</v>
      </c>
      <c r="BA58">
        <v>485</v>
      </c>
    </row>
    <row r="59" spans="2:54">
      <c r="B59" t="s">
        <v>32</v>
      </c>
      <c r="J59">
        <v>5715</v>
      </c>
      <c r="K59">
        <v>35546</v>
      </c>
      <c r="M59">
        <v>7282</v>
      </c>
      <c r="N59">
        <v>6730</v>
      </c>
      <c r="O59">
        <v>6770</v>
      </c>
      <c r="P59">
        <v>6925</v>
      </c>
      <c r="Q59">
        <v>10806</v>
      </c>
      <c r="R59">
        <v>6306</v>
      </c>
      <c r="S59">
        <v>2928</v>
      </c>
      <c r="T59">
        <v>3318</v>
      </c>
      <c r="U59">
        <v>1266</v>
      </c>
      <c r="AA59">
        <v>1075</v>
      </c>
      <c r="AB59">
        <v>1698</v>
      </c>
      <c r="AC59">
        <v>2941</v>
      </c>
      <c r="AD59">
        <v>2448</v>
      </c>
      <c r="AE59">
        <v>3719</v>
      </c>
      <c r="AF59">
        <v>15079</v>
      </c>
      <c r="AG59">
        <v>13440</v>
      </c>
      <c r="AH59">
        <v>2471</v>
      </c>
      <c r="AN59">
        <v>3595</v>
      </c>
      <c r="AO59">
        <v>1991</v>
      </c>
      <c r="AP59">
        <v>2192</v>
      </c>
      <c r="AQ59">
        <v>930</v>
      </c>
      <c r="AR59">
        <v>328</v>
      </c>
      <c r="AS59">
        <v>1253</v>
      </c>
      <c r="AT59">
        <v>1675</v>
      </c>
      <c r="AW59">
        <v>10737</v>
      </c>
      <c r="AX59">
        <v>3623</v>
      </c>
      <c r="AY59">
        <v>3971</v>
      </c>
      <c r="AZ59">
        <v>5582</v>
      </c>
      <c r="BA59">
        <v>3041</v>
      </c>
      <c r="BB59">
        <v>2650</v>
      </c>
    </row>
    <row r="60" spans="2:54">
      <c r="B60" t="s">
        <v>157</v>
      </c>
      <c r="BA60">
        <v>600</v>
      </c>
    </row>
    <row r="61" spans="2:54">
      <c r="B61" t="s">
        <v>138</v>
      </c>
      <c r="AP61">
        <v>1</v>
      </c>
      <c r="AX61">
        <v>100</v>
      </c>
    </row>
    <row r="62" spans="2:54">
      <c r="B62" t="s">
        <v>33</v>
      </c>
      <c r="T62">
        <v>700</v>
      </c>
    </row>
    <row r="63" spans="2:54">
      <c r="B63" t="s">
        <v>64</v>
      </c>
      <c r="N63">
        <v>14154</v>
      </c>
      <c r="P63">
        <v>4000</v>
      </c>
      <c r="Q63">
        <v>1204</v>
      </c>
    </row>
    <row r="64" spans="2:54">
      <c r="B64" t="s">
        <v>115</v>
      </c>
      <c r="AX64">
        <v>5</v>
      </c>
    </row>
    <row r="65" spans="2:54">
      <c r="B65" t="s">
        <v>121</v>
      </c>
      <c r="AX65">
        <v>440</v>
      </c>
    </row>
    <row r="66" spans="2:54">
      <c r="B66" t="s">
        <v>85</v>
      </c>
      <c r="AA66">
        <v>47</v>
      </c>
      <c r="AB66">
        <v>154</v>
      </c>
      <c r="AC66">
        <v>8</v>
      </c>
      <c r="AD66">
        <v>74</v>
      </c>
      <c r="AE66">
        <v>51</v>
      </c>
      <c r="AG66">
        <v>85</v>
      </c>
    </row>
    <row r="67" spans="2:54">
      <c r="B67" t="s">
        <v>34</v>
      </c>
      <c r="J67">
        <v>5</v>
      </c>
      <c r="K67">
        <v>37</v>
      </c>
      <c r="M67">
        <v>143</v>
      </c>
      <c r="N67">
        <v>2095</v>
      </c>
      <c r="O67">
        <v>135</v>
      </c>
      <c r="P67">
        <v>490</v>
      </c>
      <c r="Q67">
        <v>179</v>
      </c>
      <c r="R67">
        <v>17365</v>
      </c>
      <c r="S67">
        <v>703</v>
      </c>
      <c r="T67">
        <v>232</v>
      </c>
      <c r="U67">
        <v>126</v>
      </c>
    </row>
    <row r="68" spans="2:54">
      <c r="B68" t="s">
        <v>60</v>
      </c>
      <c r="O68">
        <v>1</v>
      </c>
    </row>
    <row r="69" spans="2:54">
      <c r="B69" t="s">
        <v>35</v>
      </c>
      <c r="J69">
        <v>1</v>
      </c>
      <c r="O69">
        <v>8</v>
      </c>
      <c r="P69">
        <v>38</v>
      </c>
      <c r="S69">
        <v>376</v>
      </c>
    </row>
    <row r="70" spans="2:54">
      <c r="B70" t="s">
        <v>36</v>
      </c>
      <c r="M70">
        <v>15</v>
      </c>
      <c r="N70">
        <v>27</v>
      </c>
      <c r="P70">
        <v>99</v>
      </c>
      <c r="Q70">
        <v>7</v>
      </c>
      <c r="R70">
        <v>1</v>
      </c>
    </row>
    <row r="71" spans="2:54">
      <c r="B71" t="s">
        <v>83</v>
      </c>
      <c r="AA71">
        <v>745</v>
      </c>
      <c r="AB71">
        <v>693</v>
      </c>
      <c r="AF71">
        <v>466</v>
      </c>
      <c r="AG71">
        <v>236</v>
      </c>
      <c r="AH71">
        <v>501</v>
      </c>
      <c r="AS71">
        <v>59</v>
      </c>
      <c r="AW71">
        <v>2218</v>
      </c>
      <c r="AX71">
        <v>7572</v>
      </c>
      <c r="AY71">
        <v>33199</v>
      </c>
      <c r="AZ71">
        <v>2401</v>
      </c>
      <c r="BA71">
        <v>7955</v>
      </c>
      <c r="BB71">
        <v>11290</v>
      </c>
    </row>
    <row r="72" spans="2:54">
      <c r="B72" t="s">
        <v>37</v>
      </c>
    </row>
    <row r="73" spans="2:54">
      <c r="B73" t="s">
        <v>84</v>
      </c>
      <c r="AA73">
        <v>31</v>
      </c>
      <c r="AB73">
        <v>141</v>
      </c>
      <c r="AC73">
        <v>19</v>
      </c>
      <c r="AD73">
        <v>10</v>
      </c>
      <c r="AF73">
        <v>48</v>
      </c>
    </row>
    <row r="74" spans="2:54">
      <c r="B74" t="s">
        <v>55</v>
      </c>
      <c r="AN74">
        <v>60</v>
      </c>
      <c r="AP74">
        <v>250</v>
      </c>
      <c r="AR74">
        <v>236</v>
      </c>
      <c r="AZ74">
        <v>3011</v>
      </c>
      <c r="BB74">
        <v>535</v>
      </c>
    </row>
    <row r="75" spans="2:54">
      <c r="B75" t="s">
        <v>172</v>
      </c>
      <c r="AS75">
        <v>5</v>
      </c>
    </row>
    <row r="76" spans="2:54">
      <c r="B76" t="s">
        <v>38</v>
      </c>
    </row>
    <row r="77" spans="2:54">
      <c r="B77" t="s">
        <v>39</v>
      </c>
      <c r="K77">
        <v>4676</v>
      </c>
      <c r="M77">
        <v>3486</v>
      </c>
      <c r="N77">
        <v>4</v>
      </c>
      <c r="AD77">
        <v>10</v>
      </c>
      <c r="AP77">
        <v>2</v>
      </c>
      <c r="AQ77">
        <v>53</v>
      </c>
    </row>
    <row r="78" spans="2:54">
      <c r="B78" t="s">
        <v>40</v>
      </c>
      <c r="BB78">
        <v>500</v>
      </c>
    </row>
    <row r="79" spans="2:54">
      <c r="B79" t="s">
        <v>41</v>
      </c>
      <c r="AG79">
        <v>15</v>
      </c>
      <c r="AN79">
        <v>12</v>
      </c>
    </row>
    <row r="80" spans="2:54">
      <c r="B80" t="s">
        <v>42</v>
      </c>
    </row>
    <row r="81" spans="2:53">
      <c r="B81" t="s">
        <v>56</v>
      </c>
      <c r="AP81">
        <v>2</v>
      </c>
      <c r="AT81">
        <v>12688</v>
      </c>
      <c r="AZ81">
        <v>3904</v>
      </c>
      <c r="BA81">
        <v>350</v>
      </c>
    </row>
    <row r="82" spans="2:53">
      <c r="B82" t="s">
        <v>43</v>
      </c>
    </row>
    <row r="83" spans="2:53">
      <c r="B83" t="s">
        <v>44</v>
      </c>
      <c r="AN83">
        <v>7</v>
      </c>
      <c r="AR83">
        <v>20</v>
      </c>
      <c r="BA83">
        <v>1379</v>
      </c>
    </row>
    <row r="84" spans="2:53">
      <c r="B84" t="s">
        <v>45</v>
      </c>
      <c r="U84">
        <v>19</v>
      </c>
      <c r="AF84">
        <v>11</v>
      </c>
      <c r="AN84">
        <v>3</v>
      </c>
      <c r="AX84">
        <v>385</v>
      </c>
    </row>
    <row r="85" spans="2:53">
      <c r="B85" t="s">
        <v>46</v>
      </c>
    </row>
    <row r="86" spans="2:53">
      <c r="B86" t="s">
        <v>72</v>
      </c>
      <c r="P86">
        <v>930</v>
      </c>
    </row>
    <row r="87" spans="2:53">
      <c r="B87" t="s">
        <v>47</v>
      </c>
      <c r="U87">
        <v>20</v>
      </c>
    </row>
    <row r="88" spans="2:53">
      <c r="B88" t="s">
        <v>48</v>
      </c>
      <c r="M88">
        <v>390</v>
      </c>
      <c r="N88">
        <v>22</v>
      </c>
      <c r="O88">
        <v>41</v>
      </c>
      <c r="Q88">
        <v>69</v>
      </c>
      <c r="R88">
        <v>27</v>
      </c>
      <c r="S88">
        <v>708</v>
      </c>
      <c r="T88">
        <v>271</v>
      </c>
      <c r="U88">
        <v>5</v>
      </c>
    </row>
    <row r="89" spans="2:53">
      <c r="B89" t="s">
        <v>49</v>
      </c>
    </row>
    <row r="90" spans="2:53">
      <c r="B90" t="s">
        <v>50</v>
      </c>
    </row>
    <row r="91" spans="2:53">
      <c r="B91" t="s">
        <v>51</v>
      </c>
      <c r="O91">
        <v>82</v>
      </c>
      <c r="P91">
        <v>7</v>
      </c>
      <c r="R91">
        <v>2</v>
      </c>
      <c r="S91">
        <v>102</v>
      </c>
      <c r="T91">
        <v>42</v>
      </c>
      <c r="U91">
        <v>197</v>
      </c>
    </row>
    <row r="92" spans="2:53">
      <c r="B92" t="s">
        <v>74</v>
      </c>
      <c r="J92">
        <v>17790</v>
      </c>
      <c r="K92">
        <v>30845</v>
      </c>
      <c r="M92">
        <v>14970</v>
      </c>
    </row>
    <row r="93" spans="2:53">
      <c r="B93" t="s">
        <v>75</v>
      </c>
      <c r="J93">
        <v>27514</v>
      </c>
      <c r="K93">
        <v>31504</v>
      </c>
      <c r="M93">
        <v>11958</v>
      </c>
    </row>
    <row r="94" spans="2:53">
      <c r="B94" t="s">
        <v>141</v>
      </c>
      <c r="AN94">
        <v>1180</v>
      </c>
      <c r="AO94">
        <v>495</v>
      </c>
      <c r="AP94">
        <v>1967</v>
      </c>
      <c r="AQ94">
        <v>745</v>
      </c>
      <c r="AR94">
        <v>755</v>
      </c>
    </row>
    <row r="95" spans="2:53">
      <c r="B95" t="s">
        <v>143</v>
      </c>
      <c r="AN95">
        <v>407</v>
      </c>
      <c r="AP95">
        <v>256</v>
      </c>
      <c r="AQ95">
        <v>90</v>
      </c>
      <c r="AR95">
        <v>3</v>
      </c>
    </row>
    <row r="96" spans="2:53">
      <c r="B96" t="s">
        <v>142</v>
      </c>
      <c r="AN96">
        <v>14</v>
      </c>
      <c r="AR96">
        <v>6</v>
      </c>
    </row>
    <row r="97" spans="2:54">
      <c r="B97" t="s">
        <v>123</v>
      </c>
      <c r="AT97">
        <v>3320</v>
      </c>
      <c r="AW97">
        <v>6657</v>
      </c>
      <c r="AX97">
        <v>3132</v>
      </c>
      <c r="AY97">
        <v>692</v>
      </c>
    </row>
    <row r="98" spans="2:54">
      <c r="B98" t="s">
        <v>153</v>
      </c>
      <c r="BA98">
        <v>313458</v>
      </c>
      <c r="BB98">
        <v>258775</v>
      </c>
    </row>
    <row r="99" spans="2:54">
      <c r="B99" t="s">
        <v>154</v>
      </c>
      <c r="AZ99">
        <v>573</v>
      </c>
      <c r="BA99">
        <v>140</v>
      </c>
      <c r="BB99">
        <v>434</v>
      </c>
    </row>
    <row r="101" spans="2:54">
      <c r="F101">
        <f t="shared" ref="F101:BB101" si="0">SUM(F3:F100)</f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127344</v>
      </c>
      <c r="K101">
        <f t="shared" si="0"/>
        <v>190281</v>
      </c>
      <c r="L101">
        <f t="shared" si="0"/>
        <v>0</v>
      </c>
      <c r="M101">
        <f t="shared" si="0"/>
        <v>206906</v>
      </c>
      <c r="N101">
        <f t="shared" si="0"/>
        <v>221551</v>
      </c>
      <c r="O101">
        <f t="shared" si="0"/>
        <v>281742</v>
      </c>
      <c r="P101">
        <f t="shared" si="0"/>
        <v>295680</v>
      </c>
      <c r="Q101">
        <f t="shared" si="0"/>
        <v>317808</v>
      </c>
      <c r="R101">
        <f t="shared" si="0"/>
        <v>354649</v>
      </c>
      <c r="S101">
        <f t="shared" si="0"/>
        <v>317094</v>
      </c>
      <c r="T101">
        <f t="shared" si="0"/>
        <v>401870</v>
      </c>
      <c r="U101">
        <f t="shared" si="0"/>
        <v>121698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303059</v>
      </c>
      <c r="AB101">
        <f t="shared" si="0"/>
        <v>260110</v>
      </c>
      <c r="AC101">
        <f t="shared" si="0"/>
        <v>201085</v>
      </c>
      <c r="AD101">
        <f t="shared" si="0"/>
        <v>192719</v>
      </c>
      <c r="AE101">
        <f t="shared" si="0"/>
        <v>308921</v>
      </c>
      <c r="AF101">
        <f t="shared" si="0"/>
        <v>240182</v>
      </c>
      <c r="AG101">
        <f t="shared" si="0"/>
        <v>219479</v>
      </c>
      <c r="AH101">
        <f t="shared" si="0"/>
        <v>212784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27018</v>
      </c>
      <c r="AO101">
        <f t="shared" si="0"/>
        <v>152047</v>
      </c>
      <c r="AP101">
        <f t="shared" si="0"/>
        <v>23563</v>
      </c>
      <c r="AQ101">
        <f t="shared" si="0"/>
        <v>44734</v>
      </c>
      <c r="AR101">
        <f t="shared" si="0"/>
        <v>36170</v>
      </c>
      <c r="AS101">
        <f t="shared" si="0"/>
        <v>30259</v>
      </c>
      <c r="AT101">
        <f t="shared" si="0"/>
        <v>216956</v>
      </c>
      <c r="AU101">
        <f t="shared" si="0"/>
        <v>0</v>
      </c>
      <c r="AV101">
        <f t="shared" si="0"/>
        <v>0</v>
      </c>
      <c r="AW101">
        <f t="shared" si="0"/>
        <v>302234</v>
      </c>
      <c r="AX101">
        <f t="shared" si="0"/>
        <v>165004</v>
      </c>
      <c r="AY101">
        <f t="shared" si="0"/>
        <v>299525</v>
      </c>
      <c r="AZ101">
        <f t="shared" si="0"/>
        <v>270880</v>
      </c>
      <c r="BA101">
        <f t="shared" si="0"/>
        <v>1160628</v>
      </c>
      <c r="BB101">
        <f t="shared" si="0"/>
        <v>460483</v>
      </c>
    </row>
    <row r="103" spans="2:54">
      <c r="J103">
        <f>127344-J101</f>
        <v>0</v>
      </c>
      <c r="K103">
        <f>190281-K101</f>
        <v>0</v>
      </c>
      <c r="M103">
        <f>206906-M101</f>
        <v>0</v>
      </c>
      <c r="N103">
        <f>221551-N101</f>
        <v>0</v>
      </c>
      <c r="O103">
        <f>281742-O101</f>
        <v>0</v>
      </c>
      <c r="P103">
        <f>295680-P101</f>
        <v>0</v>
      </c>
      <c r="Q103">
        <f>317808-Q101</f>
        <v>0</v>
      </c>
      <c r="R103">
        <f>354649-R101</f>
        <v>0</v>
      </c>
      <c r="S103">
        <f>317094-S101</f>
        <v>0</v>
      </c>
      <c r="T103">
        <f>401870-T101</f>
        <v>0</v>
      </c>
      <c r="U103">
        <f>121698-U101</f>
        <v>0</v>
      </c>
      <c r="AA103">
        <f>303059-AA101</f>
        <v>0</v>
      </c>
      <c r="AB103">
        <f>200690+59420-AB101</f>
        <v>0</v>
      </c>
      <c r="AC103">
        <f>160382+40703-AC101</f>
        <v>0</v>
      </c>
      <c r="AD103">
        <f>160256+32463-AD101</f>
        <v>0</v>
      </c>
      <c r="AE103">
        <f>308921-AE101</f>
        <v>0</v>
      </c>
      <c r="AF103">
        <f>240182-AF101</f>
        <v>0</v>
      </c>
      <c r="AG103">
        <f>219479-AG101</f>
        <v>0</v>
      </c>
      <c r="AH103">
        <f>212784-AH101</f>
        <v>0</v>
      </c>
      <c r="AN103">
        <f>27018-AN101</f>
        <v>0</v>
      </c>
      <c r="AO103">
        <f>152047-AO101</f>
        <v>0</v>
      </c>
      <c r="AP103">
        <f>23563-AP101</f>
        <v>0</v>
      </c>
      <c r="AQ103">
        <f>44734-AQ101</f>
        <v>0</v>
      </c>
      <c r="AR103">
        <f>36170-AR101</f>
        <v>0</v>
      </c>
      <c r="AS103">
        <f>23709+6550-AS101</f>
        <v>0</v>
      </c>
      <c r="AT103">
        <f>216956-AT101</f>
        <v>0</v>
      </c>
      <c r="AW103">
        <f>302234-AW101</f>
        <v>0</v>
      </c>
      <c r="AX103">
        <f>165004-AX101</f>
        <v>0</v>
      </c>
      <c r="AY103">
        <f>299525-AY101</f>
        <v>0</v>
      </c>
      <c r="AZ103">
        <f>270880-AZ101</f>
        <v>0</v>
      </c>
      <c r="BA103">
        <f>558128+602500-BA101</f>
        <v>0</v>
      </c>
      <c r="BB103">
        <f>421467+39016-BB101</f>
        <v>0</v>
      </c>
    </row>
    <row r="105" spans="2:54">
      <c r="AA105" t="s">
        <v>91</v>
      </c>
      <c r="AB105" t="s">
        <v>144</v>
      </c>
      <c r="AC105" t="s">
        <v>183</v>
      </c>
      <c r="AD105" t="s">
        <v>186</v>
      </c>
      <c r="AE105" t="s">
        <v>188</v>
      </c>
      <c r="AF105" t="s">
        <v>190</v>
      </c>
      <c r="AG105" t="s">
        <v>192</v>
      </c>
      <c r="AH105" t="s">
        <v>195</v>
      </c>
      <c r="AN105" t="s">
        <v>207</v>
      </c>
      <c r="AO105" t="s">
        <v>211</v>
      </c>
      <c r="AP105" t="s">
        <v>217</v>
      </c>
      <c r="AQ105" t="s">
        <v>212</v>
      </c>
      <c r="AR105" t="s">
        <v>180</v>
      </c>
      <c r="AS105" t="s">
        <v>170</v>
      </c>
      <c r="AT105" t="s">
        <v>122</v>
      </c>
      <c r="AW105" t="s">
        <v>124</v>
      </c>
      <c r="AX105" t="s">
        <v>92</v>
      </c>
      <c r="AY105" t="s">
        <v>163</v>
      </c>
      <c r="AZ105" t="s">
        <v>162</v>
      </c>
      <c r="BA105" t="s">
        <v>156</v>
      </c>
      <c r="BB105" t="s">
        <v>151</v>
      </c>
    </row>
    <row r="107" spans="2:54">
      <c r="AA107" t="s">
        <v>120</v>
      </c>
      <c r="AB107" t="s">
        <v>120</v>
      </c>
      <c r="AC107" t="s">
        <v>120</v>
      </c>
      <c r="AD107" t="s">
        <v>120</v>
      </c>
      <c r="AE107" t="s">
        <v>120</v>
      </c>
      <c r="AF107" t="s">
        <v>120</v>
      </c>
      <c r="AG107" t="s">
        <v>120</v>
      </c>
      <c r="AH107" t="s">
        <v>120</v>
      </c>
      <c r="AN107" t="s">
        <v>120</v>
      </c>
      <c r="AO107" t="s">
        <v>120</v>
      </c>
      <c r="AP107" t="s">
        <v>120</v>
      </c>
      <c r="AQ107" t="s">
        <v>120</v>
      </c>
      <c r="AR107" t="s">
        <v>120</v>
      </c>
      <c r="AS107" t="s">
        <v>120</v>
      </c>
      <c r="AT107" t="s">
        <v>120</v>
      </c>
      <c r="AW107" t="s">
        <v>120</v>
      </c>
      <c r="AX107" t="s">
        <v>120</v>
      </c>
      <c r="AY107" t="s">
        <v>120</v>
      </c>
      <c r="AZ107" t="s">
        <v>120</v>
      </c>
      <c r="BA107" t="s">
        <v>120</v>
      </c>
      <c r="BB10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domexp</vt:lpstr>
      <vt:lpstr>reexp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2009-10-14T15:00:13Z</dcterms:created>
  <dcterms:modified xsi:type="dcterms:W3CDTF">2011-10-03T15:00:59Z</dcterms:modified>
</cp:coreProperties>
</file>