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6855"/>
  </bookViews>
  <sheets>
    <sheet name="imports" sheetId="1" r:id="rId1"/>
    <sheet name="Sheet2" sheetId="2" r:id="rId2"/>
    <sheet name="Sheet3" sheetId="3" r:id="rId3"/>
    <sheet name="pt1" sheetId="4" r:id="rId4"/>
    <sheet name="pt2" sheetId="5" r:id="rId5"/>
    <sheet name="pt3" sheetId="6" r:id="rId6"/>
    <sheet name="pt4" sheetId="7" r:id="rId7"/>
    <sheet name="Sheet7" sheetId="8" r:id="rId8"/>
    <sheet name="Sheet1" sheetId="9" r:id="rId9"/>
  </sheets>
  <calcPr calcId="125725"/>
</workbook>
</file>

<file path=xl/calcChain.xml><?xml version="1.0" encoding="utf-8"?>
<calcChain xmlns="http://schemas.openxmlformats.org/spreadsheetml/2006/main">
  <c r="AK22" i="1"/>
  <c r="B107" i="7"/>
  <c r="B107" i="6"/>
  <c r="B103" i="5"/>
  <c r="B103" i="6"/>
  <c r="B103" i="7"/>
  <c r="B103" i="4"/>
  <c r="AL22" i="1"/>
  <c r="B102" i="4"/>
  <c r="B102" i="5"/>
  <c r="B102" i="6"/>
  <c r="B102" i="7"/>
  <c r="B102" i="8"/>
  <c r="AM22" i="1"/>
  <c r="AM106"/>
  <c r="AM109" s="1"/>
  <c r="B101" i="4"/>
  <c r="B101" i="5"/>
  <c r="B101" i="8" s="1"/>
  <c r="B101" i="6"/>
  <c r="B101" i="7"/>
  <c r="B100" i="5"/>
  <c r="B100" i="6"/>
  <c r="B100" i="7"/>
  <c r="B100" i="4"/>
  <c r="B99" i="5"/>
  <c r="B99" i="6"/>
  <c r="B99" i="7"/>
  <c r="B99" i="4"/>
  <c r="AN22" i="1"/>
  <c r="B45" i="7"/>
  <c r="B98" i="5"/>
  <c r="B98" i="6"/>
  <c r="B98" i="7"/>
  <c r="B98" i="4"/>
  <c r="B97" i="5"/>
  <c r="B97" i="6"/>
  <c r="B97" i="7"/>
  <c r="B97" i="4"/>
  <c r="B76" i="7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76" i="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76" i="5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 i="4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O38" i="1"/>
  <c r="AO36"/>
  <c r="AO33"/>
  <c r="AO97"/>
  <c r="AO31"/>
  <c r="AO65"/>
  <c r="AO29"/>
  <c r="AO28"/>
  <c r="AO26"/>
  <c r="AO64"/>
  <c r="AO46"/>
  <c r="AO19"/>
  <c r="AO18"/>
  <c r="AO7"/>
  <c r="AO16"/>
  <c r="AO15"/>
  <c r="AO14"/>
  <c r="AO41"/>
  <c r="AO81"/>
  <c r="AO8"/>
  <c r="AO12"/>
  <c r="AO22"/>
  <c r="AO11"/>
  <c r="AO13"/>
  <c r="AO48"/>
  <c r="AO32"/>
  <c r="AO106"/>
  <c r="AO109" s="1"/>
  <c r="AP46"/>
  <c r="AP36"/>
  <c r="AP33"/>
  <c r="AP31"/>
  <c r="AP63"/>
  <c r="AP19"/>
  <c r="AP38"/>
  <c r="AP32"/>
  <c r="AP65"/>
  <c r="AP29"/>
  <c r="AP28"/>
  <c r="AP26"/>
  <c r="AP12"/>
  <c r="AP64"/>
  <c r="AP22"/>
  <c r="AP11"/>
  <c r="AP18"/>
  <c r="AP7"/>
  <c r="AP16"/>
  <c r="AP15"/>
  <c r="AP14"/>
  <c r="AP13"/>
  <c r="AP8"/>
  <c r="AR15"/>
  <c r="AR36"/>
  <c r="AR33"/>
  <c r="AR31"/>
  <c r="AR32"/>
  <c r="AR29"/>
  <c r="AR91"/>
  <c r="AR28"/>
  <c r="AR26"/>
  <c r="AR90"/>
  <c r="AR12"/>
  <c r="AR64"/>
  <c r="AR46"/>
  <c r="AR22"/>
  <c r="AR19"/>
  <c r="AR11"/>
  <c r="AR43"/>
  <c r="AR18"/>
  <c r="AR7"/>
  <c r="AR16"/>
  <c r="AR14"/>
  <c r="AR8"/>
  <c r="AR13"/>
  <c r="AQ12"/>
  <c r="AQ15"/>
  <c r="AQ22"/>
  <c r="AQ48"/>
  <c r="AQ36"/>
  <c r="AQ47"/>
  <c r="AQ31"/>
  <c r="AQ32"/>
  <c r="AQ29"/>
  <c r="AQ28"/>
  <c r="AQ26"/>
  <c r="AQ64"/>
  <c r="AQ46"/>
  <c r="AQ19"/>
  <c r="AQ18"/>
  <c r="AQ7"/>
  <c r="AQ16"/>
  <c r="AQ14"/>
  <c r="AQ41"/>
  <c r="AQ81"/>
  <c r="AQ8"/>
  <c r="AQ11"/>
  <c r="AQ13"/>
  <c r="AV16"/>
  <c r="AV81"/>
  <c r="AV32"/>
  <c r="AV27"/>
  <c r="AV38"/>
  <c r="AV15"/>
  <c r="AV11"/>
  <c r="AV22"/>
  <c r="AW27"/>
  <c r="AW36"/>
  <c r="AW43"/>
  <c r="AW32"/>
  <c r="AW49"/>
  <c r="AW25"/>
  <c r="AW11"/>
  <c r="AW22"/>
  <c r="AW38"/>
  <c r="AX35"/>
  <c r="AX38"/>
  <c r="AX32"/>
  <c r="AX25"/>
  <c r="AX27"/>
  <c r="AX43"/>
  <c r="AX31"/>
  <c r="AX49"/>
  <c r="AX11"/>
  <c r="AX22"/>
  <c r="B4" i="7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5" i="6"/>
  <c r="B75" i="4"/>
  <c r="B74" i="6"/>
  <c r="B74" i="4"/>
  <c r="B73" i="6"/>
  <c r="B73" i="4"/>
  <c r="B72" i="6"/>
  <c r="B72" i="4"/>
  <c r="B71"/>
  <c r="B71" i="6"/>
  <c r="B69"/>
  <c r="B70"/>
  <c r="B69" i="4"/>
  <c r="B70"/>
  <c r="AJ4" i="1"/>
  <c r="AJ106" s="1"/>
  <c r="AJ109" s="1"/>
  <c r="B67" i="4"/>
  <c r="B68"/>
  <c r="B67" i="6"/>
  <c r="B68"/>
  <c r="B66" i="4"/>
  <c r="B66" i="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" i="7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3"/>
  <c r="B105" s="1"/>
  <c r="B107" s="1"/>
  <c r="E106" i="1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K106"/>
  <c r="AK109" s="1"/>
  <c r="AL106"/>
  <c r="AL109" s="1"/>
  <c r="AN106"/>
  <c r="AN109" s="1"/>
  <c r="AQ106"/>
  <c r="AQ109" s="1"/>
  <c r="AR106"/>
  <c r="AR109" s="1"/>
  <c r="AS106"/>
  <c r="AT106"/>
  <c r="AU106"/>
  <c r="BB106"/>
  <c r="BB109" s="1"/>
  <c r="F68" i="3"/>
  <c r="F63"/>
  <c r="F62"/>
  <c r="F61"/>
  <c r="F60"/>
  <c r="F56"/>
  <c r="F57"/>
  <c r="F58"/>
  <c r="F59"/>
  <c r="AZ106" i="1"/>
  <c r="AZ109" s="1"/>
  <c r="BA106"/>
  <c r="BA109" s="1"/>
  <c r="F55" i="3"/>
  <c r="F53"/>
  <c r="F54"/>
  <c r="F52"/>
  <c r="F51"/>
  <c r="F50"/>
  <c r="F49"/>
  <c r="F47"/>
  <c r="F48"/>
  <c r="F46"/>
  <c r="F64"/>
  <c r="C65"/>
  <c r="D65"/>
  <c r="E65"/>
  <c r="B65"/>
  <c r="AY6" i="1"/>
  <c r="AY106" s="1"/>
  <c r="F40" i="3"/>
  <c r="F41"/>
  <c r="F42"/>
  <c r="F43"/>
  <c r="F44"/>
  <c r="F4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3"/>
  <c r="B103" i="8" l="1"/>
  <c r="B99"/>
  <c r="B100"/>
  <c r="B65"/>
  <c r="B61"/>
  <c r="B57"/>
  <c r="B53"/>
  <c r="B49"/>
  <c r="B45"/>
  <c r="B41"/>
  <c r="B33"/>
  <c r="B29"/>
  <c r="B25"/>
  <c r="B93"/>
  <c r="B87"/>
  <c r="B79"/>
  <c r="B95"/>
  <c r="B91"/>
  <c r="B89"/>
  <c r="B85"/>
  <c r="B83"/>
  <c r="B81"/>
  <c r="B77"/>
  <c r="B98"/>
  <c r="B96"/>
  <c r="B80"/>
  <c r="B94"/>
  <c r="B92"/>
  <c r="B90"/>
  <c r="B88"/>
  <c r="B86"/>
  <c r="B84"/>
  <c r="B82"/>
  <c r="B78"/>
  <c r="B76"/>
  <c r="B97"/>
  <c r="B105" i="7"/>
  <c r="B105" i="6"/>
  <c r="B105" i="5"/>
  <c r="B107" s="1"/>
  <c r="B17" i="8"/>
  <c r="B21"/>
  <c r="B71"/>
  <c r="B72"/>
  <c r="B70"/>
  <c r="AP106" i="1"/>
  <c r="AP109" s="1"/>
  <c r="AW106"/>
  <c r="AW109" s="1"/>
  <c r="AV106"/>
  <c r="AV109" s="1"/>
  <c r="AX106"/>
  <c r="AX109" s="1"/>
  <c r="B37" i="8"/>
  <c r="B69"/>
  <c r="B75"/>
  <c r="B74"/>
  <c r="B73"/>
  <c r="B3"/>
  <c r="B58"/>
  <c r="B46"/>
  <c r="B38"/>
  <c r="B34"/>
  <c r="B30"/>
  <c r="B26"/>
  <c r="B22"/>
  <c r="B18"/>
  <c r="B10"/>
  <c r="B6"/>
  <c r="B54"/>
  <c r="B59"/>
  <c r="B51"/>
  <c r="B43"/>
  <c r="B39"/>
  <c r="B35"/>
  <c r="B31"/>
  <c r="B27"/>
  <c r="B19"/>
  <c r="B15"/>
  <c r="B11"/>
  <c r="B7"/>
  <c r="B62"/>
  <c r="B50"/>
  <c r="B42"/>
  <c r="B63"/>
  <c r="B55"/>
  <c r="B47"/>
  <c r="B23"/>
  <c r="B14"/>
  <c r="B13"/>
  <c r="B9"/>
  <c r="B5"/>
  <c r="B68"/>
  <c r="B64"/>
  <c r="B60"/>
  <c r="B56"/>
  <c r="B52"/>
  <c r="B48"/>
  <c r="B44"/>
  <c r="B40"/>
  <c r="B36"/>
  <c r="B32"/>
  <c r="B28"/>
  <c r="B24"/>
  <c r="B20"/>
  <c r="B16"/>
  <c r="B12"/>
  <c r="B8"/>
  <c r="B4"/>
  <c r="B66"/>
  <c r="B67"/>
  <c r="F65" i="3"/>
  <c r="AY109" i="1"/>
  <c r="B105" i="8" l="1"/>
</calcChain>
</file>

<file path=xl/sharedStrings.xml><?xml version="1.0" encoding="utf-8"?>
<sst xmlns="http://schemas.openxmlformats.org/spreadsheetml/2006/main" count="719" uniqueCount="139">
  <si>
    <t>notes</t>
  </si>
  <si>
    <t>unit</t>
  </si>
  <si>
    <t>Suriname</t>
  </si>
  <si>
    <t>Nederland</t>
  </si>
  <si>
    <t>Groot-Brittannie</t>
  </si>
  <si>
    <t>Verenigde Staaten van Noord-Amerika</t>
  </si>
  <si>
    <t>Canada</t>
  </si>
  <si>
    <t>Argentinie</t>
  </si>
  <si>
    <t>Brits-Guyana</t>
  </si>
  <si>
    <t>Trinidad</t>
  </si>
  <si>
    <t>Curacao</t>
  </si>
  <si>
    <t>Madeira</t>
  </si>
  <si>
    <t>Barbados</t>
  </si>
  <si>
    <t>Belgie</t>
  </si>
  <si>
    <t>Brazilie</t>
  </si>
  <si>
    <t>Brits-Indie</t>
  </si>
  <si>
    <t>Californie</t>
  </si>
  <si>
    <t>China</t>
  </si>
  <si>
    <t>Denemarken</t>
  </si>
  <si>
    <t>Dominica</t>
  </si>
  <si>
    <t>Frankrijk</t>
  </si>
  <si>
    <t>Fr. Guyana</t>
  </si>
  <si>
    <t>Grenada</t>
  </si>
  <si>
    <t>Griekendland</t>
  </si>
  <si>
    <t>Jamaica</t>
  </si>
  <si>
    <t>Martinique</t>
  </si>
  <si>
    <t>Mexico</t>
  </si>
  <si>
    <t>N-O-Indie</t>
  </si>
  <si>
    <t>Noorwegen</t>
  </si>
  <si>
    <t>Panama</t>
  </si>
  <si>
    <t>Portugal</t>
  </si>
  <si>
    <t>Puerto Rico</t>
  </si>
  <si>
    <t>Spanje</t>
  </si>
  <si>
    <t>St Lucia</t>
  </si>
  <si>
    <t>Uruguay</t>
  </si>
  <si>
    <t>Zwitserland</t>
  </si>
  <si>
    <t>Marokko</t>
  </si>
  <si>
    <t>Venezuela</t>
  </si>
  <si>
    <t>Antigua</t>
  </si>
  <si>
    <t>Australie</t>
  </si>
  <si>
    <t>Columbia</t>
  </si>
  <si>
    <t>Cuba</t>
  </si>
  <si>
    <t>Ecuador</t>
  </si>
  <si>
    <t>Haiti</t>
  </si>
  <si>
    <t>Italie</t>
  </si>
  <si>
    <t>Tsj-Slowakije</t>
  </si>
  <si>
    <t>Zweden</t>
  </si>
  <si>
    <t>I</t>
  </si>
  <si>
    <t>II</t>
  </si>
  <si>
    <t>III</t>
  </si>
  <si>
    <t>IV</t>
  </si>
  <si>
    <t>UK total is off by 6 in the total. Sums of the components add tototal listed above</t>
  </si>
  <si>
    <t>From Statistical Annual of Suriname for the Year 1947, pp. 140-143</t>
  </si>
  <si>
    <t>Chili</t>
  </si>
  <si>
    <t>Zuid-Afrika</t>
  </si>
  <si>
    <t>Guatemala</t>
  </si>
  <si>
    <t>Panama C.Z.</t>
  </si>
  <si>
    <t>Rusland</t>
  </si>
  <si>
    <t xml:space="preserve">St. Thomas </t>
  </si>
  <si>
    <t>Excludes "Onbewerkt goud en zilver, en gouden en zilveren munten"</t>
  </si>
  <si>
    <t>Gold: US 7358, Fr. Guyana 137279</t>
  </si>
  <si>
    <t>From Statistical Annual of Suriname for the Year 1946, pp. 150-153</t>
  </si>
  <si>
    <t>Gold: Brazilie 750; French Guyana 67397</t>
  </si>
  <si>
    <t>Alaska</t>
  </si>
  <si>
    <t>Ceylon</t>
  </si>
  <si>
    <t>Egypte</t>
  </si>
  <si>
    <t>India</t>
  </si>
  <si>
    <t>Indonesie</t>
  </si>
  <si>
    <t>Duitsland</t>
  </si>
  <si>
    <t>Honduras</t>
  </si>
  <si>
    <t>Hongarije</t>
  </si>
  <si>
    <t>Japan</t>
  </si>
  <si>
    <t>Oostenrijk</t>
  </si>
  <si>
    <t>Ned. Antillen</t>
  </si>
  <si>
    <t>St. Domingo</t>
  </si>
  <si>
    <t>Gibraltar</t>
  </si>
  <si>
    <t>Hindustan</t>
  </si>
  <si>
    <t>Libanon</t>
  </si>
  <si>
    <t>Pakistan</t>
  </si>
  <si>
    <t>Peru</t>
  </si>
  <si>
    <t>Singapore</t>
  </si>
  <si>
    <t>St Martin</t>
  </si>
  <si>
    <t>Luxemburg</t>
  </si>
  <si>
    <t>St Nazaire</t>
  </si>
  <si>
    <t>Bulgarije</t>
  </si>
  <si>
    <t>Cayenne</t>
  </si>
  <si>
    <t>Numbers all screwed up; sums for Trinidad and Netherlands wrong</t>
  </si>
  <si>
    <t>Ierland</t>
  </si>
  <si>
    <t>Bonaire</t>
  </si>
  <si>
    <t>Siam</t>
  </si>
  <si>
    <t>Zanzibar</t>
  </si>
  <si>
    <t>Guadeloupe</t>
  </si>
  <si>
    <t>From Statistical Annual of Suriname for the Year 1945, pp. 140-141</t>
  </si>
  <si>
    <t>Includes "Onbewerkt goud en zilver, en gouden en zilveren munten"</t>
  </si>
  <si>
    <t>Gold: Fr Guyana 136051</t>
  </si>
  <si>
    <t>Gold: Fr Guyana 136050, US 204500, Argentine 4087</t>
  </si>
  <si>
    <t>Afrika</t>
  </si>
  <si>
    <t>Aruba</t>
  </si>
  <si>
    <t>Colon</t>
  </si>
  <si>
    <t>Zuid-Amerika</t>
  </si>
  <si>
    <t>Iran</t>
  </si>
  <si>
    <t>From Statistical Annual of Suriname for the Year 1944, pp. 140-140</t>
  </si>
  <si>
    <t>From Statistical Annual of Suriname for the Year 1943, pp. 148-149</t>
  </si>
  <si>
    <t>Gold: Fr Guyana 139074, Curacao 10000, Argentine 11747</t>
  </si>
  <si>
    <t>Gold: Netherlands 102193, Fr Guyana 75927, Brazilie 100</t>
  </si>
  <si>
    <t>Turkije</t>
  </si>
  <si>
    <t>Manilla</t>
  </si>
  <si>
    <t>Syrie</t>
  </si>
  <si>
    <t>Gold: Netherlands 1278, Fr Guyana 65015, Brazilie 221</t>
  </si>
  <si>
    <t>Iraq</t>
  </si>
  <si>
    <t>Java</t>
  </si>
  <si>
    <t>Malakka</t>
  </si>
  <si>
    <t>Nieuw-Zeeland</t>
  </si>
  <si>
    <t>Rhodesia</t>
  </si>
  <si>
    <t>Palestina</t>
  </si>
  <si>
    <t>Gold: Netherlands 199286, Fr Guyana 68439</t>
  </si>
  <si>
    <t>Estland</t>
  </si>
  <si>
    <t>Polen</t>
  </si>
  <si>
    <t>From Statistical Annual of Suriname for the Year 1938, pp. 178-179</t>
  </si>
  <si>
    <t>From Statistical Annual of Suriname for the Year 1937, pp. 199-201</t>
  </si>
  <si>
    <t>Gold: Netherlands 142096, Fr Guyana 47643</t>
  </si>
  <si>
    <t>Joego Slavie</t>
  </si>
  <si>
    <t>Anguilla</t>
  </si>
  <si>
    <t>Straits Settlements</t>
  </si>
  <si>
    <t>From Statistical Annual of Suriname for the Year 1937, pp. 199-200</t>
  </si>
  <si>
    <t>Gold: Netherlands 262152, Fr Guyana 36280</t>
  </si>
  <si>
    <t>St. Vincent</t>
  </si>
  <si>
    <t>Saba</t>
  </si>
  <si>
    <t>From Statistical Annual of Suriname for the Year 1937, pp. 199-199</t>
  </si>
  <si>
    <t>Gold: Netherlands 603289, Fr Guyana 38579, Britisch Guyana 7</t>
  </si>
  <si>
    <t xml:space="preserve">Part III is off by 1 </t>
  </si>
  <si>
    <t>Letland</t>
  </si>
  <si>
    <t>From Statistical Annual of Suriname for the Year 1937, pp. 199-198</t>
  </si>
  <si>
    <t>Gold: Netherlands 1335, Fr Guyana 21830</t>
  </si>
  <si>
    <t>Calcutta</t>
  </si>
  <si>
    <t>Part III is off by 327</t>
  </si>
  <si>
    <t>From Statistical Annual of Suriname for the Year 1933</t>
  </si>
  <si>
    <t>Gold: Netherlands 2406, Fr Guyana 15871, US 746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</si>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</sst>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19"/>
  <sheetViews>
    <sheetView tabSelected="1" zoomScale="85" zoomScaleNormal="85" workbookViewId="0">
      <pane xSplit="4" ySplit="1" topLeftCell="AA77" activePane="bottomRight" state="frozen"/>
      <selection pane="topRight" activeCell="E1" sqref="E1"/>
      <selection pane="bottomLeft" activeCell="A2" sqref="A2"/>
      <selection pane="bottomRight" activeCell="B106" sqref="B106"/>
    </sheetView>
  </sheetViews>
  <sheetFormatPr defaultRowHeight="15"/>
  <cols>
    <col min="48" max="54" width="9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C3">
        <v>1</v>
      </c>
      <c r="D3">
        <v>1</v>
      </c>
    </row>
    <row r="4" spans="1:54">
      <c r="A4" t="s">
        <v>2</v>
      </c>
      <c r="B4" t="s">
        <v>3</v>
      </c>
      <c r="AJ4">
        <f>3581086-5366</f>
        <v>3575720</v>
      </c>
      <c r="AK4">
        <v>2301224</v>
      </c>
      <c r="AL4">
        <v>1911311</v>
      </c>
      <c r="AM4">
        <v>2359454</v>
      </c>
      <c r="AN4">
        <v>2291039</v>
      </c>
      <c r="AO4">
        <v>2217708</v>
      </c>
      <c r="AP4">
        <v>2683671</v>
      </c>
      <c r="AQ4">
        <v>2573459</v>
      </c>
      <c r="AR4">
        <v>2715020</v>
      </c>
      <c r="AV4">
        <v>150</v>
      </c>
      <c r="AX4">
        <v>26735</v>
      </c>
      <c r="AY4">
        <v>1577553</v>
      </c>
      <c r="AZ4">
        <v>6085439</v>
      </c>
      <c r="BA4">
        <v>11139210</v>
      </c>
      <c r="BB4">
        <v>9963981</v>
      </c>
    </row>
    <row r="5" spans="1:54">
      <c r="B5" t="s">
        <v>4</v>
      </c>
      <c r="AJ5">
        <v>108480</v>
      </c>
      <c r="AK5">
        <v>989574</v>
      </c>
      <c r="AL5">
        <v>701530</v>
      </c>
      <c r="AM5">
        <v>503712</v>
      </c>
      <c r="AN5">
        <v>634069</v>
      </c>
      <c r="AO5">
        <v>628481</v>
      </c>
      <c r="AP5">
        <v>622418</v>
      </c>
      <c r="AQ5">
        <v>495098</v>
      </c>
      <c r="AR5">
        <v>415321</v>
      </c>
      <c r="AV5">
        <v>408333</v>
      </c>
      <c r="AW5">
        <v>649103</v>
      </c>
      <c r="AX5">
        <v>593504</v>
      </c>
      <c r="AY5">
        <v>948508</v>
      </c>
      <c r="AZ5">
        <v>1193477</v>
      </c>
      <c r="BA5">
        <v>1364911</v>
      </c>
      <c r="BB5">
        <v>1636985</v>
      </c>
    </row>
    <row r="6" spans="1:54">
      <c r="B6" t="s">
        <v>5</v>
      </c>
      <c r="AJ6">
        <v>1611144</v>
      </c>
      <c r="AK6">
        <v>1212313</v>
      </c>
      <c r="AL6">
        <v>973764</v>
      </c>
      <c r="AM6">
        <v>878063</v>
      </c>
      <c r="AN6">
        <v>970307</v>
      </c>
      <c r="AO6">
        <v>1172547</v>
      </c>
      <c r="AP6">
        <v>1541798</v>
      </c>
      <c r="AQ6">
        <v>1756468</v>
      </c>
      <c r="AR6">
        <v>2363621</v>
      </c>
      <c r="AV6">
        <v>11525414</v>
      </c>
      <c r="AW6">
        <v>9328993</v>
      </c>
      <c r="AX6">
        <v>7243296</v>
      </c>
      <c r="AY6">
        <f>8699666-7358</f>
        <v>8692308</v>
      </c>
      <c r="AZ6">
        <v>17885479</v>
      </c>
      <c r="BA6">
        <v>17740885</v>
      </c>
      <c r="BB6">
        <v>19746672</v>
      </c>
    </row>
    <row r="7" spans="1:54">
      <c r="B7" t="s">
        <v>6</v>
      </c>
      <c r="AJ7">
        <v>710</v>
      </c>
      <c r="AK7">
        <v>161777</v>
      </c>
      <c r="AL7">
        <v>161290</v>
      </c>
      <c r="AM7">
        <v>93240</v>
      </c>
      <c r="AN7">
        <v>101058</v>
      </c>
      <c r="AO7">
        <f>1226+7946+67756</f>
        <v>76928</v>
      </c>
      <c r="AP7">
        <f>78363+251+16854</f>
        <v>95468</v>
      </c>
      <c r="AQ7">
        <f>56892+139+14985</f>
        <v>72016</v>
      </c>
      <c r="AR7">
        <f>71761+986+13629</f>
        <v>86376</v>
      </c>
      <c r="AV7">
        <v>246673</v>
      </c>
      <c r="AW7">
        <v>286749</v>
      </c>
      <c r="AX7">
        <v>212586</v>
      </c>
      <c r="AY7">
        <v>362157</v>
      </c>
      <c r="AZ7">
        <v>513865</v>
      </c>
      <c r="BA7">
        <v>850031</v>
      </c>
      <c r="BB7">
        <v>942683</v>
      </c>
    </row>
    <row r="8" spans="1:54">
      <c r="B8" t="s">
        <v>7</v>
      </c>
      <c r="AK8">
        <v>37296</v>
      </c>
      <c r="AL8">
        <v>64913</v>
      </c>
      <c r="AM8">
        <v>102810</v>
      </c>
      <c r="AN8">
        <v>90810</v>
      </c>
      <c r="AO8">
        <f>134+119991</f>
        <v>120125</v>
      </c>
      <c r="AP8">
        <f>146972+2325</f>
        <v>149297</v>
      </c>
      <c r="AQ8">
        <f>140985+4322+4825</f>
        <v>150132</v>
      </c>
      <c r="AR8">
        <f>190807+226+3722</f>
        <v>194755</v>
      </c>
      <c r="AV8">
        <v>4312313</v>
      </c>
      <c r="AW8">
        <v>2323968</v>
      </c>
      <c r="AX8">
        <v>1796043</v>
      </c>
      <c r="AY8">
        <v>1064825</v>
      </c>
      <c r="AZ8">
        <v>970282</v>
      </c>
      <c r="BA8">
        <v>619732</v>
      </c>
      <c r="BB8">
        <v>670695</v>
      </c>
    </row>
    <row r="9" spans="1:54">
      <c r="B9" t="s">
        <v>8</v>
      </c>
      <c r="AJ9">
        <v>647140</v>
      </c>
      <c r="AK9">
        <v>170732</v>
      </c>
      <c r="AL9">
        <v>27753</v>
      </c>
      <c r="AM9">
        <v>43999</v>
      </c>
      <c r="AN9">
        <v>81399</v>
      </c>
      <c r="AO9">
        <v>13376</v>
      </c>
      <c r="AP9">
        <v>58822</v>
      </c>
      <c r="AQ9">
        <v>46146</v>
      </c>
      <c r="AR9">
        <v>13986</v>
      </c>
      <c r="AV9">
        <v>261160</v>
      </c>
      <c r="AW9">
        <v>344286</v>
      </c>
      <c r="AX9">
        <v>525427</v>
      </c>
      <c r="AY9">
        <v>322404</v>
      </c>
      <c r="AZ9">
        <v>196074</v>
      </c>
      <c r="BA9">
        <v>116958</v>
      </c>
      <c r="BB9">
        <v>89661</v>
      </c>
    </row>
    <row r="10" spans="1:54">
      <c r="B10" t="s">
        <v>9</v>
      </c>
      <c r="AJ10">
        <v>276863</v>
      </c>
      <c r="AK10">
        <v>137097</v>
      </c>
      <c r="AL10">
        <v>133425</v>
      </c>
      <c r="AM10">
        <v>155008</v>
      </c>
      <c r="AN10">
        <v>195774</v>
      </c>
      <c r="AO10">
        <v>161597</v>
      </c>
      <c r="AP10">
        <v>271282</v>
      </c>
      <c r="AQ10">
        <v>239792</v>
      </c>
      <c r="AR10">
        <v>381303</v>
      </c>
      <c r="AV10">
        <v>1185555</v>
      </c>
      <c r="AW10">
        <v>1201437</v>
      </c>
      <c r="AX10">
        <v>990254</v>
      </c>
      <c r="AY10">
        <v>1531271</v>
      </c>
      <c r="AZ10">
        <v>1729043</v>
      </c>
      <c r="BA10">
        <v>2170402</v>
      </c>
      <c r="BB10">
        <v>2444796</v>
      </c>
    </row>
    <row r="11" spans="1:54">
      <c r="B11" t="s">
        <v>10</v>
      </c>
      <c r="AJ11">
        <v>110916</v>
      </c>
      <c r="AK11">
        <v>18706</v>
      </c>
      <c r="AL11">
        <v>16448</v>
      </c>
      <c r="AM11">
        <v>15081</v>
      </c>
      <c r="AN11">
        <v>21076</v>
      </c>
      <c r="AO11">
        <f>17977+11570+13+127</f>
        <v>29687</v>
      </c>
      <c r="AP11">
        <f>22+50012+14545</f>
        <v>64579</v>
      </c>
      <c r="AQ11">
        <f>12+432+29016+13924</f>
        <v>43384</v>
      </c>
      <c r="AR11">
        <f>84+31533+5587</f>
        <v>37204</v>
      </c>
      <c r="AV11">
        <f>10+56654+10797+468949+10000</f>
        <v>546410</v>
      </c>
      <c r="AW11">
        <f>29+103001+78769+235856</f>
        <v>417655</v>
      </c>
      <c r="AX11">
        <f>10+89466+51047+250288</f>
        <v>390811</v>
      </c>
      <c r="AY11">
        <v>460620</v>
      </c>
      <c r="AZ11">
        <v>397327</v>
      </c>
      <c r="BA11">
        <v>192100</v>
      </c>
      <c r="BB11">
        <v>0</v>
      </c>
    </row>
    <row r="12" spans="1:54">
      <c r="B12" t="s">
        <v>11</v>
      </c>
      <c r="AJ12">
        <v>21896</v>
      </c>
      <c r="AK12">
        <v>18743</v>
      </c>
      <c r="AL12">
        <v>21054</v>
      </c>
      <c r="AM12">
        <v>15166</v>
      </c>
      <c r="AN12">
        <v>23375</v>
      </c>
      <c r="AO12">
        <f>4395+103+17605</f>
        <v>22103</v>
      </c>
      <c r="AP12">
        <f>18061+99+4087</f>
        <v>22247</v>
      </c>
      <c r="AQ12">
        <f>33+21262+176+2875</f>
        <v>24346</v>
      </c>
      <c r="AR12">
        <f>13+23696+3894</f>
        <v>27603</v>
      </c>
      <c r="AY12">
        <v>90602</v>
      </c>
      <c r="AZ12">
        <v>92976</v>
      </c>
      <c r="BA12">
        <v>75908</v>
      </c>
      <c r="BB12">
        <v>11084</v>
      </c>
    </row>
    <row r="13" spans="1:54">
      <c r="B13" t="s">
        <v>12</v>
      </c>
      <c r="AJ13">
        <v>5222</v>
      </c>
      <c r="AK13">
        <v>4146</v>
      </c>
      <c r="AL13">
        <v>8484</v>
      </c>
      <c r="AM13">
        <v>21760</v>
      </c>
      <c r="AN13">
        <v>15769</v>
      </c>
      <c r="AO13">
        <f>48+13855+41+6078</f>
        <v>20022</v>
      </c>
      <c r="AP13">
        <f>17017+27+11475</f>
        <v>28519</v>
      </c>
      <c r="AQ13">
        <f>10+11545+11590</f>
        <v>23145</v>
      </c>
      <c r="AR13">
        <f>10+18823</f>
        <v>18833</v>
      </c>
      <c r="AV13">
        <v>22320</v>
      </c>
      <c r="AW13">
        <v>16692</v>
      </c>
      <c r="AX13">
        <v>47415</v>
      </c>
      <c r="AY13">
        <v>49056</v>
      </c>
      <c r="AZ13">
        <v>91075</v>
      </c>
      <c r="BA13">
        <v>68952</v>
      </c>
      <c r="BB13">
        <v>77304</v>
      </c>
    </row>
    <row r="14" spans="1:54">
      <c r="B14" t="s">
        <v>13</v>
      </c>
      <c r="AJ14">
        <v>1100</v>
      </c>
      <c r="AK14">
        <v>7459</v>
      </c>
      <c r="AL14">
        <v>10862</v>
      </c>
      <c r="AM14">
        <v>8107</v>
      </c>
      <c r="AN14">
        <v>9324</v>
      </c>
      <c r="AO14">
        <f>509+26405+2113</f>
        <v>29027</v>
      </c>
      <c r="AP14">
        <f>1124+428+29848</f>
        <v>31400</v>
      </c>
      <c r="AQ14">
        <f>1330+17986</f>
        <v>19316</v>
      </c>
      <c r="AR14">
        <f>2248+4028+25470</f>
        <v>31746</v>
      </c>
      <c r="AY14">
        <v>51750</v>
      </c>
      <c r="AZ14">
        <v>258659</v>
      </c>
      <c r="BA14">
        <v>487845</v>
      </c>
      <c r="BB14">
        <v>317685</v>
      </c>
    </row>
    <row r="15" spans="1:54">
      <c r="B15" t="s">
        <v>14</v>
      </c>
      <c r="AJ15">
        <v>7196</v>
      </c>
      <c r="AK15">
        <v>885</v>
      </c>
      <c r="AL15">
        <v>5</v>
      </c>
      <c r="AM15">
        <v>0</v>
      </c>
      <c r="AN15">
        <v>68</v>
      </c>
      <c r="AO15">
        <f>2+2072+3855</f>
        <v>5929</v>
      </c>
      <c r="AP15">
        <f>757+87</f>
        <v>844</v>
      </c>
      <c r="AQ15">
        <f>4+16198+1030+3242+100</f>
        <v>20574</v>
      </c>
      <c r="AR15">
        <f>7047+8079+221</f>
        <v>15347</v>
      </c>
      <c r="AV15">
        <f>633535+68919+2663539</f>
        <v>3365993</v>
      </c>
      <c r="AW15">
        <v>492966</v>
      </c>
      <c r="AX15">
        <v>196792</v>
      </c>
      <c r="AY15">
        <v>76325</v>
      </c>
      <c r="AZ15">
        <v>432314</v>
      </c>
      <c r="BA15">
        <v>286896</v>
      </c>
      <c r="BB15">
        <v>68651</v>
      </c>
    </row>
    <row r="16" spans="1:54">
      <c r="B16" t="s">
        <v>15</v>
      </c>
      <c r="AJ16">
        <v>14028</v>
      </c>
      <c r="AK16">
        <v>177</v>
      </c>
      <c r="AL16">
        <v>76580</v>
      </c>
      <c r="AM16">
        <v>45754</v>
      </c>
      <c r="AN16">
        <v>67197</v>
      </c>
      <c r="AO16">
        <f>402+27304+22060</f>
        <v>49766</v>
      </c>
      <c r="AP16">
        <f>26051+467+52932</f>
        <v>79450</v>
      </c>
      <c r="AQ16">
        <f>28557+730+33465</f>
        <v>62752</v>
      </c>
      <c r="AR16">
        <f>32376+494+88823</f>
        <v>121693</v>
      </c>
      <c r="AV16">
        <f>4177+35085</f>
        <v>39262</v>
      </c>
      <c r="AW16">
        <v>70259</v>
      </c>
      <c r="AY16">
        <v>9691</v>
      </c>
      <c r="AZ16">
        <v>86083</v>
      </c>
      <c r="BA16">
        <v>0</v>
      </c>
      <c r="BB16">
        <v>0</v>
      </c>
    </row>
    <row r="17" spans="2:54">
      <c r="B17" t="s">
        <v>16</v>
      </c>
      <c r="AJ17">
        <v>0</v>
      </c>
      <c r="AV17">
        <v>1550</v>
      </c>
      <c r="AY17">
        <v>0</v>
      </c>
      <c r="AZ17">
        <v>674</v>
      </c>
      <c r="BA17">
        <v>0</v>
      </c>
      <c r="BB17">
        <v>0</v>
      </c>
    </row>
    <row r="18" spans="2:54">
      <c r="B18" t="s">
        <v>17</v>
      </c>
      <c r="AJ18">
        <v>4952</v>
      </c>
      <c r="AK18">
        <v>44939</v>
      </c>
      <c r="AL18">
        <v>55233</v>
      </c>
      <c r="AM18">
        <v>54758</v>
      </c>
      <c r="AN18">
        <v>51092</v>
      </c>
      <c r="AO18">
        <f>275+46227+35429</f>
        <v>81931</v>
      </c>
      <c r="AP18">
        <f>35729+273+36588</f>
        <v>72590</v>
      </c>
      <c r="AQ18">
        <f>43224+545+60860</f>
        <v>104629</v>
      </c>
      <c r="AR18">
        <f>55038+324+68578</f>
        <v>123940</v>
      </c>
      <c r="AX18">
        <v>200</v>
      </c>
      <c r="AY18">
        <v>4239</v>
      </c>
      <c r="AZ18">
        <v>135769</v>
      </c>
      <c r="BA18">
        <v>101694</v>
      </c>
      <c r="BB18">
        <v>208747</v>
      </c>
    </row>
    <row r="19" spans="2:54">
      <c r="B19" t="s">
        <v>18</v>
      </c>
      <c r="AJ19">
        <v>62</v>
      </c>
      <c r="AK19">
        <v>3335</v>
      </c>
      <c r="AL19">
        <v>1168</v>
      </c>
      <c r="AM19">
        <v>4566</v>
      </c>
      <c r="AN19">
        <v>6316</v>
      </c>
      <c r="AO19">
        <f>1409+2999</f>
        <v>4408</v>
      </c>
      <c r="AP19">
        <f>5577+2218</f>
        <v>7795</v>
      </c>
      <c r="AQ19">
        <f>7521+2038</f>
        <v>9559</v>
      </c>
      <c r="AR19">
        <f>5544+1790</f>
        <v>7334</v>
      </c>
      <c r="AY19">
        <v>0</v>
      </c>
      <c r="AZ19">
        <v>58070</v>
      </c>
      <c r="BA19">
        <v>11464</v>
      </c>
      <c r="BB19">
        <v>6881</v>
      </c>
    </row>
    <row r="20" spans="2:54">
      <c r="B20" t="s">
        <v>19</v>
      </c>
      <c r="AJ20">
        <v>301</v>
      </c>
      <c r="AM20">
        <v>890</v>
      </c>
      <c r="AW20">
        <v>9539</v>
      </c>
      <c r="AY20">
        <v>0</v>
      </c>
      <c r="AZ20">
        <v>226075</v>
      </c>
      <c r="BA20">
        <v>0</v>
      </c>
      <c r="BB20">
        <v>0</v>
      </c>
    </row>
    <row r="21" spans="2:54">
      <c r="B21" t="s">
        <v>20</v>
      </c>
      <c r="AJ21">
        <v>37759</v>
      </c>
      <c r="AK21">
        <v>108558</v>
      </c>
      <c r="AL21">
        <v>78203</v>
      </c>
      <c r="AM21">
        <v>212690</v>
      </c>
      <c r="AN21">
        <v>46578</v>
      </c>
      <c r="AO21">
        <v>41134</v>
      </c>
      <c r="AP21">
        <v>45049</v>
      </c>
      <c r="AQ21">
        <v>45517</v>
      </c>
      <c r="AR21">
        <v>54825</v>
      </c>
      <c r="AY21">
        <v>15084</v>
      </c>
      <c r="AZ21">
        <v>33599</v>
      </c>
      <c r="BA21">
        <v>110467</v>
      </c>
      <c r="BB21">
        <v>143930</v>
      </c>
    </row>
    <row r="22" spans="2:54">
      <c r="B22" t="s">
        <v>21</v>
      </c>
      <c r="AJ22">
        <v>21254</v>
      </c>
      <c r="AK22">
        <f>6604+15871</f>
        <v>22475</v>
      </c>
      <c r="AL22">
        <f>2038+21830</f>
        <v>23868</v>
      </c>
      <c r="AM22">
        <f>4258+38579</f>
        <v>42837</v>
      </c>
      <c r="AN22">
        <f>2746+36280</f>
        <v>39026</v>
      </c>
      <c r="AO22">
        <f>1313+4266+47643+20+648</f>
        <v>53890</v>
      </c>
      <c r="AP22">
        <f>21+1134+852+2950+68439</f>
        <v>73396</v>
      </c>
      <c r="AQ22">
        <f>27+1343+436+3776+75927</f>
        <v>81509</v>
      </c>
      <c r="AR22">
        <f>790+395+3935+65015</f>
        <v>70135</v>
      </c>
      <c r="AV22">
        <f>47+2153+8602+10947+139074</f>
        <v>160823</v>
      </c>
      <c r="AW22">
        <f>4+5029+176+12534+102959</f>
        <v>120702</v>
      </c>
      <c r="AX22">
        <f>33+4334+1124+35602+136051</f>
        <v>177144</v>
      </c>
      <c r="AY22">
        <v>32447</v>
      </c>
      <c r="AZ22">
        <v>33711</v>
      </c>
      <c r="BA22">
        <v>92355</v>
      </c>
      <c r="BB22">
        <v>62674</v>
      </c>
    </row>
    <row r="23" spans="2:54">
      <c r="B23" t="s">
        <v>22</v>
      </c>
      <c r="AJ23">
        <v>0</v>
      </c>
      <c r="AR23">
        <v>531</v>
      </c>
      <c r="AV23">
        <v>2551</v>
      </c>
      <c r="AW23">
        <v>498</v>
      </c>
      <c r="AX23">
        <v>1544</v>
      </c>
      <c r="AY23">
        <v>418</v>
      </c>
      <c r="AZ23">
        <v>824</v>
      </c>
      <c r="BA23">
        <v>1497</v>
      </c>
      <c r="BB23">
        <v>0</v>
      </c>
    </row>
    <row r="24" spans="2:54">
      <c r="B24" t="s">
        <v>23</v>
      </c>
      <c r="AJ24">
        <v>0</v>
      </c>
      <c r="AP24">
        <v>119</v>
      </c>
      <c r="AQ24">
        <v>691</v>
      </c>
      <c r="AR24">
        <v>917</v>
      </c>
      <c r="AY24">
        <v>0</v>
      </c>
      <c r="AZ24">
        <v>13210</v>
      </c>
      <c r="BA24">
        <v>11143</v>
      </c>
      <c r="BB24">
        <v>11285</v>
      </c>
    </row>
    <row r="25" spans="2:54">
      <c r="B25" t="s">
        <v>24</v>
      </c>
      <c r="AJ25">
        <v>0</v>
      </c>
      <c r="AL25">
        <v>16</v>
      </c>
      <c r="AM25">
        <v>121</v>
      </c>
      <c r="AO25">
        <v>153</v>
      </c>
      <c r="AQ25">
        <v>927</v>
      </c>
      <c r="AR25">
        <v>18</v>
      </c>
      <c r="AW25">
        <f>25+3649+293</f>
        <v>3967</v>
      </c>
      <c r="AX25">
        <f>1565+3332</f>
        <v>4897</v>
      </c>
      <c r="AY25">
        <v>26832</v>
      </c>
      <c r="AZ25">
        <v>10687</v>
      </c>
      <c r="BA25">
        <v>52050</v>
      </c>
      <c r="BB25">
        <v>299</v>
      </c>
    </row>
    <row r="26" spans="2:54">
      <c r="B26" t="s">
        <v>25</v>
      </c>
      <c r="AJ26">
        <v>15308</v>
      </c>
      <c r="AK26">
        <v>217</v>
      </c>
      <c r="AL26">
        <v>10</v>
      </c>
      <c r="AM26">
        <v>0</v>
      </c>
      <c r="AN26">
        <v>39</v>
      </c>
      <c r="AO26">
        <f>18+25</f>
        <v>43</v>
      </c>
      <c r="AP26">
        <f>10+1+89</f>
        <v>100</v>
      </c>
      <c r="AQ26">
        <f>7+2277</f>
        <v>2284</v>
      </c>
      <c r="AR26">
        <f>22+26+2923</f>
        <v>2971</v>
      </c>
      <c r="AW26">
        <v>12036</v>
      </c>
      <c r="AY26">
        <v>956</v>
      </c>
      <c r="AZ26">
        <v>179</v>
      </c>
      <c r="BA26">
        <v>0</v>
      </c>
      <c r="BB26">
        <v>94</v>
      </c>
    </row>
    <row r="27" spans="2:54">
      <c r="B27" t="s">
        <v>26</v>
      </c>
      <c r="AJ27">
        <v>1422</v>
      </c>
      <c r="AN27">
        <v>15</v>
      </c>
      <c r="AO27">
        <v>4</v>
      </c>
      <c r="AR27">
        <v>2833</v>
      </c>
      <c r="AV27">
        <f>17432+659</f>
        <v>18091</v>
      </c>
      <c r="AW27">
        <f>15947+3589+4710</f>
        <v>24246</v>
      </c>
      <c r="AX27">
        <f>1726+71124</f>
        <v>72850</v>
      </c>
      <c r="AY27">
        <v>11705</v>
      </c>
      <c r="AZ27">
        <v>19383</v>
      </c>
      <c r="BA27">
        <v>17608</v>
      </c>
      <c r="BB27">
        <v>137131</v>
      </c>
    </row>
    <row r="28" spans="2:54">
      <c r="B28" t="s">
        <v>27</v>
      </c>
      <c r="AJ28">
        <v>26312</v>
      </c>
      <c r="AK28">
        <v>16662</v>
      </c>
      <c r="AL28">
        <v>36649</v>
      </c>
      <c r="AM28">
        <v>41327</v>
      </c>
      <c r="AN28">
        <v>37795</v>
      </c>
      <c r="AO28">
        <f>23506+150</f>
        <v>23656</v>
      </c>
      <c r="AP28">
        <f>75+158+31953</f>
        <v>32186</v>
      </c>
      <c r="AQ28">
        <f>38+560+41726</f>
        <v>42324</v>
      </c>
      <c r="AR28">
        <f>173+102+33022</f>
        <v>33297</v>
      </c>
      <c r="AY28">
        <v>1107</v>
      </c>
      <c r="AZ28">
        <v>952</v>
      </c>
      <c r="BA28">
        <v>0</v>
      </c>
      <c r="BB28">
        <v>0</v>
      </c>
    </row>
    <row r="29" spans="2:54">
      <c r="B29" t="s">
        <v>28</v>
      </c>
      <c r="AJ29">
        <v>0</v>
      </c>
      <c r="AK29">
        <v>1082</v>
      </c>
      <c r="AL29">
        <v>292</v>
      </c>
      <c r="AM29">
        <v>546</v>
      </c>
      <c r="AN29">
        <v>4641</v>
      </c>
      <c r="AO29">
        <f>1798+2581</f>
        <v>4379</v>
      </c>
      <c r="AP29">
        <f>1834+67+1545</f>
        <v>3446</v>
      </c>
      <c r="AQ29">
        <f>1018+548</f>
        <v>1566</v>
      </c>
      <c r="AR29">
        <f>1636+8723</f>
        <v>10359</v>
      </c>
      <c r="AY29">
        <v>0</v>
      </c>
      <c r="AZ29">
        <v>23876</v>
      </c>
      <c r="BA29">
        <v>14913</v>
      </c>
      <c r="BB29">
        <v>8280</v>
      </c>
    </row>
    <row r="30" spans="2:54">
      <c r="B30" t="s">
        <v>29</v>
      </c>
      <c r="AJ30">
        <v>0</v>
      </c>
      <c r="AW30">
        <v>150</v>
      </c>
      <c r="AY30">
        <v>21717</v>
      </c>
      <c r="AZ30">
        <v>45576</v>
      </c>
      <c r="BA30">
        <v>40951</v>
      </c>
      <c r="BB30">
        <v>58274</v>
      </c>
    </row>
    <row r="31" spans="2:54">
      <c r="B31" t="s">
        <v>30</v>
      </c>
      <c r="AJ31">
        <v>0</v>
      </c>
      <c r="AK31">
        <v>1965</v>
      </c>
      <c r="AL31">
        <v>737</v>
      </c>
      <c r="AM31">
        <v>1235</v>
      </c>
      <c r="AN31">
        <v>960</v>
      </c>
      <c r="AO31">
        <f>70+117</f>
        <v>187</v>
      </c>
      <c r="AP31">
        <f>1302+304</f>
        <v>1606</v>
      </c>
      <c r="AQ31">
        <f>1021+141</f>
        <v>1162</v>
      </c>
      <c r="AR31">
        <f>603+99</f>
        <v>702</v>
      </c>
      <c r="AV31">
        <v>100</v>
      </c>
      <c r="AW31">
        <v>174</v>
      </c>
      <c r="AX31">
        <f>4069+4803</f>
        <v>8872</v>
      </c>
      <c r="AY31">
        <v>13755</v>
      </c>
      <c r="AZ31">
        <v>41441</v>
      </c>
      <c r="BA31">
        <v>28730</v>
      </c>
      <c r="BB31">
        <v>11257</v>
      </c>
    </row>
    <row r="32" spans="2:54">
      <c r="B32" t="s">
        <v>31</v>
      </c>
      <c r="AJ32">
        <v>0</v>
      </c>
      <c r="AL32">
        <v>496</v>
      </c>
      <c r="AM32">
        <v>1722</v>
      </c>
      <c r="AN32">
        <v>4676</v>
      </c>
      <c r="AO32">
        <f>12833+6</f>
        <v>12839</v>
      </c>
      <c r="AP32">
        <f>199+14663</f>
        <v>14862</v>
      </c>
      <c r="AQ32">
        <f>26931+10</f>
        <v>26941</v>
      </c>
      <c r="AR32">
        <f>105+29171+1596</f>
        <v>30872</v>
      </c>
      <c r="AV32">
        <f>81775+76+93</f>
        <v>81944</v>
      </c>
      <c r="AW32">
        <f>130983+3672</f>
        <v>134655</v>
      </c>
      <c r="AX32">
        <f>85899+44+3297</f>
        <v>89240</v>
      </c>
      <c r="AY32">
        <v>65</v>
      </c>
      <c r="AZ32">
        <v>30608</v>
      </c>
      <c r="BA32">
        <v>16671</v>
      </c>
      <c r="BB32">
        <v>55519</v>
      </c>
    </row>
    <row r="33" spans="2:54">
      <c r="B33" t="s">
        <v>32</v>
      </c>
      <c r="AJ33">
        <v>0</v>
      </c>
      <c r="AK33">
        <v>2210</v>
      </c>
      <c r="AL33">
        <v>3454</v>
      </c>
      <c r="AM33">
        <v>3551</v>
      </c>
      <c r="AN33">
        <v>172</v>
      </c>
      <c r="AO33">
        <f>578+253</f>
        <v>831</v>
      </c>
      <c r="AP33">
        <f>211+11</f>
        <v>222</v>
      </c>
      <c r="AQ33">
        <v>99</v>
      </c>
      <c r="AR33">
        <f>102+86</f>
        <v>188</v>
      </c>
      <c r="AY33">
        <v>0</v>
      </c>
      <c r="AZ33">
        <v>155</v>
      </c>
      <c r="BA33">
        <v>4814</v>
      </c>
      <c r="BB33">
        <v>0</v>
      </c>
    </row>
    <row r="34" spans="2:54">
      <c r="B34" t="s">
        <v>33</v>
      </c>
      <c r="AJ34">
        <v>0</v>
      </c>
      <c r="AQ34">
        <v>3</v>
      </c>
      <c r="AY34">
        <v>0</v>
      </c>
      <c r="AZ34">
        <v>50865</v>
      </c>
      <c r="BA34">
        <v>0</v>
      </c>
      <c r="BB34">
        <v>0</v>
      </c>
    </row>
    <row r="35" spans="2:54">
      <c r="B35" t="s">
        <v>34</v>
      </c>
      <c r="AJ35">
        <v>0</v>
      </c>
      <c r="AO35">
        <v>276</v>
      </c>
      <c r="AR35">
        <v>1272</v>
      </c>
      <c r="AV35">
        <v>10973</v>
      </c>
      <c r="AW35">
        <v>10167</v>
      </c>
      <c r="AX35">
        <f>67846+1178</f>
        <v>69024</v>
      </c>
      <c r="AY35">
        <v>52819</v>
      </c>
      <c r="AZ35">
        <v>111568</v>
      </c>
      <c r="BA35">
        <v>17675</v>
      </c>
      <c r="BB35">
        <v>7453</v>
      </c>
    </row>
    <row r="36" spans="2:54">
      <c r="B36" t="s">
        <v>35</v>
      </c>
      <c r="AJ36">
        <v>6490</v>
      </c>
      <c r="AK36">
        <v>2844</v>
      </c>
      <c r="AL36">
        <v>4904</v>
      </c>
      <c r="AM36">
        <v>2805</v>
      </c>
      <c r="AN36">
        <v>2222</v>
      </c>
      <c r="AO36">
        <f>2244+419</f>
        <v>2663</v>
      </c>
      <c r="AP36">
        <f>246+2847</f>
        <v>3093</v>
      </c>
      <c r="AQ36">
        <f>478+30+4332</f>
        <v>4840</v>
      </c>
      <c r="AR36">
        <f>371+147+5933</f>
        <v>6451</v>
      </c>
      <c r="AV36">
        <v>9320</v>
      </c>
      <c r="AW36">
        <f>3426+5376</f>
        <v>8802</v>
      </c>
      <c r="AX36">
        <v>6303</v>
      </c>
      <c r="AY36">
        <v>26079</v>
      </c>
      <c r="AZ36">
        <v>57294</v>
      </c>
      <c r="BA36">
        <v>61203</v>
      </c>
      <c r="BB36">
        <v>238178</v>
      </c>
    </row>
    <row r="37" spans="2:54">
      <c r="B37" t="s">
        <v>36</v>
      </c>
      <c r="AJ37">
        <v>0</v>
      </c>
      <c r="AK37">
        <v>42</v>
      </c>
      <c r="AM37">
        <v>130</v>
      </c>
      <c r="AQ37">
        <v>646</v>
      </c>
      <c r="AR37">
        <v>463</v>
      </c>
      <c r="AY37">
        <v>0</v>
      </c>
      <c r="AZ37">
        <v>580</v>
      </c>
      <c r="BA37">
        <v>0</v>
      </c>
      <c r="BB37">
        <v>0</v>
      </c>
    </row>
    <row r="38" spans="2:54">
      <c r="B38" t="s">
        <v>37</v>
      </c>
      <c r="AJ38">
        <v>0</v>
      </c>
      <c r="AK38">
        <v>508</v>
      </c>
      <c r="AL38">
        <v>6253</v>
      </c>
      <c r="AM38">
        <v>2379</v>
      </c>
      <c r="AN38">
        <v>4558</v>
      </c>
      <c r="AO38">
        <f>1080+798</f>
        <v>1878</v>
      </c>
      <c r="AP38">
        <f>22+13013</f>
        <v>13035</v>
      </c>
      <c r="AQ38">
        <v>1566</v>
      </c>
      <c r="AR38">
        <v>1062</v>
      </c>
      <c r="AV38">
        <f>63799+1130</f>
        <v>64929</v>
      </c>
      <c r="AW38">
        <f>51388+19716+644</f>
        <v>71748</v>
      </c>
      <c r="AX38">
        <f>23+6778+2786</f>
        <v>9587</v>
      </c>
      <c r="AY38">
        <v>2350</v>
      </c>
      <c r="AZ38">
        <v>4829</v>
      </c>
      <c r="BA38">
        <v>84596</v>
      </c>
      <c r="BB38">
        <v>46319</v>
      </c>
    </row>
    <row r="39" spans="2:54">
      <c r="B39" t="s">
        <v>91</v>
      </c>
      <c r="AP39">
        <v>300</v>
      </c>
      <c r="AQ39">
        <v>2</v>
      </c>
      <c r="AR39">
        <v>212</v>
      </c>
      <c r="AW39">
        <v>17</v>
      </c>
      <c r="AX39">
        <v>15</v>
      </c>
    </row>
    <row r="40" spans="2:54">
      <c r="B40" t="s">
        <v>38</v>
      </c>
      <c r="AJ40">
        <v>0</v>
      </c>
      <c r="AX40">
        <v>4282</v>
      </c>
      <c r="AY40">
        <v>0</v>
      </c>
      <c r="AZ40">
        <v>200</v>
      </c>
      <c r="BA40">
        <v>0</v>
      </c>
      <c r="BB40">
        <v>0</v>
      </c>
    </row>
    <row r="41" spans="2:54">
      <c r="B41" t="s">
        <v>39</v>
      </c>
      <c r="AJ41">
        <v>0</v>
      </c>
      <c r="AK41">
        <v>929</v>
      </c>
      <c r="AL41">
        <v>4014</v>
      </c>
      <c r="AM41">
        <v>609</v>
      </c>
      <c r="AN41">
        <v>1498</v>
      </c>
      <c r="AO41">
        <f>476+863</f>
        <v>1339</v>
      </c>
      <c r="AP41">
        <v>48</v>
      </c>
      <c r="AQ41">
        <f>45+1230</f>
        <v>1275</v>
      </c>
      <c r="AX41">
        <v>31</v>
      </c>
      <c r="AY41">
        <v>102</v>
      </c>
      <c r="AZ41">
        <v>155</v>
      </c>
      <c r="BA41">
        <v>0</v>
      </c>
      <c r="BB41">
        <v>9</v>
      </c>
    </row>
    <row r="42" spans="2:54">
      <c r="B42" t="s">
        <v>40</v>
      </c>
      <c r="AJ42">
        <v>0</v>
      </c>
      <c r="AL42">
        <v>36</v>
      </c>
      <c r="AM42">
        <v>30</v>
      </c>
      <c r="AW42">
        <v>21965</v>
      </c>
      <c r="AX42">
        <v>3030</v>
      </c>
      <c r="AY42">
        <v>18834</v>
      </c>
      <c r="AZ42">
        <v>11792</v>
      </c>
      <c r="BA42">
        <v>4392</v>
      </c>
      <c r="BB42">
        <v>0</v>
      </c>
    </row>
    <row r="43" spans="2:54">
      <c r="B43" t="s">
        <v>41</v>
      </c>
      <c r="AJ43">
        <v>0</v>
      </c>
      <c r="AN43">
        <v>125</v>
      </c>
      <c r="AR43">
        <f>4424+229</f>
        <v>4653</v>
      </c>
      <c r="AV43">
        <v>77</v>
      </c>
      <c r="AW43">
        <f>6534+2392+2817</f>
        <v>11743</v>
      </c>
      <c r="AX43">
        <f>8444+4605+1375</f>
        <v>14424</v>
      </c>
      <c r="AY43">
        <v>270</v>
      </c>
      <c r="AZ43">
        <v>476</v>
      </c>
      <c r="BA43">
        <v>155</v>
      </c>
      <c r="BB43">
        <v>65</v>
      </c>
    </row>
    <row r="44" spans="2:54">
      <c r="B44" t="s">
        <v>42</v>
      </c>
      <c r="AJ44">
        <v>0</v>
      </c>
      <c r="AO44">
        <v>1207</v>
      </c>
      <c r="AP44">
        <v>1833</v>
      </c>
      <c r="AQ44">
        <v>1940</v>
      </c>
      <c r="AR44">
        <v>2312</v>
      </c>
      <c r="AV44">
        <v>4973</v>
      </c>
      <c r="AW44">
        <v>10</v>
      </c>
      <c r="AX44">
        <v>7397</v>
      </c>
      <c r="AY44">
        <v>0</v>
      </c>
      <c r="AZ44">
        <v>1860</v>
      </c>
      <c r="BA44">
        <v>25896</v>
      </c>
      <c r="BB44">
        <v>46682</v>
      </c>
    </row>
    <row r="45" spans="2:54">
      <c r="B45" t="s">
        <v>43</v>
      </c>
      <c r="AJ45">
        <v>0</v>
      </c>
      <c r="AM45">
        <v>435</v>
      </c>
      <c r="AN45">
        <v>22</v>
      </c>
      <c r="AR45">
        <v>1</v>
      </c>
      <c r="AX45">
        <v>7514</v>
      </c>
      <c r="AY45">
        <v>8133</v>
      </c>
      <c r="AZ45">
        <v>4201</v>
      </c>
      <c r="BA45">
        <v>4044</v>
      </c>
      <c r="BB45">
        <v>0</v>
      </c>
    </row>
    <row r="46" spans="2:54">
      <c r="B46" t="s">
        <v>44</v>
      </c>
      <c r="AJ46">
        <v>1759</v>
      </c>
      <c r="AK46">
        <v>9347</v>
      </c>
      <c r="AL46">
        <v>17545</v>
      </c>
      <c r="AM46">
        <v>5817</v>
      </c>
      <c r="AN46">
        <v>3428</v>
      </c>
      <c r="AO46">
        <f>445+594</f>
        <v>1039</v>
      </c>
      <c r="AP46">
        <f>532+3624</f>
        <v>4156</v>
      </c>
      <c r="AQ46">
        <f>446+7751</f>
        <v>8197</v>
      </c>
      <c r="AR46">
        <f>470+16+5468</f>
        <v>5954</v>
      </c>
      <c r="AV46">
        <v>417</v>
      </c>
      <c r="AY46">
        <v>0</v>
      </c>
      <c r="AZ46">
        <v>11194</v>
      </c>
      <c r="BA46">
        <v>49809</v>
      </c>
      <c r="BB46">
        <v>65801</v>
      </c>
    </row>
    <row r="47" spans="2:54">
      <c r="B47" t="s">
        <v>45</v>
      </c>
      <c r="AJ47">
        <v>307</v>
      </c>
      <c r="AK47">
        <v>6957</v>
      </c>
      <c r="AL47">
        <v>13813</v>
      </c>
      <c r="AM47">
        <v>23609</v>
      </c>
      <c r="AN47">
        <v>29296</v>
      </c>
      <c r="AO47">
        <v>54389</v>
      </c>
      <c r="AP47">
        <v>60644</v>
      </c>
      <c r="AQ47">
        <f>390+102118</f>
        <v>102508</v>
      </c>
      <c r="AV47">
        <v>23077</v>
      </c>
      <c r="AY47">
        <v>453</v>
      </c>
      <c r="AZ47">
        <v>8266</v>
      </c>
      <c r="BA47">
        <v>73182</v>
      </c>
      <c r="BB47">
        <v>167815</v>
      </c>
    </row>
    <row r="48" spans="2:54">
      <c r="B48" t="s">
        <v>46</v>
      </c>
      <c r="AJ48">
        <v>0</v>
      </c>
      <c r="AK48">
        <v>742</v>
      </c>
      <c r="AL48">
        <v>1485</v>
      </c>
      <c r="AM48">
        <v>2077</v>
      </c>
      <c r="AN48">
        <v>1176</v>
      </c>
      <c r="AO48">
        <f>158+1477</f>
        <v>1635</v>
      </c>
      <c r="AP48">
        <v>2424</v>
      </c>
      <c r="AQ48">
        <f>50+2076</f>
        <v>2126</v>
      </c>
      <c r="AR48">
        <v>5119</v>
      </c>
      <c r="AY48">
        <v>17230</v>
      </c>
      <c r="AZ48">
        <v>17362</v>
      </c>
      <c r="BA48">
        <v>62603</v>
      </c>
      <c r="BB48">
        <v>65459</v>
      </c>
    </row>
    <row r="49" spans="2:54">
      <c r="B49" t="s">
        <v>53</v>
      </c>
      <c r="AJ49">
        <v>0</v>
      </c>
      <c r="AM49">
        <v>50</v>
      </c>
      <c r="AV49">
        <v>13316</v>
      </c>
      <c r="AW49">
        <f>46274+1412</f>
        <v>47686</v>
      </c>
      <c r="AX49">
        <f>98902+5</f>
        <v>98907</v>
      </c>
      <c r="AY49">
        <v>63416</v>
      </c>
      <c r="BA49" s="2">
        <v>9870</v>
      </c>
      <c r="BB49">
        <v>16983</v>
      </c>
    </row>
    <row r="50" spans="2:54">
      <c r="B50" t="s">
        <v>90</v>
      </c>
      <c r="AN50">
        <v>39</v>
      </c>
      <c r="AX50">
        <v>22217</v>
      </c>
      <c r="BA50" s="2"/>
    </row>
    <row r="51" spans="2:54">
      <c r="B51" t="s">
        <v>54</v>
      </c>
      <c r="AJ51">
        <v>0</v>
      </c>
      <c r="AX51">
        <v>1183</v>
      </c>
      <c r="AY51">
        <v>514</v>
      </c>
      <c r="BA51" s="2">
        <v>13946</v>
      </c>
      <c r="BB51">
        <v>36</v>
      </c>
    </row>
    <row r="52" spans="2:54">
      <c r="B52" t="s">
        <v>55</v>
      </c>
      <c r="AJ52">
        <v>0</v>
      </c>
      <c r="AV52">
        <v>36147</v>
      </c>
      <c r="AW52">
        <v>34835</v>
      </c>
      <c r="AX52">
        <v>5128</v>
      </c>
      <c r="AY52">
        <v>7553</v>
      </c>
      <c r="BA52" s="2">
        <v>6366</v>
      </c>
      <c r="BB52">
        <v>1922</v>
      </c>
    </row>
    <row r="53" spans="2:54">
      <c r="B53" t="s">
        <v>56</v>
      </c>
      <c r="AJ53">
        <v>0</v>
      </c>
      <c r="AY53">
        <v>2217</v>
      </c>
      <c r="BA53" s="2">
        <v>0</v>
      </c>
      <c r="BB53">
        <v>0</v>
      </c>
    </row>
    <row r="54" spans="2:54">
      <c r="B54" t="s">
        <v>57</v>
      </c>
      <c r="AJ54">
        <v>0</v>
      </c>
      <c r="AO54">
        <v>2</v>
      </c>
      <c r="AY54">
        <v>825</v>
      </c>
      <c r="BA54" s="2">
        <v>0</v>
      </c>
      <c r="BB54">
        <v>0</v>
      </c>
    </row>
    <row r="55" spans="2:54">
      <c r="B55" t="s">
        <v>58</v>
      </c>
      <c r="AJ55">
        <v>1863</v>
      </c>
      <c r="AK55">
        <v>280</v>
      </c>
      <c r="AO55">
        <v>1790</v>
      </c>
      <c r="AY55">
        <v>41</v>
      </c>
      <c r="BA55" s="2">
        <v>0</v>
      </c>
      <c r="BB55">
        <v>474</v>
      </c>
    </row>
    <row r="56" spans="2:54">
      <c r="B56" t="s">
        <v>63</v>
      </c>
      <c r="AJ56">
        <v>0</v>
      </c>
      <c r="BA56" s="2">
        <v>2939</v>
      </c>
      <c r="BB56">
        <v>0</v>
      </c>
    </row>
    <row r="57" spans="2:54">
      <c r="B57" t="s">
        <v>64</v>
      </c>
      <c r="AJ57">
        <v>3</v>
      </c>
      <c r="AR57">
        <v>577</v>
      </c>
      <c r="AV57">
        <v>4839</v>
      </c>
      <c r="BA57" s="2">
        <v>675</v>
      </c>
      <c r="BB57">
        <v>0</v>
      </c>
    </row>
    <row r="58" spans="2:54">
      <c r="B58" t="s">
        <v>65</v>
      </c>
      <c r="AJ58">
        <v>0</v>
      </c>
      <c r="AK58">
        <v>2</v>
      </c>
      <c r="AL58">
        <v>71</v>
      </c>
      <c r="AM58">
        <v>15</v>
      </c>
      <c r="AN58">
        <v>91</v>
      </c>
      <c r="AO58">
        <v>8</v>
      </c>
      <c r="AR58">
        <v>355</v>
      </c>
      <c r="BA58" s="2">
        <v>1340</v>
      </c>
      <c r="BB58">
        <v>0</v>
      </c>
    </row>
    <row r="59" spans="2:54">
      <c r="B59" t="s">
        <v>66</v>
      </c>
      <c r="AJ59">
        <v>0</v>
      </c>
      <c r="BA59" s="2">
        <v>61682</v>
      </c>
      <c r="BB59">
        <v>131434</v>
      </c>
    </row>
    <row r="60" spans="2:54">
      <c r="B60" t="s">
        <v>67</v>
      </c>
      <c r="AJ60">
        <v>0</v>
      </c>
      <c r="BA60" s="2">
        <v>542</v>
      </c>
      <c r="BB60">
        <v>207</v>
      </c>
    </row>
    <row r="61" spans="2:54">
      <c r="B61" t="s">
        <v>68</v>
      </c>
      <c r="AJ61">
        <v>88641</v>
      </c>
      <c r="AK61">
        <v>208672</v>
      </c>
      <c r="AL61">
        <v>222010</v>
      </c>
      <c r="AM61">
        <v>235224</v>
      </c>
      <c r="AN61">
        <v>235623</v>
      </c>
      <c r="AO61">
        <v>215744</v>
      </c>
      <c r="AP61">
        <v>261670</v>
      </c>
      <c r="AQ61">
        <v>294222</v>
      </c>
      <c r="AR61">
        <v>343424</v>
      </c>
      <c r="BA61" s="2">
        <v>782</v>
      </c>
      <c r="BB61">
        <v>26633</v>
      </c>
    </row>
    <row r="62" spans="2:54">
      <c r="B62" t="s">
        <v>69</v>
      </c>
      <c r="AJ62">
        <v>0</v>
      </c>
      <c r="AQ62">
        <v>58</v>
      </c>
      <c r="BA62" s="2">
        <v>1939</v>
      </c>
      <c r="BB62">
        <v>0</v>
      </c>
    </row>
    <row r="63" spans="2:54">
      <c r="B63" t="s">
        <v>70</v>
      </c>
      <c r="AJ63">
        <v>0</v>
      </c>
      <c r="AK63">
        <v>522</v>
      </c>
      <c r="AL63">
        <v>153</v>
      </c>
      <c r="AM63">
        <v>220</v>
      </c>
      <c r="AN63">
        <v>179</v>
      </c>
      <c r="AO63">
        <v>232</v>
      </c>
      <c r="AP63">
        <f>105+1219</f>
        <v>1324</v>
      </c>
      <c r="AQ63">
        <v>216</v>
      </c>
      <c r="AR63">
        <v>703</v>
      </c>
      <c r="BA63" s="2">
        <v>704</v>
      </c>
      <c r="BB63">
        <v>5540</v>
      </c>
    </row>
    <row r="64" spans="2:54">
      <c r="B64" t="s">
        <v>71</v>
      </c>
      <c r="AJ64">
        <v>7019</v>
      </c>
      <c r="AK64">
        <v>102853</v>
      </c>
      <c r="AL64">
        <v>307702</v>
      </c>
      <c r="AM64">
        <v>472986</v>
      </c>
      <c r="AN64">
        <v>432024</v>
      </c>
      <c r="AO64">
        <f>680934+1109+9105</f>
        <v>691148</v>
      </c>
      <c r="AP64">
        <f>10080+537+597474</f>
        <v>608091</v>
      </c>
      <c r="AQ64">
        <f>2912+599+587410</f>
        <v>590921</v>
      </c>
      <c r="AR64">
        <f>578+583+741405</f>
        <v>742566</v>
      </c>
      <c r="AV64">
        <v>40</v>
      </c>
      <c r="BA64" s="2">
        <v>1152</v>
      </c>
      <c r="BB64">
        <v>3864</v>
      </c>
    </row>
    <row r="65" spans="2:54">
      <c r="B65" t="s">
        <v>72</v>
      </c>
      <c r="AJ65">
        <v>144</v>
      </c>
      <c r="AK65">
        <v>684</v>
      </c>
      <c r="AL65">
        <v>95</v>
      </c>
      <c r="AM65">
        <v>775</v>
      </c>
      <c r="AN65">
        <v>3568</v>
      </c>
      <c r="AO65">
        <f>2516+33</f>
        <v>2549</v>
      </c>
      <c r="AP65">
        <f>69+1+5163</f>
        <v>5233</v>
      </c>
      <c r="BA65" s="2">
        <v>406</v>
      </c>
      <c r="BB65">
        <v>1419</v>
      </c>
    </row>
    <row r="66" spans="2:54">
      <c r="B66" t="s">
        <v>73</v>
      </c>
      <c r="AJ66">
        <v>0</v>
      </c>
      <c r="BA66" s="2"/>
      <c r="BB66">
        <v>210236</v>
      </c>
    </row>
    <row r="67" spans="2:54">
      <c r="B67" t="s">
        <v>74</v>
      </c>
      <c r="AJ67">
        <v>0</v>
      </c>
      <c r="AL67">
        <v>320</v>
      </c>
      <c r="AM67">
        <v>151</v>
      </c>
      <c r="BA67" s="2"/>
      <c r="BB67">
        <v>604</v>
      </c>
    </row>
    <row r="68" spans="2:54">
      <c r="B68" t="s">
        <v>75</v>
      </c>
      <c r="AJ68">
        <v>0</v>
      </c>
      <c r="BA68" s="2"/>
      <c r="BB68">
        <v>2996</v>
      </c>
    </row>
    <row r="69" spans="2:54">
      <c r="B69" t="s">
        <v>76</v>
      </c>
      <c r="AJ69">
        <v>0</v>
      </c>
      <c r="BA69" s="2"/>
      <c r="BB69">
        <v>1279</v>
      </c>
    </row>
    <row r="70" spans="2:54">
      <c r="B70" t="s">
        <v>77</v>
      </c>
      <c r="AJ70">
        <v>0</v>
      </c>
      <c r="BA70" s="2"/>
      <c r="BB70">
        <v>15</v>
      </c>
    </row>
    <row r="71" spans="2:54">
      <c r="B71" t="s">
        <v>78</v>
      </c>
      <c r="AJ71">
        <v>0</v>
      </c>
      <c r="BA71" s="2"/>
      <c r="BB71">
        <v>18</v>
      </c>
    </row>
    <row r="72" spans="2:54">
      <c r="B72" t="s">
        <v>79</v>
      </c>
      <c r="AJ72">
        <v>0</v>
      </c>
      <c r="BA72" s="2"/>
      <c r="BB72">
        <v>1007</v>
      </c>
    </row>
    <row r="73" spans="2:54">
      <c r="B73" t="s">
        <v>80</v>
      </c>
      <c r="AJ73">
        <v>0</v>
      </c>
      <c r="AL73">
        <v>1449</v>
      </c>
      <c r="AM73">
        <v>114</v>
      </c>
      <c r="AN73">
        <v>86</v>
      </c>
      <c r="AO73">
        <v>171</v>
      </c>
      <c r="BA73" s="2"/>
      <c r="BB73">
        <v>855</v>
      </c>
    </row>
    <row r="74" spans="2:54">
      <c r="B74" t="s">
        <v>81</v>
      </c>
      <c r="AJ74">
        <v>6738</v>
      </c>
      <c r="AK74">
        <v>9279</v>
      </c>
      <c r="AL74">
        <v>10365</v>
      </c>
      <c r="AM74">
        <v>3410</v>
      </c>
      <c r="AN74">
        <v>8511</v>
      </c>
      <c r="AO74">
        <v>3431</v>
      </c>
      <c r="AP74">
        <v>1098</v>
      </c>
      <c r="AQ74">
        <v>3218</v>
      </c>
      <c r="AR74">
        <v>3184</v>
      </c>
      <c r="BA74" s="2"/>
    </row>
    <row r="75" spans="2:54">
      <c r="B75" t="s">
        <v>82</v>
      </c>
      <c r="AJ75">
        <v>393</v>
      </c>
      <c r="AL75">
        <v>3</v>
      </c>
      <c r="AM75">
        <v>0</v>
      </c>
      <c r="AN75">
        <v>8</v>
      </c>
      <c r="AR75">
        <v>80</v>
      </c>
      <c r="BA75" s="2"/>
    </row>
    <row r="76" spans="2:54">
      <c r="B76" t="s">
        <v>83</v>
      </c>
      <c r="AJ76">
        <v>106</v>
      </c>
      <c r="BA76" s="2"/>
    </row>
    <row r="77" spans="2:54">
      <c r="B77" t="s">
        <v>84</v>
      </c>
      <c r="AJ77">
        <v>10</v>
      </c>
      <c r="BA77" s="2"/>
    </row>
    <row r="78" spans="2:54">
      <c r="B78" t="s">
        <v>85</v>
      </c>
      <c r="AJ78">
        <v>905</v>
      </c>
      <c r="BA78" s="2"/>
    </row>
    <row r="79" spans="2:54">
      <c r="B79" t="s">
        <v>96</v>
      </c>
      <c r="AL79">
        <v>10</v>
      </c>
      <c r="AM79">
        <v>0</v>
      </c>
      <c r="AV79">
        <v>17999</v>
      </c>
      <c r="AW79">
        <v>296</v>
      </c>
      <c r="BA79" s="2"/>
    </row>
    <row r="80" spans="2:54">
      <c r="B80" t="s">
        <v>88</v>
      </c>
      <c r="AK80">
        <v>502</v>
      </c>
      <c r="AL80">
        <v>965</v>
      </c>
      <c r="AM80">
        <v>381</v>
      </c>
      <c r="AN80">
        <v>714</v>
      </c>
      <c r="AV80">
        <v>30509</v>
      </c>
      <c r="BA80" s="2"/>
    </row>
    <row r="81" spans="2:53">
      <c r="B81" t="s">
        <v>97</v>
      </c>
      <c r="AN81">
        <v>618</v>
      </c>
      <c r="AO81">
        <f>48+1484</f>
        <v>1532</v>
      </c>
      <c r="AP81">
        <v>406</v>
      </c>
      <c r="AQ81">
        <f>3+37</f>
        <v>40</v>
      </c>
      <c r="AR81">
        <v>109</v>
      </c>
      <c r="AV81">
        <f>25+16857</f>
        <v>16882</v>
      </c>
      <c r="BA81" s="2"/>
    </row>
    <row r="82" spans="2:53">
      <c r="B82" t="s">
        <v>98</v>
      </c>
      <c r="AV82">
        <v>4980</v>
      </c>
      <c r="BA82" s="2"/>
    </row>
    <row r="83" spans="2:53">
      <c r="B83" t="s">
        <v>99</v>
      </c>
      <c r="AV83">
        <v>3267</v>
      </c>
      <c r="BA83" s="2"/>
    </row>
    <row r="84" spans="2:53">
      <c r="B84" t="s">
        <v>100</v>
      </c>
      <c r="AM84">
        <v>56</v>
      </c>
      <c r="AR84">
        <v>98</v>
      </c>
      <c r="AV84">
        <v>8536</v>
      </c>
      <c r="BA84" s="2"/>
    </row>
    <row r="85" spans="2:53">
      <c r="B85" t="s">
        <v>105</v>
      </c>
      <c r="AQ85">
        <v>107</v>
      </c>
      <c r="AR85">
        <v>804</v>
      </c>
      <c r="BA85" s="2"/>
    </row>
    <row r="86" spans="2:53">
      <c r="B86" t="s">
        <v>106</v>
      </c>
      <c r="AQ86">
        <v>6009</v>
      </c>
      <c r="AR86">
        <v>461</v>
      </c>
      <c r="BA86" s="2"/>
    </row>
    <row r="87" spans="2:53">
      <c r="B87" t="s">
        <v>107</v>
      </c>
      <c r="AQ87">
        <v>26</v>
      </c>
      <c r="BA87" s="2"/>
    </row>
    <row r="88" spans="2:53">
      <c r="B88" t="s">
        <v>109</v>
      </c>
      <c r="AN88">
        <v>12</v>
      </c>
      <c r="AO88">
        <v>213</v>
      </c>
      <c r="AP88">
        <v>151</v>
      </c>
      <c r="AR88">
        <v>16</v>
      </c>
      <c r="BA88" s="2"/>
    </row>
    <row r="89" spans="2:53">
      <c r="B89" t="s">
        <v>110</v>
      </c>
      <c r="AR89">
        <v>45</v>
      </c>
      <c r="BA89" s="2"/>
    </row>
    <row r="90" spans="2:53">
      <c r="B90" t="s">
        <v>111</v>
      </c>
      <c r="AR90">
        <f>307+230</f>
        <v>537</v>
      </c>
      <c r="BA90" s="2"/>
    </row>
    <row r="91" spans="2:53">
      <c r="B91" t="s">
        <v>112</v>
      </c>
      <c r="AR91">
        <f>24+8</f>
        <v>32</v>
      </c>
      <c r="BA91" s="2"/>
    </row>
    <row r="92" spans="2:53">
      <c r="B92" t="s">
        <v>113</v>
      </c>
      <c r="AR92">
        <v>119</v>
      </c>
      <c r="BA92" s="2"/>
    </row>
    <row r="93" spans="2:53">
      <c r="B93" t="s">
        <v>114</v>
      </c>
      <c r="AM93">
        <v>397</v>
      </c>
      <c r="AN93">
        <v>258</v>
      </c>
      <c r="AO93">
        <v>4</v>
      </c>
      <c r="AR93">
        <v>14</v>
      </c>
      <c r="BA93" s="2"/>
    </row>
    <row r="94" spans="2:53">
      <c r="B94" t="s">
        <v>116</v>
      </c>
      <c r="AN94">
        <v>87</v>
      </c>
      <c r="AP94">
        <v>1157</v>
      </c>
      <c r="BA94" s="2"/>
    </row>
    <row r="95" spans="2:53">
      <c r="B95" t="s">
        <v>117</v>
      </c>
      <c r="AK95">
        <v>260</v>
      </c>
      <c r="AP95">
        <v>713</v>
      </c>
      <c r="BA95" s="2"/>
    </row>
    <row r="96" spans="2:53">
      <c r="B96" t="s">
        <v>121</v>
      </c>
      <c r="AO96">
        <v>58</v>
      </c>
      <c r="BA96" s="2"/>
    </row>
    <row r="97" spans="2:54">
      <c r="B97" t="s">
        <v>89</v>
      </c>
      <c r="AL97">
        <v>253</v>
      </c>
      <c r="AM97">
        <v>2</v>
      </c>
      <c r="AN97">
        <v>45</v>
      </c>
      <c r="AO97">
        <f>12+8</f>
        <v>20</v>
      </c>
      <c r="BA97" s="2"/>
    </row>
    <row r="98" spans="2:54">
      <c r="B98" t="s">
        <v>122</v>
      </c>
      <c r="AN98">
        <v>1559</v>
      </c>
      <c r="BA98" s="2"/>
    </row>
    <row r="99" spans="2:54">
      <c r="B99" t="s">
        <v>123</v>
      </c>
      <c r="AN99">
        <v>64</v>
      </c>
      <c r="BA99" s="2"/>
    </row>
    <row r="100" spans="2:54">
      <c r="B100" t="s">
        <v>87</v>
      </c>
      <c r="AM100">
        <v>72</v>
      </c>
      <c r="BA100" s="2"/>
    </row>
    <row r="101" spans="2:54">
      <c r="B101" t="s">
        <v>126</v>
      </c>
      <c r="AL101">
        <v>191</v>
      </c>
      <c r="AM101">
        <v>405</v>
      </c>
      <c r="BA101" s="2"/>
    </row>
    <row r="102" spans="2:54">
      <c r="B102" t="s">
        <v>127</v>
      </c>
      <c r="AM102">
        <v>4</v>
      </c>
      <c r="BA102" s="2"/>
    </row>
    <row r="103" spans="2:54">
      <c r="B103" t="s">
        <v>131</v>
      </c>
      <c r="AL103">
        <v>4</v>
      </c>
      <c r="BA103" s="2"/>
    </row>
    <row r="104" spans="2:54">
      <c r="B104" t="s">
        <v>134</v>
      </c>
      <c r="AK104">
        <v>44591</v>
      </c>
      <c r="BA104" s="2"/>
    </row>
    <row r="106" spans="2:54">
      <c r="B106" t="s">
        <v>138</v>
      </c>
      <c r="E106">
        <f t="shared" ref="E106:AJ106" si="0">SUM(E4:E105)</f>
        <v>0</v>
      </c>
      <c r="F106">
        <f t="shared" si="0"/>
        <v>0</v>
      </c>
      <c r="G106">
        <f t="shared" si="0"/>
        <v>0</v>
      </c>
      <c r="H106">
        <f t="shared" si="0"/>
        <v>0</v>
      </c>
      <c r="I106">
        <f t="shared" si="0"/>
        <v>0</v>
      </c>
      <c r="J106">
        <f t="shared" si="0"/>
        <v>0</v>
      </c>
      <c r="K106">
        <f t="shared" si="0"/>
        <v>0</v>
      </c>
      <c r="L106">
        <f t="shared" si="0"/>
        <v>0</v>
      </c>
      <c r="M106">
        <f t="shared" si="0"/>
        <v>0</v>
      </c>
      <c r="N106">
        <f t="shared" si="0"/>
        <v>0</v>
      </c>
      <c r="O106">
        <f t="shared" si="0"/>
        <v>0</v>
      </c>
      <c r="P106">
        <f t="shared" si="0"/>
        <v>0</v>
      </c>
      <c r="Q106">
        <f t="shared" si="0"/>
        <v>0</v>
      </c>
      <c r="R106">
        <f t="shared" si="0"/>
        <v>0</v>
      </c>
      <c r="S106">
        <f t="shared" si="0"/>
        <v>0</v>
      </c>
      <c r="T106">
        <f t="shared" si="0"/>
        <v>0</v>
      </c>
      <c r="U106">
        <f t="shared" si="0"/>
        <v>0</v>
      </c>
      <c r="V106">
        <f t="shared" si="0"/>
        <v>0</v>
      </c>
      <c r="W106">
        <f t="shared" si="0"/>
        <v>0</v>
      </c>
      <c r="X106">
        <f t="shared" si="0"/>
        <v>0</v>
      </c>
      <c r="Y106">
        <f t="shared" si="0"/>
        <v>0</v>
      </c>
      <c r="Z106">
        <f t="shared" si="0"/>
        <v>0</v>
      </c>
      <c r="AA106">
        <f t="shared" si="0"/>
        <v>0</v>
      </c>
      <c r="AB106">
        <f t="shared" si="0"/>
        <v>0</v>
      </c>
      <c r="AC106">
        <f t="shared" si="0"/>
        <v>0</v>
      </c>
      <c r="AD106">
        <f t="shared" si="0"/>
        <v>0</v>
      </c>
      <c r="AE106">
        <f t="shared" si="0"/>
        <v>0</v>
      </c>
      <c r="AF106">
        <f t="shared" si="0"/>
        <v>0</v>
      </c>
      <c r="AG106">
        <f t="shared" si="0"/>
        <v>0</v>
      </c>
      <c r="AH106">
        <f t="shared" si="0"/>
        <v>0</v>
      </c>
      <c r="AI106">
        <f t="shared" si="0"/>
        <v>0</v>
      </c>
      <c r="AJ106">
        <f t="shared" si="0"/>
        <v>6602163</v>
      </c>
      <c r="AK106">
        <f t="shared" ref="AK106:BB106" si="1">SUM(AK4:AK105)</f>
        <v>5650586</v>
      </c>
      <c r="AL106">
        <f t="shared" si="1"/>
        <v>4899186</v>
      </c>
      <c r="AM106">
        <f t="shared" si="1"/>
        <v>5358550</v>
      </c>
      <c r="AN106">
        <f t="shared" si="1"/>
        <v>5418386</v>
      </c>
      <c r="AO106">
        <f t="shared" si="1"/>
        <v>5752079</v>
      </c>
      <c r="AP106">
        <f t="shared" si="1"/>
        <v>6866542</v>
      </c>
      <c r="AQ106">
        <f t="shared" si="1"/>
        <v>6861756</v>
      </c>
      <c r="AR106">
        <f t="shared" si="1"/>
        <v>7882353</v>
      </c>
      <c r="AS106">
        <f t="shared" si="1"/>
        <v>0</v>
      </c>
      <c r="AT106">
        <f t="shared" si="1"/>
        <v>0</v>
      </c>
      <c r="AU106">
        <f t="shared" si="1"/>
        <v>0</v>
      </c>
      <c r="AV106">
        <f t="shared" si="1"/>
        <v>22428923</v>
      </c>
      <c r="AW106">
        <f t="shared" si="1"/>
        <v>15645344</v>
      </c>
      <c r="AX106">
        <f t="shared" si="1"/>
        <v>12626652</v>
      </c>
      <c r="AY106">
        <f t="shared" si="1"/>
        <v>15566231</v>
      </c>
      <c r="AZ106">
        <f t="shared" si="1"/>
        <v>30887524</v>
      </c>
      <c r="BA106">
        <f t="shared" si="1"/>
        <v>36104085</v>
      </c>
      <c r="BB106">
        <f t="shared" si="1"/>
        <v>37717871</v>
      </c>
    </row>
    <row r="109" spans="2:54">
      <c r="AJ109">
        <f>6626645-AJ106-24482</f>
        <v>0</v>
      </c>
      <c r="AK109">
        <f>5650259-AK106</f>
        <v>-327</v>
      </c>
      <c r="AL109">
        <f>4899186-AL106</f>
        <v>0</v>
      </c>
      <c r="AM109">
        <f>5358551-AM106</f>
        <v>1</v>
      </c>
      <c r="AN109">
        <f>5418386-AN106</f>
        <v>0</v>
      </c>
      <c r="AO109">
        <f>5752079-AO106</f>
        <v>0</v>
      </c>
      <c r="AP109">
        <f>6866542-AP106</f>
        <v>0</v>
      </c>
      <c r="AQ109">
        <f>6861756-AQ106</f>
        <v>0</v>
      </c>
      <c r="AR109">
        <f>7882353-AR106</f>
        <v>0</v>
      </c>
      <c r="AV109">
        <f>22428923-AV106</f>
        <v>0</v>
      </c>
      <c r="AW109">
        <f>15645344-AW106</f>
        <v>0</v>
      </c>
      <c r="AX109">
        <f>12626652-AX106</f>
        <v>0</v>
      </c>
      <c r="AY109">
        <f>15710868-AY106-144637</f>
        <v>0</v>
      </c>
      <c r="AZ109">
        <f>30982018-94494-AZ106</f>
        <v>0</v>
      </c>
      <c r="BA109">
        <f>36172232-68147-BA106</f>
        <v>0</v>
      </c>
      <c r="BB109">
        <f>37812004-BB106-94133</f>
        <v>0</v>
      </c>
    </row>
    <row r="111" spans="2:54">
      <c r="AJ111" t="s">
        <v>86</v>
      </c>
    </row>
    <row r="112" spans="2:54">
      <c r="AK112" t="s">
        <v>136</v>
      </c>
      <c r="AL112" t="s">
        <v>132</v>
      </c>
      <c r="AM112" t="s">
        <v>128</v>
      </c>
      <c r="AN112" t="s">
        <v>124</v>
      </c>
      <c r="AO112" t="s">
        <v>119</v>
      </c>
      <c r="AP112" t="s">
        <v>118</v>
      </c>
      <c r="AQ112" t="s">
        <v>102</v>
      </c>
      <c r="AR112" t="s">
        <v>102</v>
      </c>
      <c r="AV112" t="s">
        <v>102</v>
      </c>
      <c r="AW112" t="s">
        <v>101</v>
      </c>
      <c r="AX112" t="s">
        <v>92</v>
      </c>
      <c r="AY112" t="s">
        <v>61</v>
      </c>
      <c r="AZ112" t="s">
        <v>52</v>
      </c>
    </row>
    <row r="113" spans="37:53">
      <c r="AZ113" t="s">
        <v>51</v>
      </c>
    </row>
    <row r="114" spans="37:53">
      <c r="AK114" t="s">
        <v>93</v>
      </c>
      <c r="AL114" t="s">
        <v>93</v>
      </c>
      <c r="AM114" t="s">
        <v>93</v>
      </c>
      <c r="AN114" t="s">
        <v>93</v>
      </c>
      <c r="AO114" t="s">
        <v>93</v>
      </c>
      <c r="AP114" t="s">
        <v>93</v>
      </c>
      <c r="AQ114" t="s">
        <v>93</v>
      </c>
      <c r="AR114" t="s">
        <v>93</v>
      </c>
      <c r="AV114" t="s">
        <v>93</v>
      </c>
      <c r="AW114" t="s">
        <v>93</v>
      </c>
      <c r="AX114" t="s">
        <v>93</v>
      </c>
      <c r="AY114" t="s">
        <v>59</v>
      </c>
      <c r="AZ114" t="s">
        <v>59</v>
      </c>
      <c r="BA114" t="s">
        <v>59</v>
      </c>
    </row>
    <row r="115" spans="37:53">
      <c r="AK115" t="s">
        <v>137</v>
      </c>
      <c r="AL115" t="s">
        <v>133</v>
      </c>
      <c r="AM115" t="s">
        <v>129</v>
      </c>
      <c r="AN115" t="s">
        <v>125</v>
      </c>
      <c r="AO115" t="s">
        <v>120</v>
      </c>
      <c r="AP115" t="s">
        <v>115</v>
      </c>
      <c r="AQ115" t="s">
        <v>104</v>
      </c>
      <c r="AR115" t="s">
        <v>108</v>
      </c>
      <c r="AV115" t="s">
        <v>103</v>
      </c>
      <c r="AW115" t="s">
        <v>95</v>
      </c>
      <c r="AX115" t="s">
        <v>94</v>
      </c>
      <c r="AY115" t="s">
        <v>60</v>
      </c>
      <c r="BA115" t="s">
        <v>62</v>
      </c>
    </row>
    <row r="119" spans="37:53">
      <c r="AK119" t="s">
        <v>135</v>
      </c>
      <c r="AM119" t="s">
        <v>130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/>
  <sheetData>
    <row r="2" spans="1:6">
      <c r="B2" t="s">
        <v>47</v>
      </c>
      <c r="C2" t="s">
        <v>48</v>
      </c>
      <c r="D2" t="s">
        <v>49</v>
      </c>
      <c r="E2" t="s">
        <v>50</v>
      </c>
    </row>
    <row r="3" spans="1:6">
      <c r="A3" t="s">
        <v>10</v>
      </c>
      <c r="F3">
        <f>SUM(B3:E3)</f>
        <v>0</v>
      </c>
    </row>
    <row r="4" spans="1:6">
      <c r="A4" t="s">
        <v>11</v>
      </c>
      <c r="B4">
        <v>15</v>
      </c>
      <c r="C4">
        <v>831</v>
      </c>
      <c r="D4">
        <v>252</v>
      </c>
      <c r="E4">
        <v>9986</v>
      </c>
      <c r="F4">
        <f t="shared" ref="F4:F64" si="0">SUM(B4:E4)</f>
        <v>11084</v>
      </c>
    </row>
    <row r="5" spans="1:6">
      <c r="A5" t="s">
        <v>12</v>
      </c>
      <c r="C5">
        <v>600</v>
      </c>
      <c r="E5">
        <v>76704</v>
      </c>
      <c r="F5">
        <f t="shared" si="0"/>
        <v>77304</v>
      </c>
    </row>
    <row r="6" spans="1:6">
      <c r="A6" t="s">
        <v>13</v>
      </c>
      <c r="D6">
        <v>105884</v>
      </c>
      <c r="E6">
        <v>211801</v>
      </c>
      <c r="F6">
        <f t="shared" si="0"/>
        <v>317685</v>
      </c>
    </row>
    <row r="7" spans="1:6">
      <c r="A7" t="s">
        <v>14</v>
      </c>
      <c r="D7">
        <v>1245</v>
      </c>
      <c r="E7">
        <v>67406</v>
      </c>
      <c r="F7">
        <f t="shared" si="0"/>
        <v>68651</v>
      </c>
    </row>
    <row r="8" spans="1:6">
      <c r="A8" t="s">
        <v>15</v>
      </c>
      <c r="F8">
        <f t="shared" si="0"/>
        <v>0</v>
      </c>
    </row>
    <row r="9" spans="1:6">
      <c r="A9" t="s">
        <v>16</v>
      </c>
      <c r="F9">
        <f t="shared" si="0"/>
        <v>0</v>
      </c>
    </row>
    <row r="10" spans="1:6">
      <c r="A10" t="s">
        <v>17</v>
      </c>
      <c r="C10">
        <v>55401</v>
      </c>
      <c r="D10">
        <v>537</v>
      </c>
      <c r="E10">
        <v>152809</v>
      </c>
      <c r="F10">
        <f t="shared" si="0"/>
        <v>208747</v>
      </c>
    </row>
    <row r="11" spans="1:6">
      <c r="A11" t="s">
        <v>18</v>
      </c>
      <c r="C11">
        <v>2913</v>
      </c>
      <c r="E11">
        <v>3968</v>
      </c>
      <c r="F11">
        <f t="shared" si="0"/>
        <v>6881</v>
      </c>
    </row>
    <row r="12" spans="1:6">
      <c r="A12" t="s">
        <v>19</v>
      </c>
      <c r="F12">
        <f t="shared" si="0"/>
        <v>0</v>
      </c>
    </row>
    <row r="13" spans="1:6">
      <c r="A13" t="s">
        <v>20</v>
      </c>
      <c r="C13">
        <v>51321</v>
      </c>
      <c r="D13">
        <v>1251</v>
      </c>
      <c r="E13">
        <v>91358</v>
      </c>
      <c r="F13">
        <f t="shared" si="0"/>
        <v>143930</v>
      </c>
    </row>
    <row r="14" spans="1:6">
      <c r="A14" t="s">
        <v>21</v>
      </c>
      <c r="C14">
        <v>12878</v>
      </c>
      <c r="D14">
        <v>35020</v>
      </c>
      <c r="E14">
        <v>14776</v>
      </c>
      <c r="F14">
        <f t="shared" si="0"/>
        <v>62674</v>
      </c>
    </row>
    <row r="15" spans="1:6">
      <c r="A15" t="s">
        <v>22</v>
      </c>
      <c r="F15">
        <f t="shared" si="0"/>
        <v>0</v>
      </c>
    </row>
    <row r="16" spans="1:6">
      <c r="A16" t="s">
        <v>23</v>
      </c>
      <c r="C16">
        <v>7938</v>
      </c>
      <c r="E16">
        <v>3347</v>
      </c>
      <c r="F16">
        <f t="shared" si="0"/>
        <v>11285</v>
      </c>
    </row>
    <row r="17" spans="1:6">
      <c r="A17" t="s">
        <v>24</v>
      </c>
      <c r="E17">
        <v>299</v>
      </c>
      <c r="F17">
        <f t="shared" si="0"/>
        <v>299</v>
      </c>
    </row>
    <row r="18" spans="1:6">
      <c r="A18" t="s">
        <v>25</v>
      </c>
      <c r="C18">
        <v>94</v>
      </c>
      <c r="F18">
        <f t="shared" si="0"/>
        <v>94</v>
      </c>
    </row>
    <row r="19" spans="1:6">
      <c r="A19" t="s">
        <v>26</v>
      </c>
      <c r="E19">
        <v>137131</v>
      </c>
      <c r="F19">
        <f t="shared" si="0"/>
        <v>137131</v>
      </c>
    </row>
    <row r="20" spans="1:6">
      <c r="A20" t="s">
        <v>27</v>
      </c>
      <c r="F20">
        <f t="shared" si="0"/>
        <v>0</v>
      </c>
    </row>
    <row r="21" spans="1:6">
      <c r="A21" t="s">
        <v>28</v>
      </c>
      <c r="C21">
        <v>7739</v>
      </c>
      <c r="E21">
        <v>541</v>
      </c>
      <c r="F21">
        <f t="shared" si="0"/>
        <v>8280</v>
      </c>
    </row>
    <row r="22" spans="1:6">
      <c r="A22" t="s">
        <v>29</v>
      </c>
      <c r="C22">
        <v>51834</v>
      </c>
      <c r="E22">
        <v>6440</v>
      </c>
      <c r="F22">
        <f t="shared" si="0"/>
        <v>58274</v>
      </c>
    </row>
    <row r="23" spans="1:6">
      <c r="A23" t="s">
        <v>30</v>
      </c>
      <c r="C23">
        <v>8642</v>
      </c>
      <c r="D23">
        <v>1491</v>
      </c>
      <c r="E23">
        <v>1124</v>
      </c>
      <c r="F23">
        <f t="shared" si="0"/>
        <v>11257</v>
      </c>
    </row>
    <row r="24" spans="1:6">
      <c r="A24" t="s">
        <v>31</v>
      </c>
      <c r="B24">
        <v>48</v>
      </c>
      <c r="C24">
        <v>177</v>
      </c>
      <c r="D24">
        <v>51872</v>
      </c>
      <c r="E24">
        <v>3422</v>
      </c>
      <c r="F24">
        <f t="shared" si="0"/>
        <v>55519</v>
      </c>
    </row>
    <row r="25" spans="1:6">
      <c r="A25" t="s">
        <v>32</v>
      </c>
      <c r="F25">
        <f t="shared" si="0"/>
        <v>0</v>
      </c>
    </row>
    <row r="26" spans="1:6">
      <c r="A26" t="s">
        <v>33</v>
      </c>
      <c r="F26">
        <f t="shared" si="0"/>
        <v>0</v>
      </c>
    </row>
    <row r="27" spans="1:6">
      <c r="A27" t="s">
        <v>34</v>
      </c>
      <c r="C27">
        <v>6248</v>
      </c>
      <c r="E27">
        <v>1205</v>
      </c>
      <c r="F27">
        <f t="shared" si="0"/>
        <v>7453</v>
      </c>
    </row>
    <row r="28" spans="1:6">
      <c r="A28" t="s">
        <v>35</v>
      </c>
      <c r="C28">
        <v>4880</v>
      </c>
      <c r="D28">
        <v>13508</v>
      </c>
      <c r="E28">
        <v>219790</v>
      </c>
      <c r="F28">
        <f t="shared" si="0"/>
        <v>238178</v>
      </c>
    </row>
    <row r="29" spans="1:6">
      <c r="A29" t="s">
        <v>36</v>
      </c>
      <c r="F29">
        <f t="shared" si="0"/>
        <v>0</v>
      </c>
    </row>
    <row r="30" spans="1:6">
      <c r="A30" t="s">
        <v>37</v>
      </c>
      <c r="D30">
        <v>45598</v>
      </c>
      <c r="E30">
        <v>721</v>
      </c>
      <c r="F30">
        <f t="shared" si="0"/>
        <v>46319</v>
      </c>
    </row>
    <row r="31" spans="1:6">
      <c r="A31" t="s">
        <v>38</v>
      </c>
      <c r="F31">
        <f t="shared" si="0"/>
        <v>0</v>
      </c>
    </row>
    <row r="32" spans="1:6">
      <c r="A32" t="s">
        <v>39</v>
      </c>
      <c r="E32">
        <v>9</v>
      </c>
      <c r="F32">
        <f t="shared" si="0"/>
        <v>9</v>
      </c>
    </row>
    <row r="33" spans="1:6">
      <c r="A33" t="s">
        <v>40</v>
      </c>
      <c r="F33">
        <f t="shared" si="0"/>
        <v>0</v>
      </c>
    </row>
    <row r="34" spans="1:6">
      <c r="A34" t="s">
        <v>41</v>
      </c>
      <c r="E34">
        <v>65</v>
      </c>
      <c r="F34">
        <f t="shared" si="0"/>
        <v>65</v>
      </c>
    </row>
    <row r="35" spans="1:6">
      <c r="A35" t="s">
        <v>42</v>
      </c>
      <c r="E35">
        <v>46682</v>
      </c>
      <c r="F35">
        <f t="shared" si="0"/>
        <v>46682</v>
      </c>
    </row>
    <row r="36" spans="1:6">
      <c r="A36" t="s">
        <v>43</v>
      </c>
      <c r="F36">
        <f t="shared" si="0"/>
        <v>0</v>
      </c>
    </row>
    <row r="37" spans="1:6">
      <c r="A37" t="s">
        <v>44</v>
      </c>
      <c r="E37">
        <v>65801</v>
      </c>
      <c r="F37">
        <f t="shared" si="0"/>
        <v>65801</v>
      </c>
    </row>
    <row r="38" spans="1:6">
      <c r="A38" t="s">
        <v>45</v>
      </c>
      <c r="E38">
        <v>167815</v>
      </c>
      <c r="F38">
        <f t="shared" si="0"/>
        <v>167815</v>
      </c>
    </row>
    <row r="39" spans="1:6">
      <c r="A39" t="s">
        <v>46</v>
      </c>
      <c r="E39">
        <v>65459</v>
      </c>
      <c r="F39">
        <f t="shared" si="0"/>
        <v>65459</v>
      </c>
    </row>
    <row r="40" spans="1:6">
      <c r="A40" t="s">
        <v>53</v>
      </c>
      <c r="C40">
        <v>16983</v>
      </c>
      <c r="F40">
        <f t="shared" si="0"/>
        <v>16983</v>
      </c>
    </row>
    <row r="41" spans="1:6">
      <c r="A41" t="s">
        <v>54</v>
      </c>
      <c r="E41">
        <v>36</v>
      </c>
      <c r="F41">
        <f t="shared" si="0"/>
        <v>36</v>
      </c>
    </row>
    <row r="42" spans="1:6">
      <c r="A42" t="s">
        <v>55</v>
      </c>
      <c r="E42">
        <v>1922</v>
      </c>
      <c r="F42">
        <f t="shared" si="0"/>
        <v>1922</v>
      </c>
    </row>
    <row r="43" spans="1:6">
      <c r="A43" t="s">
        <v>56</v>
      </c>
      <c r="F43">
        <f t="shared" si="0"/>
        <v>0</v>
      </c>
    </row>
    <row r="44" spans="1:6">
      <c r="A44" t="s">
        <v>57</v>
      </c>
      <c r="F44">
        <f t="shared" si="0"/>
        <v>0</v>
      </c>
    </row>
    <row r="45" spans="1:6">
      <c r="A45" t="s">
        <v>58</v>
      </c>
      <c r="C45">
        <v>449</v>
      </c>
      <c r="E45">
        <v>25</v>
      </c>
      <c r="F45">
        <f t="shared" si="0"/>
        <v>474</v>
      </c>
    </row>
    <row r="46" spans="1:6">
      <c r="A46" t="s">
        <v>63</v>
      </c>
      <c r="F46">
        <f t="shared" si="0"/>
        <v>0</v>
      </c>
    </row>
    <row r="47" spans="1:6">
      <c r="A47" t="s">
        <v>64</v>
      </c>
      <c r="F47">
        <f t="shared" si="0"/>
        <v>0</v>
      </c>
    </row>
    <row r="48" spans="1:6">
      <c r="A48" t="s">
        <v>65</v>
      </c>
      <c r="F48">
        <f t="shared" si="0"/>
        <v>0</v>
      </c>
    </row>
    <row r="49" spans="1:6">
      <c r="A49" t="s">
        <v>66</v>
      </c>
      <c r="C49">
        <v>2814</v>
      </c>
      <c r="E49">
        <v>128620</v>
      </c>
      <c r="F49">
        <f t="shared" si="0"/>
        <v>131434</v>
      </c>
    </row>
    <row r="50" spans="1:6">
      <c r="A50" t="s">
        <v>67</v>
      </c>
      <c r="C50">
        <v>2</v>
      </c>
      <c r="E50">
        <v>205</v>
      </c>
      <c r="F50">
        <f t="shared" si="0"/>
        <v>207</v>
      </c>
    </row>
    <row r="51" spans="1:6">
      <c r="A51" t="s">
        <v>68</v>
      </c>
      <c r="E51">
        <v>26633</v>
      </c>
      <c r="F51">
        <f t="shared" si="0"/>
        <v>26633</v>
      </c>
    </row>
    <row r="52" spans="1:6">
      <c r="A52" t="s">
        <v>69</v>
      </c>
      <c r="F52">
        <f t="shared" si="0"/>
        <v>0</v>
      </c>
    </row>
    <row r="53" spans="1:6">
      <c r="A53" t="s">
        <v>70</v>
      </c>
      <c r="C53">
        <v>4863</v>
      </c>
      <c r="E53">
        <v>677</v>
      </c>
      <c r="F53">
        <f t="shared" si="0"/>
        <v>5540</v>
      </c>
    </row>
    <row r="54" spans="1:6">
      <c r="A54" t="s">
        <v>71</v>
      </c>
      <c r="E54">
        <v>3864</v>
      </c>
      <c r="F54">
        <f t="shared" si="0"/>
        <v>3864</v>
      </c>
    </row>
    <row r="55" spans="1:6">
      <c r="A55" t="s">
        <v>72</v>
      </c>
      <c r="E55">
        <v>1419</v>
      </c>
      <c r="F55">
        <f t="shared" si="0"/>
        <v>1419</v>
      </c>
    </row>
    <row r="56" spans="1:6">
      <c r="A56" t="s">
        <v>73</v>
      </c>
      <c r="B56">
        <v>298</v>
      </c>
      <c r="C56">
        <v>30968</v>
      </c>
      <c r="D56">
        <v>17249</v>
      </c>
      <c r="E56">
        <v>161721</v>
      </c>
      <c r="F56">
        <f t="shared" si="0"/>
        <v>210236</v>
      </c>
    </row>
    <row r="57" spans="1:6">
      <c r="A57" t="s">
        <v>74</v>
      </c>
      <c r="C57">
        <v>28</v>
      </c>
      <c r="E57">
        <v>576</v>
      </c>
      <c r="F57">
        <f t="shared" si="0"/>
        <v>604</v>
      </c>
    </row>
    <row r="58" spans="1:6">
      <c r="A58" t="s">
        <v>75</v>
      </c>
      <c r="D58">
        <v>2996</v>
      </c>
      <c r="F58">
        <f t="shared" si="0"/>
        <v>2996</v>
      </c>
    </row>
    <row r="59" spans="1:6">
      <c r="A59" t="s">
        <v>76</v>
      </c>
      <c r="E59">
        <v>1279</v>
      </c>
      <c r="F59">
        <f t="shared" si="0"/>
        <v>1279</v>
      </c>
    </row>
    <row r="60" spans="1:6">
      <c r="A60" t="s">
        <v>77</v>
      </c>
      <c r="E60">
        <v>15</v>
      </c>
      <c r="F60">
        <f t="shared" si="0"/>
        <v>15</v>
      </c>
    </row>
    <row r="61" spans="1:6">
      <c r="A61" t="s">
        <v>78</v>
      </c>
      <c r="E61">
        <v>18</v>
      </c>
      <c r="F61">
        <f t="shared" si="0"/>
        <v>18</v>
      </c>
    </row>
    <row r="62" spans="1:6">
      <c r="A62" t="s">
        <v>79</v>
      </c>
      <c r="E62">
        <v>1007</v>
      </c>
      <c r="F62">
        <f t="shared" si="0"/>
        <v>1007</v>
      </c>
    </row>
    <row r="63" spans="1:6">
      <c r="A63" t="s">
        <v>80</v>
      </c>
      <c r="E63">
        <v>855</v>
      </c>
      <c r="F63">
        <f t="shared" si="0"/>
        <v>855</v>
      </c>
    </row>
    <row r="64" spans="1:6">
      <c r="F64">
        <f t="shared" si="0"/>
        <v>0</v>
      </c>
    </row>
    <row r="65" spans="2:6">
      <c r="B65">
        <f>SUM(B3:B64)</f>
        <v>361</v>
      </c>
      <c r="C65">
        <f>SUM(C3:C64)</f>
        <v>267603</v>
      </c>
      <c r="D65">
        <f>SUM(D3:D64)</f>
        <v>276903</v>
      </c>
      <c r="E65">
        <f>SUM(E3:E64)</f>
        <v>1677531</v>
      </c>
      <c r="F65">
        <f>SUM(B65:E65)</f>
        <v>2222398</v>
      </c>
    </row>
    <row r="68" spans="2:6">
      <c r="F68">
        <f>F65+94133</f>
        <v>2316531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107"/>
  <sheetViews>
    <sheetView workbookViewId="0">
      <pane xSplit="2" ySplit="2" topLeftCell="C76" activePane="bottomRight" state="frozen"/>
      <selection activeCell="C3" sqref="C3"/>
      <selection pane="topRight" activeCell="C3" sqref="C3"/>
      <selection pane="bottomLeft" activeCell="C3" sqref="C3"/>
      <selection pane="bottomRight" activeCell="C103" sqref="C103"/>
    </sheetView>
  </sheetViews>
  <sheetFormatPr defaultRowHeight="15"/>
  <sheetData>
    <row r="3" spans="1:4">
      <c r="A3" t="s">
        <v>3</v>
      </c>
      <c r="B3">
        <f>SUM(C3:EG3)</f>
        <v>0</v>
      </c>
    </row>
    <row r="4" spans="1:4">
      <c r="A4" t="s">
        <v>4</v>
      </c>
      <c r="B4">
        <f t="shared" ref="B4:B67" si="0">SUM(C4:EG4)</f>
        <v>0</v>
      </c>
    </row>
    <row r="5" spans="1:4">
      <c r="A5" t="s">
        <v>5</v>
      </c>
      <c r="B5">
        <f t="shared" si="0"/>
        <v>0</v>
      </c>
    </row>
    <row r="6" spans="1:4">
      <c r="A6" t="s">
        <v>6</v>
      </c>
      <c r="B6">
        <f t="shared" si="0"/>
        <v>0</v>
      </c>
    </row>
    <row r="7" spans="1:4">
      <c r="A7" t="s">
        <v>7</v>
      </c>
      <c r="B7">
        <f t="shared" si="0"/>
        <v>0</v>
      </c>
    </row>
    <row r="8" spans="1:4">
      <c r="A8" t="s">
        <v>8</v>
      </c>
      <c r="B8">
        <f t="shared" si="0"/>
        <v>0</v>
      </c>
    </row>
    <row r="9" spans="1:4">
      <c r="A9" t="s">
        <v>9</v>
      </c>
      <c r="B9">
        <f t="shared" si="0"/>
        <v>0</v>
      </c>
    </row>
    <row r="10" spans="1:4">
      <c r="A10" t="s">
        <v>10</v>
      </c>
      <c r="B10">
        <f t="shared" si="0"/>
        <v>0</v>
      </c>
    </row>
    <row r="11" spans="1:4">
      <c r="A11" t="s">
        <v>11</v>
      </c>
      <c r="B11">
        <f t="shared" si="0"/>
        <v>0</v>
      </c>
    </row>
    <row r="12" spans="1:4">
      <c r="A12" t="s">
        <v>12</v>
      </c>
      <c r="B12">
        <f t="shared" si="0"/>
        <v>300</v>
      </c>
      <c r="C12">
        <v>100</v>
      </c>
      <c r="D12">
        <v>200</v>
      </c>
    </row>
    <row r="13" spans="1:4">
      <c r="A13" t="s">
        <v>13</v>
      </c>
      <c r="B13">
        <f t="shared" si="0"/>
        <v>0</v>
      </c>
    </row>
    <row r="14" spans="1:4">
      <c r="A14" t="s">
        <v>14</v>
      </c>
      <c r="B14">
        <f t="shared" si="0"/>
        <v>885</v>
      </c>
      <c r="C14">
        <v>885</v>
      </c>
    </row>
    <row r="15" spans="1:4">
      <c r="A15" t="s">
        <v>15</v>
      </c>
      <c r="B15">
        <f t="shared" si="0"/>
        <v>0</v>
      </c>
    </row>
    <row r="16" spans="1:4">
      <c r="A16" t="s">
        <v>16</v>
      </c>
      <c r="B16">
        <f t="shared" si="0"/>
        <v>0</v>
      </c>
    </row>
    <row r="17" spans="1:3">
      <c r="A17" t="s">
        <v>17</v>
      </c>
      <c r="B17">
        <f t="shared" si="0"/>
        <v>0</v>
      </c>
    </row>
    <row r="18" spans="1:3">
      <c r="A18" t="s">
        <v>18</v>
      </c>
      <c r="B18">
        <f t="shared" si="0"/>
        <v>0</v>
      </c>
    </row>
    <row r="19" spans="1:3">
      <c r="A19" t="s">
        <v>19</v>
      </c>
      <c r="B19">
        <f t="shared" si="0"/>
        <v>0</v>
      </c>
    </row>
    <row r="20" spans="1:3">
      <c r="A20" t="s">
        <v>20</v>
      </c>
      <c r="B20">
        <f t="shared" si="0"/>
        <v>0</v>
      </c>
    </row>
    <row r="21" spans="1:3">
      <c r="A21" t="s">
        <v>21</v>
      </c>
      <c r="B21">
        <f t="shared" si="0"/>
        <v>135</v>
      </c>
      <c r="C21">
        <v>135</v>
      </c>
    </row>
    <row r="22" spans="1:3">
      <c r="A22" t="s">
        <v>22</v>
      </c>
      <c r="B22">
        <f t="shared" si="0"/>
        <v>0</v>
      </c>
    </row>
    <row r="23" spans="1:3">
      <c r="A23" t="s">
        <v>23</v>
      </c>
      <c r="B23">
        <f t="shared" si="0"/>
        <v>0</v>
      </c>
    </row>
    <row r="24" spans="1:3">
      <c r="A24" t="s">
        <v>24</v>
      </c>
      <c r="B24">
        <f t="shared" si="0"/>
        <v>0</v>
      </c>
    </row>
    <row r="25" spans="1:3">
      <c r="A25" t="s">
        <v>25</v>
      </c>
      <c r="B25">
        <f t="shared" si="0"/>
        <v>0</v>
      </c>
    </row>
    <row r="26" spans="1:3">
      <c r="A26" t="s">
        <v>26</v>
      </c>
      <c r="B26">
        <f t="shared" si="0"/>
        <v>0</v>
      </c>
    </row>
    <row r="27" spans="1:3">
      <c r="A27" t="s">
        <v>27</v>
      </c>
      <c r="B27">
        <f t="shared" si="0"/>
        <v>0</v>
      </c>
    </row>
    <row r="28" spans="1:3">
      <c r="A28" t="s">
        <v>28</v>
      </c>
      <c r="B28">
        <f t="shared" si="0"/>
        <v>0</v>
      </c>
    </row>
    <row r="29" spans="1:3">
      <c r="A29" t="s">
        <v>29</v>
      </c>
      <c r="B29">
        <f t="shared" si="0"/>
        <v>0</v>
      </c>
    </row>
    <row r="30" spans="1:3">
      <c r="A30" t="s">
        <v>30</v>
      </c>
      <c r="B30">
        <f t="shared" si="0"/>
        <v>0</v>
      </c>
    </row>
    <row r="31" spans="1:3">
      <c r="A31" t="s">
        <v>31</v>
      </c>
      <c r="B31">
        <f t="shared" si="0"/>
        <v>0</v>
      </c>
    </row>
    <row r="32" spans="1:3">
      <c r="A32" t="s">
        <v>32</v>
      </c>
      <c r="B32">
        <f t="shared" si="0"/>
        <v>0</v>
      </c>
    </row>
    <row r="33" spans="1:2">
      <c r="A33" t="s">
        <v>33</v>
      </c>
      <c r="B33">
        <f t="shared" si="0"/>
        <v>0</v>
      </c>
    </row>
    <row r="34" spans="1:2">
      <c r="A34" t="s">
        <v>34</v>
      </c>
      <c r="B34">
        <f t="shared" si="0"/>
        <v>0</v>
      </c>
    </row>
    <row r="35" spans="1:2">
      <c r="A35" t="s">
        <v>35</v>
      </c>
      <c r="B35">
        <f t="shared" si="0"/>
        <v>0</v>
      </c>
    </row>
    <row r="36" spans="1:2">
      <c r="A36" t="s">
        <v>36</v>
      </c>
      <c r="B36">
        <f t="shared" si="0"/>
        <v>0</v>
      </c>
    </row>
    <row r="37" spans="1:2">
      <c r="A37" t="s">
        <v>37</v>
      </c>
      <c r="B37">
        <f t="shared" si="0"/>
        <v>0</v>
      </c>
    </row>
    <row r="38" spans="1:2">
      <c r="A38" t="s">
        <v>91</v>
      </c>
      <c r="B38">
        <f t="shared" si="0"/>
        <v>0</v>
      </c>
    </row>
    <row r="39" spans="1:2">
      <c r="A39" t="s">
        <v>38</v>
      </c>
      <c r="B39">
        <f t="shared" si="0"/>
        <v>0</v>
      </c>
    </row>
    <row r="40" spans="1:2">
      <c r="A40" t="s">
        <v>39</v>
      </c>
      <c r="B40">
        <f t="shared" si="0"/>
        <v>0</v>
      </c>
    </row>
    <row r="41" spans="1:2">
      <c r="A41" t="s">
        <v>40</v>
      </c>
      <c r="B41">
        <f t="shared" si="0"/>
        <v>0</v>
      </c>
    </row>
    <row r="42" spans="1:2">
      <c r="A42" t="s">
        <v>41</v>
      </c>
      <c r="B42">
        <f t="shared" si="0"/>
        <v>0</v>
      </c>
    </row>
    <row r="43" spans="1:2">
      <c r="A43" t="s">
        <v>42</v>
      </c>
      <c r="B43">
        <f t="shared" si="0"/>
        <v>0</v>
      </c>
    </row>
    <row r="44" spans="1:2">
      <c r="A44" t="s">
        <v>43</v>
      </c>
      <c r="B44">
        <f t="shared" si="0"/>
        <v>0</v>
      </c>
    </row>
    <row r="45" spans="1:2">
      <c r="A45" t="s">
        <v>44</v>
      </c>
      <c r="B45">
        <f t="shared" si="0"/>
        <v>0</v>
      </c>
    </row>
    <row r="46" spans="1:2">
      <c r="A46" t="s">
        <v>45</v>
      </c>
      <c r="B46">
        <f t="shared" si="0"/>
        <v>0</v>
      </c>
    </row>
    <row r="47" spans="1:2">
      <c r="A47" t="s">
        <v>46</v>
      </c>
      <c r="B47">
        <f t="shared" si="0"/>
        <v>0</v>
      </c>
    </row>
    <row r="48" spans="1:2">
      <c r="A48" t="s">
        <v>53</v>
      </c>
      <c r="B48">
        <f t="shared" si="0"/>
        <v>0</v>
      </c>
    </row>
    <row r="49" spans="1:2">
      <c r="A49" t="s">
        <v>90</v>
      </c>
      <c r="B49">
        <f t="shared" si="0"/>
        <v>0</v>
      </c>
    </row>
    <row r="50" spans="1:2">
      <c r="A50" t="s">
        <v>54</v>
      </c>
      <c r="B50">
        <f t="shared" si="0"/>
        <v>0</v>
      </c>
    </row>
    <row r="51" spans="1:2">
      <c r="A51" t="s">
        <v>55</v>
      </c>
      <c r="B51">
        <f t="shared" si="0"/>
        <v>0</v>
      </c>
    </row>
    <row r="52" spans="1:2">
      <c r="A52" t="s">
        <v>56</v>
      </c>
      <c r="B52">
        <f t="shared" si="0"/>
        <v>0</v>
      </c>
    </row>
    <row r="53" spans="1:2">
      <c r="A53" t="s">
        <v>57</v>
      </c>
      <c r="B53">
        <f t="shared" si="0"/>
        <v>0</v>
      </c>
    </row>
    <row r="54" spans="1:2">
      <c r="A54" t="s">
        <v>58</v>
      </c>
      <c r="B54">
        <f t="shared" si="0"/>
        <v>0</v>
      </c>
    </row>
    <row r="55" spans="1:2">
      <c r="A55" t="s">
        <v>63</v>
      </c>
      <c r="B55">
        <f t="shared" si="0"/>
        <v>0</v>
      </c>
    </row>
    <row r="56" spans="1:2">
      <c r="A56" t="s">
        <v>64</v>
      </c>
      <c r="B56">
        <f t="shared" si="0"/>
        <v>0</v>
      </c>
    </row>
    <row r="57" spans="1:2">
      <c r="A57" t="s">
        <v>65</v>
      </c>
      <c r="B57">
        <f t="shared" si="0"/>
        <v>0</v>
      </c>
    </row>
    <row r="58" spans="1:2">
      <c r="A58" t="s">
        <v>66</v>
      </c>
      <c r="B58">
        <f t="shared" si="0"/>
        <v>0</v>
      </c>
    </row>
    <row r="59" spans="1:2">
      <c r="A59" t="s">
        <v>67</v>
      </c>
      <c r="B59">
        <f t="shared" si="0"/>
        <v>0</v>
      </c>
    </row>
    <row r="60" spans="1:2">
      <c r="A60" t="s">
        <v>68</v>
      </c>
      <c r="B60">
        <f t="shared" si="0"/>
        <v>0</v>
      </c>
    </row>
    <row r="61" spans="1:2">
      <c r="A61" t="s">
        <v>69</v>
      </c>
      <c r="B61">
        <f t="shared" si="0"/>
        <v>0</v>
      </c>
    </row>
    <row r="62" spans="1:2">
      <c r="A62" t="s">
        <v>70</v>
      </c>
      <c r="B62">
        <f t="shared" si="0"/>
        <v>0</v>
      </c>
    </row>
    <row r="63" spans="1:2">
      <c r="A63" t="s">
        <v>71</v>
      </c>
      <c r="B63">
        <f t="shared" si="0"/>
        <v>0</v>
      </c>
    </row>
    <row r="64" spans="1:2">
      <c r="A64" t="s">
        <v>72</v>
      </c>
      <c r="B64">
        <f t="shared" si="0"/>
        <v>0</v>
      </c>
    </row>
    <row r="65" spans="1:2">
      <c r="A65" t="s">
        <v>73</v>
      </c>
      <c r="B65">
        <f t="shared" si="0"/>
        <v>0</v>
      </c>
    </row>
    <row r="66" spans="1:2">
      <c r="A66" t="s">
        <v>74</v>
      </c>
      <c r="B66">
        <f t="shared" si="0"/>
        <v>0</v>
      </c>
    </row>
    <row r="67" spans="1:2">
      <c r="A67" t="s">
        <v>75</v>
      </c>
      <c r="B67">
        <f t="shared" si="0"/>
        <v>0</v>
      </c>
    </row>
    <row r="68" spans="1:2">
      <c r="A68" t="s">
        <v>76</v>
      </c>
      <c r="B68">
        <f t="shared" ref="B68:B103" si="1">SUM(C68:EG68)</f>
        <v>0</v>
      </c>
    </row>
    <row r="69" spans="1:2">
      <c r="A69" t="s">
        <v>77</v>
      </c>
      <c r="B69">
        <f t="shared" si="1"/>
        <v>0</v>
      </c>
    </row>
    <row r="70" spans="1:2">
      <c r="A70" t="s">
        <v>78</v>
      </c>
      <c r="B70">
        <f t="shared" si="1"/>
        <v>0</v>
      </c>
    </row>
    <row r="71" spans="1:2">
      <c r="A71" t="s">
        <v>79</v>
      </c>
      <c r="B71">
        <f t="shared" si="1"/>
        <v>0</v>
      </c>
    </row>
    <row r="72" spans="1:2">
      <c r="A72" t="s">
        <v>80</v>
      </c>
      <c r="B72">
        <f t="shared" si="1"/>
        <v>0</v>
      </c>
    </row>
    <row r="73" spans="1:2">
      <c r="A73" t="s">
        <v>81</v>
      </c>
      <c r="B73">
        <f t="shared" si="1"/>
        <v>0</v>
      </c>
    </row>
    <row r="74" spans="1:2">
      <c r="A74" t="s">
        <v>82</v>
      </c>
      <c r="B74">
        <f t="shared" si="1"/>
        <v>0</v>
      </c>
    </row>
    <row r="75" spans="1:2">
      <c r="A75" t="s">
        <v>83</v>
      </c>
      <c r="B75">
        <f t="shared" si="1"/>
        <v>0</v>
      </c>
    </row>
    <row r="76" spans="1:2">
      <c r="A76" t="s">
        <v>84</v>
      </c>
      <c r="B76">
        <f t="shared" si="1"/>
        <v>0</v>
      </c>
    </row>
    <row r="77" spans="1:2">
      <c r="A77" t="s">
        <v>85</v>
      </c>
      <c r="B77">
        <f t="shared" si="1"/>
        <v>0</v>
      </c>
    </row>
    <row r="78" spans="1:2">
      <c r="A78" t="s">
        <v>96</v>
      </c>
      <c r="B78">
        <f t="shared" si="1"/>
        <v>0</v>
      </c>
    </row>
    <row r="79" spans="1:2">
      <c r="A79" t="s">
        <v>88</v>
      </c>
      <c r="B79">
        <f t="shared" si="1"/>
        <v>0</v>
      </c>
    </row>
    <row r="80" spans="1:2">
      <c r="A80" t="s">
        <v>97</v>
      </c>
      <c r="B80">
        <f t="shared" si="1"/>
        <v>0</v>
      </c>
    </row>
    <row r="81" spans="1:2">
      <c r="A81" t="s">
        <v>98</v>
      </c>
      <c r="B81">
        <f t="shared" si="1"/>
        <v>0</v>
      </c>
    </row>
    <row r="82" spans="1:2">
      <c r="A82" t="s">
        <v>99</v>
      </c>
      <c r="B82">
        <f t="shared" si="1"/>
        <v>0</v>
      </c>
    </row>
    <row r="83" spans="1:2">
      <c r="A83" t="s">
        <v>100</v>
      </c>
      <c r="B83">
        <f t="shared" si="1"/>
        <v>0</v>
      </c>
    </row>
    <row r="84" spans="1:2">
      <c r="A84" t="s">
        <v>105</v>
      </c>
      <c r="B84">
        <f t="shared" si="1"/>
        <v>0</v>
      </c>
    </row>
    <row r="85" spans="1:2">
      <c r="A85" t="s">
        <v>106</v>
      </c>
      <c r="B85">
        <f t="shared" si="1"/>
        <v>0</v>
      </c>
    </row>
    <row r="86" spans="1:2">
      <c r="A86" t="s">
        <v>107</v>
      </c>
      <c r="B86">
        <f t="shared" si="1"/>
        <v>0</v>
      </c>
    </row>
    <row r="87" spans="1:2">
      <c r="A87" t="s">
        <v>109</v>
      </c>
      <c r="B87">
        <f t="shared" si="1"/>
        <v>0</v>
      </c>
    </row>
    <row r="88" spans="1:2">
      <c r="A88" t="s">
        <v>110</v>
      </c>
      <c r="B88">
        <f t="shared" si="1"/>
        <v>0</v>
      </c>
    </row>
    <row r="89" spans="1:2">
      <c r="A89" t="s">
        <v>111</v>
      </c>
      <c r="B89">
        <f t="shared" si="1"/>
        <v>0</v>
      </c>
    </row>
    <row r="90" spans="1:2">
      <c r="A90" t="s">
        <v>112</v>
      </c>
      <c r="B90">
        <f t="shared" si="1"/>
        <v>0</v>
      </c>
    </row>
    <row r="91" spans="1:2">
      <c r="A91" t="s">
        <v>113</v>
      </c>
      <c r="B91">
        <f t="shared" si="1"/>
        <v>0</v>
      </c>
    </row>
    <row r="92" spans="1:2">
      <c r="A92" t="s">
        <v>114</v>
      </c>
      <c r="B92">
        <f t="shared" si="1"/>
        <v>0</v>
      </c>
    </row>
    <row r="93" spans="1:2">
      <c r="A93" t="s">
        <v>116</v>
      </c>
      <c r="B93">
        <f t="shared" si="1"/>
        <v>0</v>
      </c>
    </row>
    <row r="94" spans="1:2">
      <c r="A94" t="s">
        <v>117</v>
      </c>
      <c r="B94">
        <f t="shared" si="1"/>
        <v>0</v>
      </c>
    </row>
    <row r="95" spans="1:2">
      <c r="A95" t="s">
        <v>121</v>
      </c>
      <c r="B95">
        <f t="shared" si="1"/>
        <v>0</v>
      </c>
    </row>
    <row r="96" spans="1:2">
      <c r="A96" t="s">
        <v>89</v>
      </c>
      <c r="B96">
        <f t="shared" si="1"/>
        <v>0</v>
      </c>
    </row>
    <row r="97" spans="1:2">
      <c r="A97" t="s">
        <v>122</v>
      </c>
      <c r="B97">
        <f t="shared" si="1"/>
        <v>0</v>
      </c>
    </row>
    <row r="98" spans="1:2">
      <c r="A98" t="s">
        <v>123</v>
      </c>
      <c r="B98">
        <f t="shared" si="1"/>
        <v>0</v>
      </c>
    </row>
    <row r="99" spans="1:2">
      <c r="A99" t="s">
        <v>87</v>
      </c>
      <c r="B99">
        <f t="shared" si="1"/>
        <v>0</v>
      </c>
    </row>
    <row r="100" spans="1:2">
      <c r="A100" t="s">
        <v>126</v>
      </c>
      <c r="B100">
        <f t="shared" si="1"/>
        <v>0</v>
      </c>
    </row>
    <row r="101" spans="1:2">
      <c r="A101" t="s">
        <v>127</v>
      </c>
      <c r="B101">
        <f t="shared" si="1"/>
        <v>0</v>
      </c>
    </row>
    <row r="102" spans="1:2">
      <c r="A102" t="s">
        <v>131</v>
      </c>
      <c r="B102">
        <f t="shared" si="1"/>
        <v>0</v>
      </c>
    </row>
    <row r="103" spans="1:2">
      <c r="A103" t="s">
        <v>134</v>
      </c>
      <c r="B103">
        <f t="shared" si="1"/>
        <v>0</v>
      </c>
    </row>
    <row r="105" spans="1:2">
      <c r="B105">
        <f>SUM(B3:B104)</f>
        <v>1320</v>
      </c>
    </row>
    <row r="107" spans="1:2">
      <c r="B107">
        <f>1320-B105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V107"/>
  <sheetViews>
    <sheetView workbookViewId="0">
      <pane xSplit="2" ySplit="2" topLeftCell="C78" activePane="bottomRight" state="frozen"/>
      <selection activeCell="C103" sqref="C103"/>
      <selection pane="topRight" activeCell="C103" sqref="C103"/>
      <selection pane="bottomLeft" activeCell="C103" sqref="C103"/>
      <selection pane="bottomRight" activeCell="B107" sqref="B107"/>
    </sheetView>
  </sheetViews>
  <sheetFormatPr defaultRowHeight="15"/>
  <cols>
    <col min="3" max="16" width="9.140625" style="3"/>
    <col min="17" max="20" width="9.140625" style="1"/>
    <col min="21" max="22" width="9.140625" style="3"/>
  </cols>
  <sheetData>
    <row r="3" spans="1:10">
      <c r="A3" t="s">
        <v>3</v>
      </c>
      <c r="B3">
        <f t="shared" ref="B3:B5" si="0">SUM(C3:DE3)</f>
        <v>0</v>
      </c>
    </row>
    <row r="4" spans="1:10">
      <c r="A4" t="s">
        <v>4</v>
      </c>
      <c r="B4">
        <f t="shared" si="0"/>
        <v>0</v>
      </c>
    </row>
    <row r="5" spans="1:10">
      <c r="A5" t="s">
        <v>5</v>
      </c>
      <c r="B5">
        <f t="shared" si="0"/>
        <v>0</v>
      </c>
    </row>
    <row r="6" spans="1:10">
      <c r="A6" t="s">
        <v>6</v>
      </c>
      <c r="B6">
        <f t="shared" ref="B6:B16" si="1">SUM(C6:DE6)</f>
        <v>160355</v>
      </c>
      <c r="C6" s="1">
        <v>164</v>
      </c>
      <c r="D6" s="1">
        <v>15599</v>
      </c>
      <c r="E6" s="1">
        <v>78004</v>
      </c>
      <c r="F6" s="1">
        <v>6131</v>
      </c>
      <c r="G6" s="1">
        <v>47990</v>
      </c>
      <c r="H6" s="1">
        <v>11</v>
      </c>
      <c r="I6" s="1">
        <v>12098</v>
      </c>
      <c r="J6" s="1">
        <v>358</v>
      </c>
    </row>
    <row r="7" spans="1:10">
      <c r="A7" t="s">
        <v>7</v>
      </c>
      <c r="B7">
        <f t="shared" si="1"/>
        <v>37296</v>
      </c>
      <c r="C7" s="3">
        <v>36494</v>
      </c>
      <c r="D7" s="1">
        <v>802</v>
      </c>
    </row>
    <row r="8" spans="1:10">
      <c r="A8" t="s">
        <v>8</v>
      </c>
      <c r="B8">
        <f t="shared" si="1"/>
        <v>0</v>
      </c>
    </row>
    <row r="9" spans="1:10">
      <c r="A9" t="s">
        <v>9</v>
      </c>
      <c r="B9">
        <f t="shared" si="1"/>
        <v>0</v>
      </c>
    </row>
    <row r="10" spans="1:10">
      <c r="A10" t="s">
        <v>10</v>
      </c>
      <c r="B10">
        <f t="shared" si="1"/>
        <v>0</v>
      </c>
    </row>
    <row r="11" spans="1:10">
      <c r="A11" t="s">
        <v>11</v>
      </c>
      <c r="B11">
        <f t="shared" si="1"/>
        <v>17218</v>
      </c>
      <c r="C11" s="1">
        <v>403</v>
      </c>
      <c r="D11" s="1">
        <v>7434</v>
      </c>
      <c r="E11" s="1">
        <v>8970</v>
      </c>
      <c r="F11" s="1">
        <v>34</v>
      </c>
      <c r="G11" s="1">
        <v>377</v>
      </c>
    </row>
    <row r="12" spans="1:10">
      <c r="A12" t="s">
        <v>12</v>
      </c>
      <c r="B12">
        <f t="shared" si="1"/>
        <v>541</v>
      </c>
      <c r="C12" s="1">
        <v>88</v>
      </c>
      <c r="D12" s="1">
        <v>453</v>
      </c>
    </row>
    <row r="13" spans="1:10">
      <c r="A13" t="s">
        <v>13</v>
      </c>
      <c r="B13">
        <f t="shared" si="1"/>
        <v>111</v>
      </c>
      <c r="C13" s="1">
        <v>111</v>
      </c>
    </row>
    <row r="14" spans="1:10">
      <c r="A14" t="s">
        <v>14</v>
      </c>
      <c r="B14">
        <f t="shared" si="1"/>
        <v>0</v>
      </c>
    </row>
    <row r="15" spans="1:10">
      <c r="A15" t="s">
        <v>15</v>
      </c>
      <c r="B15">
        <f t="shared" si="1"/>
        <v>0</v>
      </c>
    </row>
    <row r="16" spans="1:10">
      <c r="A16" t="s">
        <v>16</v>
      </c>
      <c r="B16">
        <f t="shared" si="1"/>
        <v>0</v>
      </c>
    </row>
    <row r="17" spans="1:16">
      <c r="A17" t="s">
        <v>17</v>
      </c>
      <c r="B17">
        <f>SUM(C17:DF17)</f>
        <v>22786</v>
      </c>
      <c r="C17" s="1">
        <v>13</v>
      </c>
      <c r="D17" s="1">
        <v>243</v>
      </c>
      <c r="E17" s="1">
        <v>7330</v>
      </c>
      <c r="F17" s="1">
        <v>36</v>
      </c>
      <c r="G17" s="1">
        <v>26</v>
      </c>
      <c r="H17" s="1">
        <v>89</v>
      </c>
      <c r="I17" s="1">
        <v>395</v>
      </c>
      <c r="J17" s="1">
        <v>11667</v>
      </c>
      <c r="K17" s="1">
        <v>178</v>
      </c>
      <c r="L17" s="1">
        <v>759</v>
      </c>
      <c r="M17" s="1">
        <v>960</v>
      </c>
      <c r="N17" s="1">
        <v>13</v>
      </c>
      <c r="O17" s="1">
        <v>526</v>
      </c>
      <c r="P17" s="1">
        <v>551</v>
      </c>
    </row>
    <row r="18" spans="1:16">
      <c r="A18" t="s">
        <v>18</v>
      </c>
      <c r="B18">
        <f t="shared" ref="B18:B40" si="2">SUM(C18:DE18)</f>
        <v>360</v>
      </c>
      <c r="C18" s="1">
        <v>145</v>
      </c>
      <c r="D18" s="1">
        <v>46</v>
      </c>
      <c r="E18" s="1">
        <v>169</v>
      </c>
    </row>
    <row r="19" spans="1:16">
      <c r="A19" t="s">
        <v>19</v>
      </c>
      <c r="B19">
        <f t="shared" si="2"/>
        <v>0</v>
      </c>
    </row>
    <row r="20" spans="1:16">
      <c r="A20" t="s">
        <v>20</v>
      </c>
      <c r="B20">
        <f t="shared" si="2"/>
        <v>0</v>
      </c>
    </row>
    <row r="21" spans="1:16">
      <c r="A21" t="s">
        <v>21</v>
      </c>
      <c r="B21">
        <f t="shared" si="2"/>
        <v>1458</v>
      </c>
      <c r="C21" s="3">
        <v>57</v>
      </c>
      <c r="D21" s="1">
        <v>60</v>
      </c>
      <c r="E21" s="1">
        <v>137</v>
      </c>
      <c r="F21" s="1">
        <v>562</v>
      </c>
      <c r="G21" s="1">
        <v>120</v>
      </c>
      <c r="H21" s="1">
        <v>5</v>
      </c>
      <c r="I21" s="1">
        <v>6</v>
      </c>
      <c r="J21" s="1">
        <v>393</v>
      </c>
      <c r="K21" s="1">
        <v>96</v>
      </c>
      <c r="L21" s="1">
        <v>22</v>
      </c>
    </row>
    <row r="22" spans="1:16">
      <c r="A22" t="s">
        <v>22</v>
      </c>
      <c r="B22">
        <f t="shared" si="2"/>
        <v>0</v>
      </c>
    </row>
    <row r="23" spans="1:16">
      <c r="A23" t="s">
        <v>23</v>
      </c>
      <c r="B23">
        <f t="shared" si="2"/>
        <v>0</v>
      </c>
    </row>
    <row r="24" spans="1:16">
      <c r="A24" t="s">
        <v>24</v>
      </c>
      <c r="B24">
        <f t="shared" si="2"/>
        <v>0</v>
      </c>
    </row>
    <row r="25" spans="1:16">
      <c r="A25" t="s">
        <v>25</v>
      </c>
      <c r="B25">
        <f t="shared" si="2"/>
        <v>0</v>
      </c>
    </row>
    <row r="26" spans="1:16">
      <c r="A26" t="s">
        <v>26</v>
      </c>
      <c r="B26">
        <f t="shared" si="2"/>
        <v>0</v>
      </c>
    </row>
    <row r="27" spans="1:16">
      <c r="A27" t="s">
        <v>27</v>
      </c>
      <c r="B27">
        <f t="shared" si="2"/>
        <v>1973</v>
      </c>
      <c r="C27" s="1">
        <v>101</v>
      </c>
      <c r="D27" s="1">
        <v>416</v>
      </c>
      <c r="E27" s="1">
        <v>78</v>
      </c>
      <c r="F27" s="1">
        <v>1378</v>
      </c>
    </row>
    <row r="28" spans="1:16">
      <c r="A28" t="s">
        <v>28</v>
      </c>
      <c r="B28">
        <f t="shared" si="2"/>
        <v>956</v>
      </c>
      <c r="C28" s="1">
        <v>956</v>
      </c>
    </row>
    <row r="29" spans="1:16">
      <c r="A29" t="s">
        <v>29</v>
      </c>
      <c r="B29">
        <f t="shared" si="2"/>
        <v>0</v>
      </c>
    </row>
    <row r="30" spans="1:16">
      <c r="A30" t="s">
        <v>30</v>
      </c>
      <c r="B30">
        <f t="shared" si="2"/>
        <v>1965</v>
      </c>
      <c r="C30" s="1">
        <v>1535</v>
      </c>
      <c r="D30" s="1">
        <v>108</v>
      </c>
      <c r="E30" s="1">
        <v>165</v>
      </c>
      <c r="F30" s="1">
        <v>30</v>
      </c>
      <c r="G30" s="1">
        <v>114</v>
      </c>
      <c r="H30" s="1">
        <v>13</v>
      </c>
    </row>
    <row r="31" spans="1:16">
      <c r="A31" t="s">
        <v>31</v>
      </c>
      <c r="B31">
        <f t="shared" si="2"/>
        <v>0</v>
      </c>
    </row>
    <row r="32" spans="1:16">
      <c r="A32" t="s">
        <v>32</v>
      </c>
      <c r="B32">
        <f t="shared" si="2"/>
        <v>1182</v>
      </c>
      <c r="C32" s="1">
        <v>965</v>
      </c>
      <c r="D32" s="1">
        <v>45</v>
      </c>
      <c r="E32" s="1">
        <v>147</v>
      </c>
      <c r="F32" s="1">
        <v>25</v>
      </c>
    </row>
    <row r="33" spans="1:5">
      <c r="A33" t="s">
        <v>33</v>
      </c>
      <c r="B33">
        <f t="shared" si="2"/>
        <v>0</v>
      </c>
    </row>
    <row r="34" spans="1:5">
      <c r="A34" t="s">
        <v>34</v>
      </c>
      <c r="B34">
        <f t="shared" si="2"/>
        <v>0</v>
      </c>
    </row>
    <row r="35" spans="1:5">
      <c r="A35" t="s">
        <v>35</v>
      </c>
      <c r="B35">
        <f t="shared" si="2"/>
        <v>1344</v>
      </c>
      <c r="C35" s="1">
        <v>247</v>
      </c>
      <c r="D35" s="1">
        <v>93</v>
      </c>
      <c r="E35" s="1">
        <v>1004</v>
      </c>
    </row>
    <row r="36" spans="1:5">
      <c r="A36" t="s">
        <v>36</v>
      </c>
      <c r="B36">
        <f t="shared" si="2"/>
        <v>0</v>
      </c>
    </row>
    <row r="37" spans="1:5">
      <c r="A37" t="s">
        <v>37</v>
      </c>
      <c r="B37">
        <f t="shared" si="2"/>
        <v>0</v>
      </c>
    </row>
    <row r="38" spans="1:5">
      <c r="A38" t="s">
        <v>91</v>
      </c>
      <c r="B38">
        <f t="shared" si="2"/>
        <v>0</v>
      </c>
    </row>
    <row r="39" spans="1:5">
      <c r="A39" t="s">
        <v>38</v>
      </c>
      <c r="B39">
        <f t="shared" si="2"/>
        <v>0</v>
      </c>
    </row>
    <row r="40" spans="1:5">
      <c r="A40" t="s">
        <v>39</v>
      </c>
      <c r="B40">
        <f t="shared" si="2"/>
        <v>929</v>
      </c>
      <c r="C40" s="1">
        <v>929</v>
      </c>
    </row>
    <row r="41" spans="1:5">
      <c r="A41" t="s">
        <v>40</v>
      </c>
      <c r="B41">
        <f t="shared" ref="B41:B66" si="3">SUM(C41:DE41)</f>
        <v>0</v>
      </c>
    </row>
    <row r="42" spans="1:5">
      <c r="A42" t="s">
        <v>41</v>
      </c>
      <c r="B42">
        <f t="shared" si="3"/>
        <v>0</v>
      </c>
    </row>
    <row r="43" spans="1:5">
      <c r="A43" t="s">
        <v>42</v>
      </c>
      <c r="B43">
        <f t="shared" si="3"/>
        <v>0</v>
      </c>
    </row>
    <row r="44" spans="1:5">
      <c r="A44" t="s">
        <v>43</v>
      </c>
      <c r="B44">
        <f t="shared" si="3"/>
        <v>0</v>
      </c>
    </row>
    <row r="45" spans="1:5">
      <c r="A45" t="s">
        <v>44</v>
      </c>
      <c r="B45">
        <f t="shared" si="3"/>
        <v>161</v>
      </c>
      <c r="C45" s="1">
        <v>156</v>
      </c>
      <c r="D45" s="1">
        <v>5</v>
      </c>
    </row>
    <row r="46" spans="1:5">
      <c r="A46" t="s">
        <v>45</v>
      </c>
      <c r="B46">
        <f t="shared" si="3"/>
        <v>0</v>
      </c>
    </row>
    <row r="47" spans="1:5">
      <c r="A47" t="s">
        <v>46</v>
      </c>
      <c r="B47">
        <f t="shared" si="3"/>
        <v>0</v>
      </c>
    </row>
    <row r="48" spans="1:5">
      <c r="A48" t="s">
        <v>53</v>
      </c>
      <c r="B48">
        <f t="shared" si="3"/>
        <v>0</v>
      </c>
    </row>
    <row r="49" spans="1:3">
      <c r="A49" t="s">
        <v>90</v>
      </c>
      <c r="B49">
        <f t="shared" si="3"/>
        <v>0</v>
      </c>
    </row>
    <row r="50" spans="1:3">
      <c r="A50" t="s">
        <v>54</v>
      </c>
      <c r="B50">
        <f t="shared" si="3"/>
        <v>0</v>
      </c>
    </row>
    <row r="51" spans="1:3">
      <c r="A51" t="s">
        <v>55</v>
      </c>
      <c r="B51">
        <f t="shared" si="3"/>
        <v>0</v>
      </c>
    </row>
    <row r="52" spans="1:3">
      <c r="A52" t="s">
        <v>56</v>
      </c>
      <c r="B52">
        <f t="shared" si="3"/>
        <v>0</v>
      </c>
    </row>
    <row r="53" spans="1:3">
      <c r="A53" t="s">
        <v>57</v>
      </c>
      <c r="B53">
        <f t="shared" si="3"/>
        <v>0</v>
      </c>
    </row>
    <row r="54" spans="1:3">
      <c r="A54" t="s">
        <v>58</v>
      </c>
      <c r="B54">
        <f t="shared" si="3"/>
        <v>0</v>
      </c>
    </row>
    <row r="55" spans="1:3">
      <c r="A55" t="s">
        <v>63</v>
      </c>
      <c r="B55">
        <f t="shared" si="3"/>
        <v>0</v>
      </c>
    </row>
    <row r="56" spans="1:3">
      <c r="A56" t="s">
        <v>64</v>
      </c>
      <c r="B56">
        <f t="shared" si="3"/>
        <v>0</v>
      </c>
    </row>
    <row r="57" spans="1:3">
      <c r="A57" t="s">
        <v>65</v>
      </c>
      <c r="B57">
        <f t="shared" si="3"/>
        <v>0</v>
      </c>
    </row>
    <row r="58" spans="1:3">
      <c r="A58" t="s">
        <v>66</v>
      </c>
      <c r="B58">
        <f t="shared" si="3"/>
        <v>0</v>
      </c>
    </row>
    <row r="59" spans="1:3">
      <c r="A59" t="s">
        <v>67</v>
      </c>
      <c r="B59">
        <f t="shared" si="3"/>
        <v>0</v>
      </c>
    </row>
    <row r="60" spans="1:3">
      <c r="A60" t="s">
        <v>68</v>
      </c>
      <c r="B60">
        <f t="shared" si="3"/>
        <v>0</v>
      </c>
    </row>
    <row r="61" spans="1:3">
      <c r="A61" t="s">
        <v>69</v>
      </c>
      <c r="B61">
        <f t="shared" si="3"/>
        <v>0</v>
      </c>
    </row>
    <row r="62" spans="1:3">
      <c r="A62" t="s">
        <v>70</v>
      </c>
      <c r="B62">
        <f t="shared" si="3"/>
        <v>0</v>
      </c>
    </row>
    <row r="63" spans="1:3">
      <c r="A63" t="s">
        <v>71</v>
      </c>
      <c r="B63">
        <f t="shared" si="3"/>
        <v>0</v>
      </c>
    </row>
    <row r="64" spans="1:3">
      <c r="A64" t="s">
        <v>72</v>
      </c>
      <c r="B64">
        <f t="shared" si="3"/>
        <v>200</v>
      </c>
      <c r="C64" s="1">
        <v>200</v>
      </c>
    </row>
    <row r="65" spans="1:4">
      <c r="A65" t="s">
        <v>73</v>
      </c>
      <c r="B65">
        <f t="shared" si="3"/>
        <v>0</v>
      </c>
    </row>
    <row r="66" spans="1:4">
      <c r="A66" t="s">
        <v>74</v>
      </c>
      <c r="B66">
        <f t="shared" si="3"/>
        <v>0</v>
      </c>
    </row>
    <row r="67" spans="1:4">
      <c r="A67" t="s">
        <v>75</v>
      </c>
      <c r="B67">
        <f t="shared" ref="B67:B68" si="4">SUM(C67:DE67)</f>
        <v>0</v>
      </c>
    </row>
    <row r="68" spans="1:4">
      <c r="A68" t="s">
        <v>76</v>
      </c>
      <c r="B68">
        <f t="shared" si="4"/>
        <v>0</v>
      </c>
    </row>
    <row r="69" spans="1:4">
      <c r="A69" t="s">
        <v>77</v>
      </c>
      <c r="B69">
        <f t="shared" ref="B69:B103" si="5">SUM(C69:DE69)</f>
        <v>0</v>
      </c>
    </row>
    <row r="70" spans="1:4">
      <c r="A70" t="s">
        <v>78</v>
      </c>
      <c r="B70">
        <f t="shared" si="5"/>
        <v>0</v>
      </c>
    </row>
    <row r="71" spans="1:4">
      <c r="A71" t="s">
        <v>79</v>
      </c>
      <c r="B71">
        <f t="shared" si="5"/>
        <v>0</v>
      </c>
    </row>
    <row r="72" spans="1:4">
      <c r="A72" t="s">
        <v>80</v>
      </c>
      <c r="B72">
        <f t="shared" si="5"/>
        <v>0</v>
      </c>
    </row>
    <row r="73" spans="1:4">
      <c r="A73" t="s">
        <v>81</v>
      </c>
      <c r="B73">
        <f t="shared" si="5"/>
        <v>9104</v>
      </c>
      <c r="C73" s="1">
        <v>8898</v>
      </c>
      <c r="D73" s="1">
        <v>206</v>
      </c>
    </row>
    <row r="74" spans="1:4">
      <c r="A74" t="s">
        <v>82</v>
      </c>
      <c r="B74">
        <f t="shared" si="5"/>
        <v>0</v>
      </c>
    </row>
    <row r="75" spans="1:4">
      <c r="A75" t="s">
        <v>83</v>
      </c>
      <c r="B75">
        <f t="shared" si="5"/>
        <v>0</v>
      </c>
    </row>
    <row r="76" spans="1:4">
      <c r="A76" t="s">
        <v>84</v>
      </c>
      <c r="B76">
        <f t="shared" si="5"/>
        <v>0</v>
      </c>
    </row>
    <row r="77" spans="1:4">
      <c r="A77" t="s">
        <v>85</v>
      </c>
      <c r="B77">
        <f t="shared" si="5"/>
        <v>0</v>
      </c>
    </row>
    <row r="78" spans="1:4">
      <c r="A78" t="s">
        <v>96</v>
      </c>
      <c r="B78">
        <f t="shared" si="5"/>
        <v>0</v>
      </c>
    </row>
    <row r="79" spans="1:4">
      <c r="A79" t="s">
        <v>88</v>
      </c>
      <c r="B79">
        <f t="shared" si="5"/>
        <v>502</v>
      </c>
      <c r="C79" s="1">
        <v>502</v>
      </c>
    </row>
    <row r="80" spans="1:4">
      <c r="A80" t="s">
        <v>97</v>
      </c>
      <c r="B80">
        <f t="shared" si="5"/>
        <v>0</v>
      </c>
    </row>
    <row r="81" spans="1:2">
      <c r="A81" t="s">
        <v>98</v>
      </c>
      <c r="B81">
        <f t="shared" si="5"/>
        <v>0</v>
      </c>
    </row>
    <row r="82" spans="1:2">
      <c r="A82" t="s">
        <v>99</v>
      </c>
      <c r="B82">
        <f t="shared" si="5"/>
        <v>0</v>
      </c>
    </row>
    <row r="83" spans="1:2">
      <c r="A83" t="s">
        <v>100</v>
      </c>
      <c r="B83">
        <f t="shared" si="5"/>
        <v>0</v>
      </c>
    </row>
    <row r="84" spans="1:2">
      <c r="A84" t="s">
        <v>105</v>
      </c>
      <c r="B84">
        <f t="shared" si="5"/>
        <v>0</v>
      </c>
    </row>
    <row r="85" spans="1:2">
      <c r="A85" t="s">
        <v>106</v>
      </c>
      <c r="B85">
        <f t="shared" si="5"/>
        <v>0</v>
      </c>
    </row>
    <row r="86" spans="1:2">
      <c r="A86" t="s">
        <v>107</v>
      </c>
      <c r="B86">
        <f t="shared" si="5"/>
        <v>0</v>
      </c>
    </row>
    <row r="87" spans="1:2">
      <c r="A87" t="s">
        <v>109</v>
      </c>
      <c r="B87">
        <f t="shared" si="5"/>
        <v>0</v>
      </c>
    </row>
    <row r="88" spans="1:2">
      <c r="A88" t="s">
        <v>110</v>
      </c>
      <c r="B88">
        <f t="shared" si="5"/>
        <v>0</v>
      </c>
    </row>
    <row r="89" spans="1:2">
      <c r="A89" t="s">
        <v>111</v>
      </c>
      <c r="B89">
        <f t="shared" si="5"/>
        <v>0</v>
      </c>
    </row>
    <row r="90" spans="1:2">
      <c r="A90" t="s">
        <v>112</v>
      </c>
      <c r="B90">
        <f t="shared" si="5"/>
        <v>0</v>
      </c>
    </row>
    <row r="91" spans="1:2">
      <c r="A91" t="s">
        <v>113</v>
      </c>
      <c r="B91">
        <f t="shared" si="5"/>
        <v>0</v>
      </c>
    </row>
    <row r="92" spans="1:2">
      <c r="A92" t="s">
        <v>114</v>
      </c>
      <c r="B92">
        <f t="shared" si="5"/>
        <v>0</v>
      </c>
    </row>
    <row r="93" spans="1:2">
      <c r="A93" t="s">
        <v>116</v>
      </c>
      <c r="B93">
        <f t="shared" si="5"/>
        <v>0</v>
      </c>
    </row>
    <row r="94" spans="1:2">
      <c r="A94" t="s">
        <v>117</v>
      </c>
      <c r="B94">
        <f t="shared" si="5"/>
        <v>0</v>
      </c>
    </row>
    <row r="95" spans="1:2">
      <c r="A95" t="s">
        <v>121</v>
      </c>
      <c r="B95">
        <f t="shared" si="5"/>
        <v>0</v>
      </c>
    </row>
    <row r="96" spans="1:2">
      <c r="A96" t="s">
        <v>89</v>
      </c>
      <c r="B96">
        <f t="shared" si="5"/>
        <v>0</v>
      </c>
    </row>
    <row r="97" spans="1:7">
      <c r="A97" t="s">
        <v>122</v>
      </c>
      <c r="B97">
        <f t="shared" si="5"/>
        <v>0</v>
      </c>
    </row>
    <row r="98" spans="1:7">
      <c r="A98" t="s">
        <v>123</v>
      </c>
      <c r="B98">
        <f t="shared" si="5"/>
        <v>0</v>
      </c>
    </row>
    <row r="99" spans="1:7">
      <c r="A99" t="s">
        <v>87</v>
      </c>
      <c r="B99">
        <f t="shared" si="5"/>
        <v>0</v>
      </c>
    </row>
    <row r="100" spans="1:7">
      <c r="A100" t="s">
        <v>126</v>
      </c>
      <c r="B100">
        <f t="shared" si="5"/>
        <v>0</v>
      </c>
    </row>
    <row r="101" spans="1:7">
      <c r="A101" t="s">
        <v>127</v>
      </c>
      <c r="B101">
        <f t="shared" si="5"/>
        <v>0</v>
      </c>
    </row>
    <row r="102" spans="1:7">
      <c r="A102" t="s">
        <v>131</v>
      </c>
      <c r="B102">
        <f t="shared" si="5"/>
        <v>0</v>
      </c>
    </row>
    <row r="103" spans="1:7">
      <c r="A103" t="s">
        <v>134</v>
      </c>
      <c r="B103">
        <f t="shared" si="5"/>
        <v>33343</v>
      </c>
      <c r="C103" s="1">
        <v>24755</v>
      </c>
      <c r="D103" s="1">
        <v>6109</v>
      </c>
      <c r="E103" s="1">
        <v>1835</v>
      </c>
      <c r="F103" s="1">
        <v>275</v>
      </c>
      <c r="G103" s="1">
        <v>369</v>
      </c>
    </row>
    <row r="105" spans="1:7">
      <c r="B105">
        <f>SUM(B3:B104)</f>
        <v>291784</v>
      </c>
    </row>
    <row r="107" spans="1:7">
      <c r="B107">
        <f>291457-B105</f>
        <v>-327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07"/>
  <sheetViews>
    <sheetView workbookViewId="0">
      <pane xSplit="2" ySplit="2" topLeftCell="C85" activePane="bottomRight" state="frozen"/>
      <selection activeCell="C103" sqref="C103"/>
      <selection pane="topRight" activeCell="C103" sqref="C103"/>
      <selection pane="bottomLeft" activeCell="C103" sqref="C103"/>
      <selection pane="bottomRight" activeCell="B108" sqref="B108"/>
    </sheetView>
  </sheetViews>
  <sheetFormatPr defaultRowHeight="15"/>
  <sheetData>
    <row r="3" spans="1:4">
      <c r="A3" t="s">
        <v>3</v>
      </c>
      <c r="B3">
        <f t="shared" ref="B3:B34" si="0">SUM(C3:DQ3)</f>
        <v>0</v>
      </c>
    </row>
    <row r="4" spans="1:4">
      <c r="A4" t="s">
        <v>4</v>
      </c>
      <c r="B4">
        <f t="shared" si="0"/>
        <v>0</v>
      </c>
    </row>
    <row r="5" spans="1:4">
      <c r="A5" t="s">
        <v>5</v>
      </c>
      <c r="B5">
        <f t="shared" si="0"/>
        <v>0</v>
      </c>
    </row>
    <row r="6" spans="1:4">
      <c r="A6" t="s">
        <v>6</v>
      </c>
      <c r="B6">
        <f t="shared" si="0"/>
        <v>84</v>
      </c>
      <c r="C6">
        <v>84</v>
      </c>
    </row>
    <row r="7" spans="1:4">
      <c r="A7" t="s">
        <v>7</v>
      </c>
      <c r="B7">
        <f t="shared" si="0"/>
        <v>0</v>
      </c>
    </row>
    <row r="8" spans="1:4">
      <c r="A8" t="s">
        <v>8</v>
      </c>
      <c r="B8">
        <f t="shared" si="0"/>
        <v>0</v>
      </c>
    </row>
    <row r="9" spans="1:4">
      <c r="A9" t="s">
        <v>9</v>
      </c>
      <c r="B9">
        <f t="shared" si="0"/>
        <v>0</v>
      </c>
    </row>
    <row r="10" spans="1:4">
      <c r="A10" t="s">
        <v>10</v>
      </c>
      <c r="B10">
        <f t="shared" si="0"/>
        <v>9464</v>
      </c>
      <c r="C10">
        <v>5229</v>
      </c>
      <c r="D10">
        <v>4235</v>
      </c>
    </row>
    <row r="11" spans="1:4">
      <c r="A11" t="s">
        <v>11</v>
      </c>
      <c r="B11">
        <f t="shared" si="0"/>
        <v>0</v>
      </c>
    </row>
    <row r="12" spans="1:4">
      <c r="A12" t="s">
        <v>12</v>
      </c>
      <c r="B12">
        <f t="shared" si="0"/>
        <v>31</v>
      </c>
      <c r="C12">
        <v>31</v>
      </c>
    </row>
    <row r="13" spans="1:4">
      <c r="A13" t="s">
        <v>13</v>
      </c>
      <c r="B13">
        <f t="shared" si="0"/>
        <v>198</v>
      </c>
      <c r="C13">
        <v>198</v>
      </c>
    </row>
    <row r="14" spans="1:4">
      <c r="A14" t="s">
        <v>14</v>
      </c>
      <c r="B14">
        <f t="shared" si="0"/>
        <v>0</v>
      </c>
    </row>
    <row r="15" spans="1:4">
      <c r="A15" t="s">
        <v>15</v>
      </c>
      <c r="B15">
        <f t="shared" si="0"/>
        <v>0</v>
      </c>
    </row>
    <row r="16" spans="1:4">
      <c r="A16" t="s">
        <v>16</v>
      </c>
      <c r="B16">
        <f t="shared" si="0"/>
        <v>0</v>
      </c>
    </row>
    <row r="17" spans="1:4">
      <c r="A17" t="s">
        <v>17</v>
      </c>
      <c r="B17">
        <f t="shared" si="0"/>
        <v>0</v>
      </c>
    </row>
    <row r="18" spans="1:4">
      <c r="A18" t="s">
        <v>18</v>
      </c>
      <c r="B18">
        <f t="shared" si="0"/>
        <v>0</v>
      </c>
    </row>
    <row r="19" spans="1:4">
      <c r="A19" t="s">
        <v>19</v>
      </c>
      <c r="B19">
        <f t="shared" si="0"/>
        <v>0</v>
      </c>
    </row>
    <row r="20" spans="1:4">
      <c r="A20" t="s">
        <v>20</v>
      </c>
      <c r="B20">
        <f t="shared" si="0"/>
        <v>0</v>
      </c>
    </row>
    <row r="21" spans="1:4">
      <c r="A21" t="s">
        <v>21</v>
      </c>
      <c r="B21">
        <f t="shared" si="0"/>
        <v>0</v>
      </c>
    </row>
    <row r="22" spans="1:4">
      <c r="A22" t="s">
        <v>22</v>
      </c>
      <c r="B22">
        <f t="shared" si="0"/>
        <v>0</v>
      </c>
    </row>
    <row r="23" spans="1:4">
      <c r="A23" t="s">
        <v>23</v>
      </c>
      <c r="B23">
        <f t="shared" si="0"/>
        <v>0</v>
      </c>
    </row>
    <row r="24" spans="1:4">
      <c r="A24" t="s">
        <v>24</v>
      </c>
      <c r="B24">
        <f t="shared" si="0"/>
        <v>0</v>
      </c>
    </row>
    <row r="25" spans="1:4">
      <c r="A25" t="s">
        <v>25</v>
      </c>
      <c r="B25">
        <f t="shared" si="0"/>
        <v>0</v>
      </c>
    </row>
    <row r="26" spans="1:4">
      <c r="A26" t="s">
        <v>26</v>
      </c>
      <c r="B26">
        <f t="shared" si="0"/>
        <v>0</v>
      </c>
    </row>
    <row r="27" spans="1:4">
      <c r="A27" t="s">
        <v>27</v>
      </c>
      <c r="B27">
        <f t="shared" si="0"/>
        <v>67</v>
      </c>
      <c r="C27">
        <v>21</v>
      </c>
      <c r="D27">
        <v>46</v>
      </c>
    </row>
    <row r="28" spans="1:4">
      <c r="A28" t="s">
        <v>28</v>
      </c>
      <c r="B28">
        <f t="shared" si="0"/>
        <v>126</v>
      </c>
      <c r="C28">
        <v>126</v>
      </c>
    </row>
    <row r="29" spans="1:4">
      <c r="A29" t="s">
        <v>29</v>
      </c>
      <c r="B29">
        <f t="shared" si="0"/>
        <v>0</v>
      </c>
    </row>
    <row r="30" spans="1:4">
      <c r="A30" t="s">
        <v>30</v>
      </c>
      <c r="B30">
        <f t="shared" si="0"/>
        <v>0</v>
      </c>
    </row>
    <row r="31" spans="1:4">
      <c r="A31" t="s">
        <v>31</v>
      </c>
      <c r="B31">
        <f t="shared" si="0"/>
        <v>0</v>
      </c>
    </row>
    <row r="32" spans="1:4">
      <c r="A32" t="s">
        <v>32</v>
      </c>
      <c r="B32">
        <f t="shared" si="0"/>
        <v>0</v>
      </c>
    </row>
    <row r="33" spans="1:3">
      <c r="A33" t="s">
        <v>33</v>
      </c>
      <c r="B33">
        <f t="shared" si="0"/>
        <v>0</v>
      </c>
    </row>
    <row r="34" spans="1:3">
      <c r="A34" t="s">
        <v>34</v>
      </c>
      <c r="B34">
        <f t="shared" si="0"/>
        <v>0</v>
      </c>
    </row>
    <row r="35" spans="1:3">
      <c r="A35" t="s">
        <v>35</v>
      </c>
      <c r="B35">
        <f t="shared" ref="B35:B66" si="1">SUM(C35:DQ35)</f>
        <v>0</v>
      </c>
    </row>
    <row r="36" spans="1:3">
      <c r="A36" t="s">
        <v>36</v>
      </c>
      <c r="B36">
        <f t="shared" si="1"/>
        <v>42</v>
      </c>
      <c r="C36">
        <v>42</v>
      </c>
    </row>
    <row r="37" spans="1:3">
      <c r="A37" t="s">
        <v>37</v>
      </c>
      <c r="B37">
        <f t="shared" si="1"/>
        <v>0</v>
      </c>
    </row>
    <row r="38" spans="1:3">
      <c r="A38" t="s">
        <v>91</v>
      </c>
      <c r="B38">
        <f t="shared" si="1"/>
        <v>0</v>
      </c>
    </row>
    <row r="39" spans="1:3">
      <c r="A39" t="s">
        <v>38</v>
      </c>
      <c r="B39">
        <f t="shared" si="1"/>
        <v>0</v>
      </c>
    </row>
    <row r="40" spans="1:3">
      <c r="A40" t="s">
        <v>39</v>
      </c>
      <c r="B40">
        <f t="shared" si="1"/>
        <v>0</v>
      </c>
    </row>
    <row r="41" spans="1:3">
      <c r="A41" t="s">
        <v>40</v>
      </c>
      <c r="B41">
        <f t="shared" si="1"/>
        <v>0</v>
      </c>
    </row>
    <row r="42" spans="1:3">
      <c r="A42" t="s">
        <v>41</v>
      </c>
      <c r="B42">
        <f t="shared" si="1"/>
        <v>0</v>
      </c>
    </row>
    <row r="43" spans="1:3">
      <c r="A43" t="s">
        <v>42</v>
      </c>
      <c r="B43">
        <f t="shared" si="1"/>
        <v>0</v>
      </c>
    </row>
    <row r="44" spans="1:3">
      <c r="A44" t="s">
        <v>43</v>
      </c>
      <c r="B44">
        <f t="shared" si="1"/>
        <v>0</v>
      </c>
    </row>
    <row r="45" spans="1:3">
      <c r="A45" t="s">
        <v>44</v>
      </c>
      <c r="B45">
        <f t="shared" si="1"/>
        <v>0</v>
      </c>
    </row>
    <row r="46" spans="1:3">
      <c r="A46" t="s">
        <v>45</v>
      </c>
      <c r="B46">
        <f t="shared" si="1"/>
        <v>0</v>
      </c>
    </row>
    <row r="47" spans="1:3">
      <c r="A47" t="s">
        <v>46</v>
      </c>
      <c r="B47">
        <f t="shared" si="1"/>
        <v>0</v>
      </c>
    </row>
    <row r="48" spans="1:3">
      <c r="A48" t="s">
        <v>53</v>
      </c>
      <c r="B48">
        <f t="shared" si="1"/>
        <v>0</v>
      </c>
    </row>
    <row r="49" spans="1:3">
      <c r="A49" t="s">
        <v>90</v>
      </c>
      <c r="B49">
        <f t="shared" si="1"/>
        <v>0</v>
      </c>
    </row>
    <row r="50" spans="1:3">
      <c r="A50" t="s">
        <v>54</v>
      </c>
      <c r="B50">
        <f t="shared" si="1"/>
        <v>0</v>
      </c>
    </row>
    <row r="51" spans="1:3">
      <c r="A51" t="s">
        <v>55</v>
      </c>
      <c r="B51">
        <f t="shared" si="1"/>
        <v>0</v>
      </c>
    </row>
    <row r="52" spans="1:3">
      <c r="A52" t="s">
        <v>56</v>
      </c>
      <c r="B52">
        <f t="shared" si="1"/>
        <v>0</v>
      </c>
    </row>
    <row r="53" spans="1:3">
      <c r="A53" t="s">
        <v>57</v>
      </c>
      <c r="B53">
        <f t="shared" si="1"/>
        <v>0</v>
      </c>
    </row>
    <row r="54" spans="1:3">
      <c r="A54" t="s">
        <v>58</v>
      </c>
      <c r="B54">
        <f t="shared" si="1"/>
        <v>280</v>
      </c>
      <c r="C54">
        <v>280</v>
      </c>
    </row>
    <row r="55" spans="1:3">
      <c r="A55" t="s">
        <v>63</v>
      </c>
      <c r="B55">
        <f t="shared" si="1"/>
        <v>0</v>
      </c>
    </row>
    <row r="56" spans="1:3">
      <c r="A56" t="s">
        <v>64</v>
      </c>
      <c r="B56">
        <f t="shared" si="1"/>
        <v>0</v>
      </c>
    </row>
    <row r="57" spans="1:3">
      <c r="A57" t="s">
        <v>65</v>
      </c>
      <c r="B57">
        <f t="shared" si="1"/>
        <v>0</v>
      </c>
    </row>
    <row r="58" spans="1:3">
      <c r="A58" t="s">
        <v>66</v>
      </c>
      <c r="B58">
        <f t="shared" si="1"/>
        <v>0</v>
      </c>
    </row>
    <row r="59" spans="1:3">
      <c r="A59" t="s">
        <v>67</v>
      </c>
      <c r="B59">
        <f t="shared" si="1"/>
        <v>0</v>
      </c>
    </row>
    <row r="60" spans="1:3">
      <c r="A60" t="s">
        <v>68</v>
      </c>
      <c r="B60">
        <f t="shared" si="1"/>
        <v>0</v>
      </c>
    </row>
    <row r="61" spans="1:3">
      <c r="A61" t="s">
        <v>69</v>
      </c>
      <c r="B61">
        <f t="shared" si="1"/>
        <v>0</v>
      </c>
    </row>
    <row r="62" spans="1:3">
      <c r="A62" t="s">
        <v>70</v>
      </c>
      <c r="B62">
        <f t="shared" si="1"/>
        <v>0</v>
      </c>
    </row>
    <row r="63" spans="1:3">
      <c r="A63" t="s">
        <v>71</v>
      </c>
      <c r="B63">
        <f t="shared" si="1"/>
        <v>0</v>
      </c>
    </row>
    <row r="64" spans="1:3">
      <c r="A64" t="s">
        <v>72</v>
      </c>
      <c r="B64">
        <f t="shared" si="1"/>
        <v>0</v>
      </c>
    </row>
    <row r="65" spans="1:2">
      <c r="A65" t="s">
        <v>73</v>
      </c>
      <c r="B65">
        <f t="shared" si="1"/>
        <v>0</v>
      </c>
    </row>
    <row r="66" spans="1:2">
      <c r="A66" t="s">
        <v>74</v>
      </c>
      <c r="B66">
        <f t="shared" si="1"/>
        <v>0</v>
      </c>
    </row>
    <row r="67" spans="1:2">
      <c r="A67" t="s">
        <v>75</v>
      </c>
      <c r="B67">
        <f t="shared" ref="B67:B68" si="2">SUM(C67:DQ67)</f>
        <v>0</v>
      </c>
    </row>
    <row r="68" spans="1:2">
      <c r="A68" t="s">
        <v>76</v>
      </c>
      <c r="B68">
        <f t="shared" si="2"/>
        <v>0</v>
      </c>
    </row>
    <row r="69" spans="1:2">
      <c r="A69" t="s">
        <v>77</v>
      </c>
      <c r="B69">
        <f t="shared" ref="B69:B103" si="3">SUM(C69:DQ69)</f>
        <v>0</v>
      </c>
    </row>
    <row r="70" spans="1:2">
      <c r="A70" t="s">
        <v>78</v>
      </c>
      <c r="B70">
        <f t="shared" si="3"/>
        <v>0</v>
      </c>
    </row>
    <row r="71" spans="1:2">
      <c r="A71" t="s">
        <v>79</v>
      </c>
      <c r="B71">
        <f t="shared" si="3"/>
        <v>0</v>
      </c>
    </row>
    <row r="72" spans="1:2">
      <c r="A72" t="s">
        <v>80</v>
      </c>
      <c r="B72">
        <f t="shared" si="3"/>
        <v>0</v>
      </c>
    </row>
    <row r="73" spans="1:2">
      <c r="A73" t="s">
        <v>81</v>
      </c>
      <c r="B73">
        <f t="shared" si="3"/>
        <v>0</v>
      </c>
    </row>
    <row r="74" spans="1:2">
      <c r="A74" t="s">
        <v>82</v>
      </c>
      <c r="B74">
        <f t="shared" si="3"/>
        <v>0</v>
      </c>
    </row>
    <row r="75" spans="1:2">
      <c r="A75" t="s">
        <v>83</v>
      </c>
      <c r="B75">
        <f t="shared" si="3"/>
        <v>0</v>
      </c>
    </row>
    <row r="76" spans="1:2">
      <c r="A76" t="s">
        <v>84</v>
      </c>
      <c r="B76">
        <f t="shared" si="3"/>
        <v>0</v>
      </c>
    </row>
    <row r="77" spans="1:2">
      <c r="A77" t="s">
        <v>85</v>
      </c>
      <c r="B77">
        <f t="shared" si="3"/>
        <v>0</v>
      </c>
    </row>
    <row r="78" spans="1:2">
      <c r="A78" t="s">
        <v>96</v>
      </c>
      <c r="B78">
        <f t="shared" si="3"/>
        <v>0</v>
      </c>
    </row>
    <row r="79" spans="1:2">
      <c r="A79" t="s">
        <v>88</v>
      </c>
      <c r="B79">
        <f t="shared" si="3"/>
        <v>0</v>
      </c>
    </row>
    <row r="80" spans="1:2">
      <c r="A80" t="s">
        <v>97</v>
      </c>
      <c r="B80">
        <f t="shared" si="3"/>
        <v>0</v>
      </c>
    </row>
    <row r="81" spans="1:2">
      <c r="A81" t="s">
        <v>98</v>
      </c>
      <c r="B81">
        <f t="shared" si="3"/>
        <v>0</v>
      </c>
    </row>
    <row r="82" spans="1:2">
      <c r="A82" t="s">
        <v>99</v>
      </c>
      <c r="B82">
        <f t="shared" si="3"/>
        <v>0</v>
      </c>
    </row>
    <row r="83" spans="1:2">
      <c r="A83" t="s">
        <v>100</v>
      </c>
      <c r="B83">
        <f t="shared" si="3"/>
        <v>0</v>
      </c>
    </row>
    <row r="84" spans="1:2">
      <c r="A84" t="s">
        <v>105</v>
      </c>
      <c r="B84">
        <f t="shared" si="3"/>
        <v>0</v>
      </c>
    </row>
    <row r="85" spans="1:2">
      <c r="A85" t="s">
        <v>106</v>
      </c>
      <c r="B85">
        <f t="shared" si="3"/>
        <v>0</v>
      </c>
    </row>
    <row r="86" spans="1:2">
      <c r="A86" t="s">
        <v>107</v>
      </c>
      <c r="B86">
        <f t="shared" si="3"/>
        <v>0</v>
      </c>
    </row>
    <row r="87" spans="1:2">
      <c r="A87" t="s">
        <v>109</v>
      </c>
      <c r="B87">
        <f t="shared" si="3"/>
        <v>0</v>
      </c>
    </row>
    <row r="88" spans="1:2">
      <c r="A88" t="s">
        <v>110</v>
      </c>
      <c r="B88">
        <f t="shared" si="3"/>
        <v>0</v>
      </c>
    </row>
    <row r="89" spans="1:2">
      <c r="A89" t="s">
        <v>111</v>
      </c>
      <c r="B89">
        <f t="shared" si="3"/>
        <v>0</v>
      </c>
    </row>
    <row r="90" spans="1:2">
      <c r="A90" t="s">
        <v>112</v>
      </c>
      <c r="B90">
        <f t="shared" si="3"/>
        <v>0</v>
      </c>
    </row>
    <row r="91" spans="1:2">
      <c r="A91" t="s">
        <v>113</v>
      </c>
      <c r="B91">
        <f t="shared" si="3"/>
        <v>0</v>
      </c>
    </row>
    <row r="92" spans="1:2">
      <c r="A92" t="s">
        <v>114</v>
      </c>
      <c r="B92">
        <f t="shared" si="3"/>
        <v>0</v>
      </c>
    </row>
    <row r="93" spans="1:2">
      <c r="A93" t="s">
        <v>116</v>
      </c>
      <c r="B93">
        <f t="shared" si="3"/>
        <v>0</v>
      </c>
    </row>
    <row r="94" spans="1:2">
      <c r="A94" t="s">
        <v>117</v>
      </c>
      <c r="B94">
        <f t="shared" si="3"/>
        <v>0</v>
      </c>
    </row>
    <row r="95" spans="1:2">
      <c r="A95" t="s">
        <v>121</v>
      </c>
      <c r="B95">
        <f t="shared" si="3"/>
        <v>0</v>
      </c>
    </row>
    <row r="96" spans="1:2">
      <c r="A96" t="s">
        <v>89</v>
      </c>
      <c r="B96">
        <f t="shared" si="3"/>
        <v>0</v>
      </c>
    </row>
    <row r="97" spans="1:2">
      <c r="A97" t="s">
        <v>122</v>
      </c>
      <c r="B97">
        <f t="shared" si="3"/>
        <v>0</v>
      </c>
    </row>
    <row r="98" spans="1:2">
      <c r="A98" t="s">
        <v>123</v>
      </c>
      <c r="B98">
        <f t="shared" si="3"/>
        <v>0</v>
      </c>
    </row>
    <row r="99" spans="1:2">
      <c r="A99" t="s">
        <v>87</v>
      </c>
      <c r="B99">
        <f t="shared" si="3"/>
        <v>0</v>
      </c>
    </row>
    <row r="100" spans="1:2">
      <c r="A100" t="s">
        <v>126</v>
      </c>
      <c r="B100">
        <f t="shared" si="3"/>
        <v>0</v>
      </c>
    </row>
    <row r="101" spans="1:2">
      <c r="A101" t="s">
        <v>127</v>
      </c>
      <c r="B101">
        <f t="shared" si="3"/>
        <v>0</v>
      </c>
    </row>
    <row r="102" spans="1:2">
      <c r="A102" t="s">
        <v>131</v>
      </c>
      <c r="B102">
        <f t="shared" si="3"/>
        <v>0</v>
      </c>
    </row>
    <row r="103" spans="1:2">
      <c r="A103" t="s">
        <v>134</v>
      </c>
      <c r="B103">
        <f t="shared" si="3"/>
        <v>0</v>
      </c>
    </row>
    <row r="105" spans="1:2">
      <c r="B105">
        <f>SUM(B3:B104)</f>
        <v>10292</v>
      </c>
    </row>
    <row r="107" spans="1:2">
      <c r="B107">
        <f>10292-B105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M107"/>
  <sheetViews>
    <sheetView workbookViewId="0">
      <pane xSplit="2" ySplit="2" topLeftCell="C81" activePane="bottomRight" state="frozen"/>
      <selection activeCell="C103" sqref="C103"/>
      <selection pane="topRight" activeCell="C103" sqref="C103"/>
      <selection pane="bottomLeft" activeCell="C103" sqref="C103"/>
      <selection pane="bottomRight" activeCell="B108" sqref="B108"/>
    </sheetView>
  </sheetViews>
  <sheetFormatPr defaultRowHeight="15"/>
  <sheetData>
    <row r="3" spans="1:17">
      <c r="A3" t="s">
        <v>3</v>
      </c>
      <c r="B3">
        <f>SUM(C3:CS3)</f>
        <v>0</v>
      </c>
    </row>
    <row r="4" spans="1:17">
      <c r="A4" t="s">
        <v>4</v>
      </c>
      <c r="B4">
        <f t="shared" ref="B4:B67" si="0">SUM(C4:CS4)</f>
        <v>0</v>
      </c>
    </row>
    <row r="5" spans="1:17">
      <c r="A5" t="s">
        <v>5</v>
      </c>
      <c r="B5">
        <f t="shared" si="0"/>
        <v>0</v>
      </c>
    </row>
    <row r="6" spans="1:17">
      <c r="A6" t="s">
        <v>6</v>
      </c>
      <c r="B6">
        <f t="shared" si="0"/>
        <v>1338</v>
      </c>
      <c r="C6">
        <v>192</v>
      </c>
      <c r="D6">
        <v>140</v>
      </c>
      <c r="E6">
        <v>108</v>
      </c>
      <c r="F6">
        <v>492</v>
      </c>
      <c r="G6">
        <v>406</v>
      </c>
    </row>
    <row r="7" spans="1:17">
      <c r="A7" t="s">
        <v>7</v>
      </c>
      <c r="B7">
        <f t="shared" si="0"/>
        <v>0</v>
      </c>
    </row>
    <row r="8" spans="1:17">
      <c r="A8" t="s">
        <v>8</v>
      </c>
      <c r="B8">
        <f t="shared" si="0"/>
        <v>0</v>
      </c>
    </row>
    <row r="9" spans="1:17">
      <c r="A9" t="s">
        <v>9</v>
      </c>
      <c r="B9">
        <f t="shared" si="0"/>
        <v>0</v>
      </c>
    </row>
    <row r="10" spans="1:17">
      <c r="A10" t="s">
        <v>10</v>
      </c>
      <c r="B10">
        <f t="shared" si="0"/>
        <v>9242</v>
      </c>
      <c r="C10">
        <v>20</v>
      </c>
      <c r="D10">
        <v>1</v>
      </c>
      <c r="E10">
        <v>966</v>
      </c>
      <c r="F10">
        <v>3153</v>
      </c>
      <c r="G10">
        <v>737</v>
      </c>
      <c r="H10">
        <v>12</v>
      </c>
      <c r="I10">
        <v>22</v>
      </c>
      <c r="J10">
        <v>45</v>
      </c>
      <c r="K10">
        <v>98</v>
      </c>
      <c r="L10">
        <v>400</v>
      </c>
      <c r="M10">
        <v>12</v>
      </c>
      <c r="N10">
        <v>638</v>
      </c>
      <c r="O10">
        <v>3138</v>
      </c>
    </row>
    <row r="11" spans="1:17">
      <c r="A11" t="s">
        <v>11</v>
      </c>
      <c r="B11">
        <f t="shared" si="0"/>
        <v>1525</v>
      </c>
      <c r="C11">
        <v>1462</v>
      </c>
      <c r="D11">
        <v>3</v>
      </c>
      <c r="E11">
        <v>60</v>
      </c>
    </row>
    <row r="12" spans="1:17">
      <c r="A12" t="s">
        <v>12</v>
      </c>
      <c r="B12">
        <f t="shared" si="0"/>
        <v>3274</v>
      </c>
      <c r="C12">
        <v>2459</v>
      </c>
      <c r="D12">
        <v>815</v>
      </c>
    </row>
    <row r="13" spans="1:17">
      <c r="A13" t="s">
        <v>13</v>
      </c>
      <c r="B13">
        <f t="shared" si="0"/>
        <v>7150</v>
      </c>
      <c r="C13">
        <v>600</v>
      </c>
      <c r="D13">
        <v>208</v>
      </c>
      <c r="E13">
        <v>18</v>
      </c>
      <c r="F13">
        <v>511</v>
      </c>
      <c r="G13">
        <v>1061</v>
      </c>
      <c r="H13">
        <v>3538</v>
      </c>
      <c r="I13">
        <v>62</v>
      </c>
      <c r="J13">
        <v>15</v>
      </c>
      <c r="K13">
        <v>87</v>
      </c>
      <c r="L13">
        <v>78</v>
      </c>
      <c r="M13">
        <v>228</v>
      </c>
      <c r="N13">
        <v>133</v>
      </c>
      <c r="O13">
        <v>185</v>
      </c>
      <c r="P13">
        <v>315</v>
      </c>
      <c r="Q13">
        <v>111</v>
      </c>
    </row>
    <row r="14" spans="1:17">
      <c r="A14" t="s">
        <v>14</v>
      </c>
      <c r="B14">
        <f t="shared" si="0"/>
        <v>0</v>
      </c>
    </row>
    <row r="15" spans="1:17">
      <c r="A15" t="s">
        <v>15</v>
      </c>
      <c r="B15">
        <f t="shared" si="0"/>
        <v>177</v>
      </c>
      <c r="C15">
        <v>33</v>
      </c>
      <c r="D15">
        <v>144</v>
      </c>
    </row>
    <row r="16" spans="1:17">
      <c r="A16" t="s">
        <v>16</v>
      </c>
      <c r="B16">
        <f t="shared" si="0"/>
        <v>0</v>
      </c>
    </row>
    <row r="17" spans="1:39">
      <c r="A17" t="s">
        <v>17</v>
      </c>
      <c r="B17">
        <f t="shared" si="0"/>
        <v>22153</v>
      </c>
      <c r="C17">
        <v>65</v>
      </c>
      <c r="D17">
        <v>151</v>
      </c>
      <c r="E17">
        <v>36</v>
      </c>
      <c r="F17">
        <v>1761</v>
      </c>
      <c r="G17">
        <v>2475</v>
      </c>
      <c r="H17">
        <v>2265</v>
      </c>
      <c r="I17">
        <v>308</v>
      </c>
      <c r="J17">
        <v>5</v>
      </c>
      <c r="K17">
        <v>339</v>
      </c>
      <c r="L17">
        <v>126</v>
      </c>
      <c r="M17">
        <v>3956</v>
      </c>
      <c r="N17">
        <v>27</v>
      </c>
      <c r="O17">
        <v>138</v>
      </c>
      <c r="P17">
        <v>41</v>
      </c>
      <c r="Q17">
        <v>31</v>
      </c>
      <c r="R17">
        <v>2798</v>
      </c>
      <c r="S17">
        <v>27</v>
      </c>
      <c r="T17">
        <v>298</v>
      </c>
      <c r="U17">
        <v>180</v>
      </c>
      <c r="V17">
        <v>28</v>
      </c>
      <c r="W17">
        <v>18</v>
      </c>
      <c r="X17">
        <v>72</v>
      </c>
      <c r="Y17">
        <v>178</v>
      </c>
      <c r="Z17">
        <v>14</v>
      </c>
      <c r="AA17">
        <v>9</v>
      </c>
      <c r="AB17">
        <v>104</v>
      </c>
      <c r="AC17">
        <v>429</v>
      </c>
      <c r="AD17">
        <v>97</v>
      </c>
      <c r="AE17">
        <v>21</v>
      </c>
      <c r="AF17">
        <v>84</v>
      </c>
      <c r="AG17">
        <v>93</v>
      </c>
      <c r="AH17">
        <v>3535</v>
      </c>
      <c r="AI17">
        <v>1</v>
      </c>
      <c r="AJ17">
        <v>222</v>
      </c>
      <c r="AK17">
        <v>1573</v>
      </c>
      <c r="AL17">
        <v>606</v>
      </c>
      <c r="AM17">
        <v>42</v>
      </c>
    </row>
    <row r="18" spans="1:39">
      <c r="A18" t="s">
        <v>18</v>
      </c>
      <c r="B18">
        <f t="shared" si="0"/>
        <v>2975</v>
      </c>
      <c r="C18">
        <v>106</v>
      </c>
      <c r="D18">
        <v>465</v>
      </c>
      <c r="E18">
        <v>2404</v>
      </c>
    </row>
    <row r="19" spans="1:39">
      <c r="A19" t="s">
        <v>19</v>
      </c>
      <c r="B19">
        <f t="shared" si="0"/>
        <v>0</v>
      </c>
    </row>
    <row r="20" spans="1:39">
      <c r="A20" t="s">
        <v>20</v>
      </c>
      <c r="B20">
        <f t="shared" si="0"/>
        <v>0</v>
      </c>
    </row>
    <row r="21" spans="1:39">
      <c r="A21" t="s">
        <v>21</v>
      </c>
      <c r="B21">
        <f t="shared" si="0"/>
        <v>5011</v>
      </c>
      <c r="C21">
        <v>74</v>
      </c>
      <c r="D21">
        <v>316</v>
      </c>
      <c r="E21">
        <v>9</v>
      </c>
      <c r="F21">
        <v>54</v>
      </c>
      <c r="G21">
        <v>429</v>
      </c>
      <c r="H21">
        <v>6</v>
      </c>
      <c r="I21">
        <v>925</v>
      </c>
      <c r="J21">
        <v>100</v>
      </c>
      <c r="K21">
        <v>1</v>
      </c>
      <c r="L21">
        <v>7</v>
      </c>
      <c r="M21">
        <v>3090</v>
      </c>
    </row>
    <row r="22" spans="1:39">
      <c r="A22" t="s">
        <v>22</v>
      </c>
      <c r="B22">
        <f t="shared" si="0"/>
        <v>0</v>
      </c>
    </row>
    <row r="23" spans="1:39">
      <c r="A23" t="s">
        <v>23</v>
      </c>
      <c r="B23">
        <f t="shared" si="0"/>
        <v>0</v>
      </c>
    </row>
    <row r="24" spans="1:39">
      <c r="A24" t="s">
        <v>24</v>
      </c>
      <c r="B24">
        <f t="shared" si="0"/>
        <v>0</v>
      </c>
    </row>
    <row r="25" spans="1:39">
      <c r="A25" t="s">
        <v>25</v>
      </c>
      <c r="B25">
        <f t="shared" si="0"/>
        <v>217</v>
      </c>
      <c r="C25">
        <v>217</v>
      </c>
    </row>
    <row r="26" spans="1:39">
      <c r="A26" t="s">
        <v>26</v>
      </c>
      <c r="B26">
        <f t="shared" si="0"/>
        <v>0</v>
      </c>
    </row>
    <row r="27" spans="1:39">
      <c r="A27" t="s">
        <v>27</v>
      </c>
      <c r="B27">
        <f t="shared" si="0"/>
        <v>14622</v>
      </c>
      <c r="C27">
        <v>56</v>
      </c>
      <c r="D27">
        <v>430</v>
      </c>
      <c r="E27">
        <v>5</v>
      </c>
      <c r="F27">
        <v>3</v>
      </c>
      <c r="G27">
        <v>13866</v>
      </c>
      <c r="H27">
        <v>40</v>
      </c>
      <c r="I27">
        <v>68</v>
      </c>
      <c r="J27">
        <v>154</v>
      </c>
    </row>
    <row r="28" spans="1:39">
      <c r="A28" t="s">
        <v>28</v>
      </c>
      <c r="B28">
        <f t="shared" si="0"/>
        <v>0</v>
      </c>
    </row>
    <row r="29" spans="1:39">
      <c r="A29" t="s">
        <v>29</v>
      </c>
      <c r="B29">
        <f t="shared" si="0"/>
        <v>0</v>
      </c>
    </row>
    <row r="30" spans="1:39">
      <c r="A30" t="s">
        <v>30</v>
      </c>
      <c r="B30">
        <f t="shared" si="0"/>
        <v>0</v>
      </c>
    </row>
    <row r="31" spans="1:39">
      <c r="A31" t="s">
        <v>31</v>
      </c>
      <c r="B31">
        <f t="shared" si="0"/>
        <v>0</v>
      </c>
    </row>
    <row r="32" spans="1:39">
      <c r="A32" t="s">
        <v>32</v>
      </c>
      <c r="B32">
        <f t="shared" si="0"/>
        <v>1028</v>
      </c>
      <c r="C32">
        <v>111</v>
      </c>
      <c r="D32">
        <v>790</v>
      </c>
      <c r="E32">
        <v>127</v>
      </c>
    </row>
    <row r="33" spans="1:13">
      <c r="A33" t="s">
        <v>33</v>
      </c>
      <c r="B33">
        <f t="shared" si="0"/>
        <v>0</v>
      </c>
    </row>
    <row r="34" spans="1:13">
      <c r="A34" t="s">
        <v>34</v>
      </c>
      <c r="B34">
        <f t="shared" si="0"/>
        <v>0</v>
      </c>
    </row>
    <row r="35" spans="1:13">
      <c r="A35" t="s">
        <v>35</v>
      </c>
      <c r="B35">
        <f t="shared" si="0"/>
        <v>1500</v>
      </c>
      <c r="C35">
        <v>83</v>
      </c>
      <c r="D35">
        <v>50</v>
      </c>
      <c r="E35">
        <v>298</v>
      </c>
      <c r="F35">
        <v>20</v>
      </c>
      <c r="G35">
        <v>70</v>
      </c>
      <c r="H35">
        <v>693</v>
      </c>
      <c r="I35">
        <v>286</v>
      </c>
    </row>
    <row r="36" spans="1:13">
      <c r="A36" t="s">
        <v>36</v>
      </c>
      <c r="B36">
        <f t="shared" si="0"/>
        <v>0</v>
      </c>
    </row>
    <row r="37" spans="1:13">
      <c r="A37" t="s">
        <v>37</v>
      </c>
      <c r="B37">
        <f t="shared" si="0"/>
        <v>508</v>
      </c>
      <c r="C37">
        <v>508</v>
      </c>
    </row>
    <row r="38" spans="1:13">
      <c r="A38" t="s">
        <v>91</v>
      </c>
      <c r="B38">
        <f t="shared" si="0"/>
        <v>0</v>
      </c>
    </row>
    <row r="39" spans="1:13">
      <c r="A39" t="s">
        <v>38</v>
      </c>
      <c r="B39">
        <f t="shared" si="0"/>
        <v>0</v>
      </c>
    </row>
    <row r="40" spans="1:13">
      <c r="A40" t="s">
        <v>39</v>
      </c>
      <c r="B40">
        <f t="shared" si="0"/>
        <v>0</v>
      </c>
    </row>
    <row r="41" spans="1:13">
      <c r="A41" t="s">
        <v>40</v>
      </c>
      <c r="B41">
        <f t="shared" si="0"/>
        <v>0</v>
      </c>
    </row>
    <row r="42" spans="1:13">
      <c r="A42" t="s">
        <v>41</v>
      </c>
      <c r="B42">
        <f t="shared" si="0"/>
        <v>0</v>
      </c>
    </row>
    <row r="43" spans="1:13">
      <c r="A43" t="s">
        <v>42</v>
      </c>
      <c r="B43">
        <f t="shared" si="0"/>
        <v>0</v>
      </c>
    </row>
    <row r="44" spans="1:13">
      <c r="A44" t="s">
        <v>43</v>
      </c>
      <c r="B44">
        <f t="shared" si="0"/>
        <v>0</v>
      </c>
    </row>
    <row r="45" spans="1:13">
      <c r="A45" t="s">
        <v>44</v>
      </c>
      <c r="B45">
        <f t="shared" si="0"/>
        <v>9186</v>
      </c>
      <c r="C45">
        <v>145</v>
      </c>
      <c r="D45">
        <v>347</v>
      </c>
      <c r="E45">
        <v>1632</v>
      </c>
      <c r="F45">
        <v>170</v>
      </c>
      <c r="G45">
        <v>4141</v>
      </c>
      <c r="H45">
        <v>696</v>
      </c>
      <c r="I45">
        <v>519</v>
      </c>
      <c r="J45">
        <v>132</v>
      </c>
      <c r="K45">
        <v>661</v>
      </c>
      <c r="L45">
        <v>502</v>
      </c>
      <c r="M45">
        <v>241</v>
      </c>
    </row>
    <row r="46" spans="1:13">
      <c r="A46" t="s">
        <v>45</v>
      </c>
      <c r="B46">
        <f t="shared" si="0"/>
        <v>6957</v>
      </c>
      <c r="C46">
        <v>6451</v>
      </c>
      <c r="D46">
        <v>141</v>
      </c>
      <c r="E46">
        <v>98</v>
      </c>
      <c r="F46">
        <v>267</v>
      </c>
    </row>
    <row r="47" spans="1:13">
      <c r="A47" t="s">
        <v>46</v>
      </c>
      <c r="B47">
        <f t="shared" si="0"/>
        <v>742</v>
      </c>
      <c r="C47">
        <v>742</v>
      </c>
    </row>
    <row r="48" spans="1:13">
      <c r="A48" t="s">
        <v>53</v>
      </c>
      <c r="B48">
        <f t="shared" si="0"/>
        <v>0</v>
      </c>
    </row>
    <row r="49" spans="1:20">
      <c r="A49" t="s">
        <v>90</v>
      </c>
      <c r="B49">
        <f t="shared" si="0"/>
        <v>0</v>
      </c>
    </row>
    <row r="50" spans="1:20">
      <c r="A50" t="s">
        <v>54</v>
      </c>
      <c r="B50">
        <f t="shared" si="0"/>
        <v>0</v>
      </c>
    </row>
    <row r="51" spans="1:20">
      <c r="A51" t="s">
        <v>55</v>
      </c>
      <c r="B51">
        <f t="shared" si="0"/>
        <v>0</v>
      </c>
    </row>
    <row r="52" spans="1:20">
      <c r="A52" t="s">
        <v>56</v>
      </c>
      <c r="B52">
        <f t="shared" si="0"/>
        <v>0</v>
      </c>
    </row>
    <row r="53" spans="1:20">
      <c r="A53" t="s">
        <v>57</v>
      </c>
      <c r="B53">
        <f t="shared" si="0"/>
        <v>0</v>
      </c>
    </row>
    <row r="54" spans="1:20">
      <c r="A54" t="s">
        <v>58</v>
      </c>
      <c r="B54">
        <f t="shared" si="0"/>
        <v>0</v>
      </c>
    </row>
    <row r="55" spans="1:20">
      <c r="A55" t="s">
        <v>63</v>
      </c>
      <c r="B55">
        <f t="shared" si="0"/>
        <v>0</v>
      </c>
    </row>
    <row r="56" spans="1:20">
      <c r="A56" t="s">
        <v>64</v>
      </c>
      <c r="B56">
        <f t="shared" si="0"/>
        <v>0</v>
      </c>
    </row>
    <row r="57" spans="1:20">
      <c r="A57" t="s">
        <v>65</v>
      </c>
      <c r="B57">
        <f t="shared" si="0"/>
        <v>2</v>
      </c>
      <c r="C57">
        <v>2</v>
      </c>
    </row>
    <row r="58" spans="1:20">
      <c r="A58" t="s">
        <v>66</v>
      </c>
      <c r="B58">
        <f t="shared" si="0"/>
        <v>0</v>
      </c>
    </row>
    <row r="59" spans="1:20">
      <c r="A59" t="s">
        <v>67</v>
      </c>
      <c r="B59">
        <f t="shared" si="0"/>
        <v>0</v>
      </c>
    </row>
    <row r="60" spans="1:20">
      <c r="A60" t="s">
        <v>68</v>
      </c>
      <c r="B60">
        <f t="shared" si="0"/>
        <v>0</v>
      </c>
    </row>
    <row r="61" spans="1:20">
      <c r="A61" t="s">
        <v>69</v>
      </c>
      <c r="B61">
        <f t="shared" si="0"/>
        <v>0</v>
      </c>
    </row>
    <row r="62" spans="1:20">
      <c r="A62" t="s">
        <v>70</v>
      </c>
      <c r="B62">
        <f t="shared" si="0"/>
        <v>522</v>
      </c>
      <c r="C62">
        <v>522</v>
      </c>
    </row>
    <row r="63" spans="1:20">
      <c r="A63" t="s">
        <v>71</v>
      </c>
      <c r="B63">
        <f>SUM(C63:CT63)</f>
        <v>102853</v>
      </c>
      <c r="C63">
        <v>125</v>
      </c>
      <c r="D63">
        <v>53</v>
      </c>
      <c r="E63">
        <v>309</v>
      </c>
      <c r="F63">
        <v>8341</v>
      </c>
      <c r="G63">
        <v>49850</v>
      </c>
      <c r="H63">
        <v>827</v>
      </c>
      <c r="I63">
        <v>639</v>
      </c>
      <c r="J63">
        <v>16655</v>
      </c>
      <c r="K63">
        <v>20979</v>
      </c>
      <c r="L63">
        <v>681</v>
      </c>
      <c r="M63">
        <v>215</v>
      </c>
      <c r="N63">
        <v>19</v>
      </c>
      <c r="O63">
        <v>227</v>
      </c>
      <c r="P63">
        <v>30</v>
      </c>
      <c r="Q63">
        <v>356</v>
      </c>
      <c r="R63">
        <v>3474</v>
      </c>
      <c r="S63">
        <v>55</v>
      </c>
      <c r="T63">
        <v>18</v>
      </c>
    </row>
    <row r="64" spans="1:20">
      <c r="A64" t="s">
        <v>72</v>
      </c>
      <c r="B64">
        <f t="shared" si="0"/>
        <v>484</v>
      </c>
      <c r="C64">
        <v>37</v>
      </c>
      <c r="D64">
        <v>440</v>
      </c>
      <c r="E64">
        <v>7</v>
      </c>
    </row>
    <row r="65" spans="1:3">
      <c r="A65" t="s">
        <v>73</v>
      </c>
      <c r="B65">
        <f t="shared" si="0"/>
        <v>0</v>
      </c>
    </row>
    <row r="66" spans="1:3">
      <c r="A66" t="s">
        <v>74</v>
      </c>
      <c r="B66">
        <f t="shared" si="0"/>
        <v>0</v>
      </c>
    </row>
    <row r="67" spans="1:3">
      <c r="A67" t="s">
        <v>75</v>
      </c>
      <c r="B67">
        <f t="shared" si="0"/>
        <v>0</v>
      </c>
    </row>
    <row r="68" spans="1:3">
      <c r="A68" t="s">
        <v>76</v>
      </c>
      <c r="B68">
        <f t="shared" ref="B68:B103" si="1">SUM(C68:CS68)</f>
        <v>0</v>
      </c>
    </row>
    <row r="69" spans="1:3">
      <c r="A69" t="s">
        <v>77</v>
      </c>
      <c r="B69">
        <f t="shared" si="1"/>
        <v>0</v>
      </c>
    </row>
    <row r="70" spans="1:3">
      <c r="A70" t="s">
        <v>78</v>
      </c>
      <c r="B70">
        <f t="shared" si="1"/>
        <v>0</v>
      </c>
    </row>
    <row r="71" spans="1:3">
      <c r="A71" t="s">
        <v>79</v>
      </c>
      <c r="B71">
        <f t="shared" si="1"/>
        <v>0</v>
      </c>
    </row>
    <row r="72" spans="1:3">
      <c r="A72" t="s">
        <v>80</v>
      </c>
      <c r="B72">
        <f t="shared" si="1"/>
        <v>0</v>
      </c>
    </row>
    <row r="73" spans="1:3">
      <c r="A73" t="s">
        <v>81</v>
      </c>
      <c r="B73">
        <f t="shared" si="1"/>
        <v>175</v>
      </c>
      <c r="C73">
        <v>175</v>
      </c>
    </row>
    <row r="74" spans="1:3">
      <c r="A74" t="s">
        <v>82</v>
      </c>
      <c r="B74">
        <f t="shared" si="1"/>
        <v>0</v>
      </c>
    </row>
    <row r="75" spans="1:3">
      <c r="A75" t="s">
        <v>83</v>
      </c>
      <c r="B75">
        <f t="shared" si="1"/>
        <v>0</v>
      </c>
    </row>
    <row r="76" spans="1:3">
      <c r="A76" t="s">
        <v>84</v>
      </c>
      <c r="B76">
        <f t="shared" si="1"/>
        <v>0</v>
      </c>
    </row>
    <row r="77" spans="1:3">
      <c r="A77" t="s">
        <v>85</v>
      </c>
      <c r="B77">
        <f t="shared" si="1"/>
        <v>0</v>
      </c>
    </row>
    <row r="78" spans="1:3">
      <c r="A78" t="s">
        <v>96</v>
      </c>
      <c r="B78">
        <f t="shared" si="1"/>
        <v>0</v>
      </c>
    </row>
    <row r="79" spans="1:3">
      <c r="A79" t="s">
        <v>88</v>
      </c>
      <c r="B79">
        <f t="shared" si="1"/>
        <v>0</v>
      </c>
    </row>
    <row r="80" spans="1:3">
      <c r="A80" t="s">
        <v>97</v>
      </c>
      <c r="B80">
        <f t="shared" si="1"/>
        <v>0</v>
      </c>
    </row>
    <row r="81" spans="1:3">
      <c r="A81" t="s">
        <v>98</v>
      </c>
      <c r="B81">
        <f t="shared" si="1"/>
        <v>0</v>
      </c>
    </row>
    <row r="82" spans="1:3">
      <c r="A82" t="s">
        <v>99</v>
      </c>
      <c r="B82">
        <f t="shared" si="1"/>
        <v>0</v>
      </c>
    </row>
    <row r="83" spans="1:3">
      <c r="A83" t="s">
        <v>100</v>
      </c>
      <c r="B83">
        <f t="shared" si="1"/>
        <v>0</v>
      </c>
    </row>
    <row r="84" spans="1:3">
      <c r="A84" t="s">
        <v>105</v>
      </c>
      <c r="B84">
        <f t="shared" si="1"/>
        <v>0</v>
      </c>
    </row>
    <row r="85" spans="1:3">
      <c r="A85" t="s">
        <v>106</v>
      </c>
      <c r="B85">
        <f t="shared" si="1"/>
        <v>0</v>
      </c>
    </row>
    <row r="86" spans="1:3">
      <c r="A86" t="s">
        <v>107</v>
      </c>
      <c r="B86">
        <f t="shared" si="1"/>
        <v>0</v>
      </c>
    </row>
    <row r="87" spans="1:3">
      <c r="A87" t="s">
        <v>109</v>
      </c>
      <c r="B87">
        <f t="shared" si="1"/>
        <v>0</v>
      </c>
    </row>
    <row r="88" spans="1:3">
      <c r="A88" t="s">
        <v>110</v>
      </c>
      <c r="B88">
        <f t="shared" si="1"/>
        <v>0</v>
      </c>
    </row>
    <row r="89" spans="1:3">
      <c r="A89" t="s">
        <v>111</v>
      </c>
      <c r="B89">
        <f t="shared" si="1"/>
        <v>0</v>
      </c>
    </row>
    <row r="90" spans="1:3">
      <c r="A90" t="s">
        <v>112</v>
      </c>
      <c r="B90">
        <f t="shared" si="1"/>
        <v>0</v>
      </c>
    </row>
    <row r="91" spans="1:3">
      <c r="A91" t="s">
        <v>113</v>
      </c>
      <c r="B91">
        <f t="shared" si="1"/>
        <v>0</v>
      </c>
    </row>
    <row r="92" spans="1:3">
      <c r="A92" t="s">
        <v>114</v>
      </c>
      <c r="B92">
        <f t="shared" si="1"/>
        <v>0</v>
      </c>
    </row>
    <row r="93" spans="1:3">
      <c r="A93" t="s">
        <v>116</v>
      </c>
      <c r="B93">
        <f t="shared" si="1"/>
        <v>0</v>
      </c>
    </row>
    <row r="94" spans="1:3">
      <c r="A94" t="s">
        <v>117</v>
      </c>
      <c r="B94">
        <f t="shared" si="1"/>
        <v>260</v>
      </c>
      <c r="C94">
        <v>260</v>
      </c>
    </row>
    <row r="95" spans="1:3">
      <c r="A95" t="s">
        <v>121</v>
      </c>
      <c r="B95">
        <f t="shared" si="1"/>
        <v>0</v>
      </c>
    </row>
    <row r="96" spans="1:3">
      <c r="A96" t="s">
        <v>89</v>
      </c>
      <c r="B96">
        <f t="shared" si="1"/>
        <v>0</v>
      </c>
    </row>
    <row r="97" spans="1:8">
      <c r="A97" t="s">
        <v>122</v>
      </c>
      <c r="B97">
        <f t="shared" si="1"/>
        <v>0</v>
      </c>
    </row>
    <row r="98" spans="1:8">
      <c r="A98" t="s">
        <v>123</v>
      </c>
      <c r="B98">
        <f t="shared" si="1"/>
        <v>0</v>
      </c>
    </row>
    <row r="99" spans="1:8">
      <c r="A99" t="s">
        <v>87</v>
      </c>
      <c r="B99">
        <f t="shared" si="1"/>
        <v>0</v>
      </c>
    </row>
    <row r="100" spans="1:8">
      <c r="A100" t="s">
        <v>126</v>
      </c>
      <c r="B100">
        <f t="shared" si="1"/>
        <v>0</v>
      </c>
    </row>
    <row r="101" spans="1:8">
      <c r="A101" t="s">
        <v>127</v>
      </c>
      <c r="B101">
        <f t="shared" si="1"/>
        <v>0</v>
      </c>
    </row>
    <row r="102" spans="1:8">
      <c r="A102" t="s">
        <v>131</v>
      </c>
      <c r="B102">
        <f t="shared" si="1"/>
        <v>0</v>
      </c>
    </row>
    <row r="103" spans="1:8">
      <c r="A103" t="s">
        <v>134</v>
      </c>
      <c r="B103">
        <f t="shared" si="1"/>
        <v>11248</v>
      </c>
      <c r="C103">
        <v>47</v>
      </c>
      <c r="D103">
        <v>7469</v>
      </c>
      <c r="E103">
        <v>2193</v>
      </c>
      <c r="F103">
        <v>56</v>
      </c>
      <c r="G103">
        <v>1353</v>
      </c>
      <c r="H103">
        <v>130</v>
      </c>
    </row>
    <row r="105" spans="1:8">
      <c r="B105">
        <f>SUM(B3:B104)</f>
        <v>203149</v>
      </c>
    </row>
    <row r="107" spans="1:8">
      <c r="B107">
        <f>203149-B105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B105"/>
  <sheetViews>
    <sheetView topLeftCell="A4" workbookViewId="0">
      <selection activeCell="B37" sqref="B37:B38"/>
    </sheetView>
  </sheetViews>
  <sheetFormatPr defaultRowHeight="15"/>
  <sheetData>
    <row r="3" spans="1:2">
      <c r="A3" t="s">
        <v>3</v>
      </c>
      <c r="B3">
        <f>+'pt1'!B3+'pt2'!B3+'pt3'!B3+'pt4'!B3</f>
        <v>0</v>
      </c>
    </row>
    <row r="4" spans="1:2">
      <c r="A4" t="s">
        <v>4</v>
      </c>
      <c r="B4">
        <f>+'pt1'!B4+'pt2'!B4+'pt3'!B4+'pt4'!B4</f>
        <v>0</v>
      </c>
    </row>
    <row r="5" spans="1:2">
      <c r="A5" t="s">
        <v>5</v>
      </c>
      <c r="B5">
        <f>+'pt1'!B5+'pt2'!B5+'pt3'!B5+'pt4'!B5</f>
        <v>0</v>
      </c>
    </row>
    <row r="6" spans="1:2">
      <c r="A6" t="s">
        <v>6</v>
      </c>
      <c r="B6">
        <f>+'pt1'!B6+'pt2'!B6+'pt3'!B6+'pt4'!B6</f>
        <v>161777</v>
      </c>
    </row>
    <row r="7" spans="1:2">
      <c r="A7" t="s">
        <v>7</v>
      </c>
      <c r="B7">
        <f>+'pt1'!B7+'pt2'!B7+'pt3'!B7+'pt4'!B7</f>
        <v>37296</v>
      </c>
    </row>
    <row r="8" spans="1:2">
      <c r="A8" t="s">
        <v>8</v>
      </c>
      <c r="B8">
        <f>+'pt1'!B8+'pt2'!B8+'pt3'!B8+'pt4'!B8</f>
        <v>0</v>
      </c>
    </row>
    <row r="9" spans="1:2">
      <c r="A9" t="s">
        <v>9</v>
      </c>
      <c r="B9">
        <f>+'pt1'!B9+'pt2'!B9+'pt3'!B9+'pt4'!B9</f>
        <v>0</v>
      </c>
    </row>
    <row r="10" spans="1:2">
      <c r="A10" t="s">
        <v>10</v>
      </c>
      <c r="B10">
        <f>+'pt1'!B10+'pt2'!B10+'pt3'!B10+'pt4'!B10</f>
        <v>18706</v>
      </c>
    </row>
    <row r="11" spans="1:2">
      <c r="A11" t="s">
        <v>11</v>
      </c>
      <c r="B11">
        <f>+'pt1'!B11+'pt2'!B11+'pt3'!B11+'pt4'!B11</f>
        <v>18743</v>
      </c>
    </row>
    <row r="12" spans="1:2">
      <c r="A12" t="s">
        <v>12</v>
      </c>
      <c r="B12">
        <f>+'pt1'!B12+'pt2'!B12+'pt3'!B12+'pt4'!B12</f>
        <v>4146</v>
      </c>
    </row>
    <row r="13" spans="1:2">
      <c r="A13" t="s">
        <v>13</v>
      </c>
      <c r="B13">
        <f>+'pt1'!B13+'pt2'!B13+'pt3'!B13+'pt4'!B13</f>
        <v>7459</v>
      </c>
    </row>
    <row r="14" spans="1:2">
      <c r="A14" t="s">
        <v>14</v>
      </c>
      <c r="B14">
        <f>+'pt1'!B14+'pt2'!B14+'pt3'!B14+'pt4'!B14</f>
        <v>885</v>
      </c>
    </row>
    <row r="15" spans="1:2">
      <c r="A15" t="s">
        <v>15</v>
      </c>
      <c r="B15">
        <f>+'pt1'!B15+'pt2'!B15+'pt3'!B15+'pt4'!B15</f>
        <v>177</v>
      </c>
    </row>
    <row r="16" spans="1:2">
      <c r="A16" t="s">
        <v>16</v>
      </c>
      <c r="B16">
        <f>+'pt1'!B16+'pt2'!B16+'pt3'!B16+'pt4'!B16</f>
        <v>0</v>
      </c>
    </row>
    <row r="17" spans="1:2">
      <c r="A17" t="s">
        <v>17</v>
      </c>
      <c r="B17">
        <f>+'pt1'!B17+'pt2'!B17+'pt3'!B17+'pt4'!B17</f>
        <v>44939</v>
      </c>
    </row>
    <row r="18" spans="1:2">
      <c r="A18" t="s">
        <v>18</v>
      </c>
      <c r="B18">
        <f>+'pt1'!B18+'pt2'!B18+'pt3'!B18+'pt4'!B18</f>
        <v>3335</v>
      </c>
    </row>
    <row r="19" spans="1:2">
      <c r="A19" t="s">
        <v>19</v>
      </c>
      <c r="B19">
        <f>+'pt1'!B19+'pt2'!B19+'pt3'!B19+'pt4'!B19</f>
        <v>0</v>
      </c>
    </row>
    <row r="20" spans="1:2">
      <c r="A20" t="s">
        <v>20</v>
      </c>
      <c r="B20">
        <f>+'pt1'!B20+'pt2'!B20+'pt3'!B20+'pt4'!B20</f>
        <v>0</v>
      </c>
    </row>
    <row r="21" spans="1:2">
      <c r="A21" t="s">
        <v>21</v>
      </c>
      <c r="B21">
        <f>+'pt1'!B21+'pt2'!B21+'pt3'!B21+'pt4'!B21</f>
        <v>6604</v>
      </c>
    </row>
    <row r="22" spans="1:2">
      <c r="A22" t="s">
        <v>22</v>
      </c>
      <c r="B22">
        <f>+'pt1'!B22+'pt2'!B22+'pt3'!B22+'pt4'!B22</f>
        <v>0</v>
      </c>
    </row>
    <row r="23" spans="1:2">
      <c r="A23" t="s">
        <v>23</v>
      </c>
      <c r="B23">
        <f>+'pt1'!B23+'pt2'!B23+'pt3'!B23+'pt4'!B23</f>
        <v>0</v>
      </c>
    </row>
    <row r="24" spans="1:2">
      <c r="A24" t="s">
        <v>24</v>
      </c>
      <c r="B24">
        <f>+'pt1'!B24+'pt2'!B24+'pt3'!B24+'pt4'!B24</f>
        <v>0</v>
      </c>
    </row>
    <row r="25" spans="1:2">
      <c r="A25" t="s">
        <v>25</v>
      </c>
      <c r="B25">
        <f>+'pt1'!B25+'pt2'!B25+'pt3'!B25+'pt4'!B25</f>
        <v>217</v>
      </c>
    </row>
    <row r="26" spans="1:2">
      <c r="A26" t="s">
        <v>26</v>
      </c>
      <c r="B26">
        <f>+'pt1'!B26+'pt2'!B26+'pt3'!B26+'pt4'!B26</f>
        <v>0</v>
      </c>
    </row>
    <row r="27" spans="1:2">
      <c r="A27" t="s">
        <v>27</v>
      </c>
      <c r="B27">
        <f>+'pt1'!B27+'pt2'!B27+'pt3'!B27+'pt4'!B27</f>
        <v>16662</v>
      </c>
    </row>
    <row r="28" spans="1:2">
      <c r="A28" t="s">
        <v>28</v>
      </c>
      <c r="B28">
        <f>+'pt1'!B28+'pt2'!B28+'pt3'!B28+'pt4'!B28</f>
        <v>1082</v>
      </c>
    </row>
    <row r="29" spans="1:2">
      <c r="A29" t="s">
        <v>29</v>
      </c>
      <c r="B29">
        <f>+'pt1'!B29+'pt2'!B29+'pt3'!B29+'pt4'!B29</f>
        <v>0</v>
      </c>
    </row>
    <row r="30" spans="1:2">
      <c r="A30" t="s">
        <v>30</v>
      </c>
      <c r="B30">
        <f>+'pt1'!B30+'pt2'!B30+'pt3'!B30+'pt4'!B30</f>
        <v>1965</v>
      </c>
    </row>
    <row r="31" spans="1:2">
      <c r="A31" t="s">
        <v>31</v>
      </c>
      <c r="B31">
        <f>+'pt1'!B31+'pt2'!B31+'pt3'!B31+'pt4'!B31</f>
        <v>0</v>
      </c>
    </row>
    <row r="32" spans="1:2">
      <c r="A32" t="s">
        <v>32</v>
      </c>
      <c r="B32">
        <f>+'pt1'!B32+'pt2'!B32+'pt3'!B32+'pt4'!B32</f>
        <v>2210</v>
      </c>
    </row>
    <row r="33" spans="1:2">
      <c r="A33" t="s">
        <v>33</v>
      </c>
      <c r="B33">
        <f>+'pt1'!B33+'pt2'!B33+'pt3'!B33+'pt4'!B33</f>
        <v>0</v>
      </c>
    </row>
    <row r="34" spans="1:2">
      <c r="A34" t="s">
        <v>34</v>
      </c>
      <c r="B34">
        <f>+'pt1'!B34+'pt2'!B34+'pt3'!B34+'pt4'!B34</f>
        <v>0</v>
      </c>
    </row>
    <row r="35" spans="1:2">
      <c r="A35" t="s">
        <v>35</v>
      </c>
      <c r="B35">
        <f>+'pt1'!B35+'pt2'!B35+'pt3'!B35+'pt4'!B35</f>
        <v>2844</v>
      </c>
    </row>
    <row r="36" spans="1:2">
      <c r="A36" t="s">
        <v>36</v>
      </c>
      <c r="B36">
        <f>+'pt1'!B36+'pt2'!B36+'pt3'!B36+'pt4'!B36</f>
        <v>42</v>
      </c>
    </row>
    <row r="37" spans="1:2">
      <c r="A37" t="s">
        <v>37</v>
      </c>
      <c r="B37">
        <f>+'pt1'!B37+'pt2'!B37+'pt3'!B37+'pt4'!B37</f>
        <v>508</v>
      </c>
    </row>
    <row r="38" spans="1:2">
      <c r="A38" t="s">
        <v>91</v>
      </c>
      <c r="B38">
        <f>+'pt1'!B38+'pt2'!B38+'pt3'!B38+'pt4'!B38</f>
        <v>0</v>
      </c>
    </row>
    <row r="39" spans="1:2">
      <c r="A39" t="s">
        <v>38</v>
      </c>
      <c r="B39">
        <f>+'pt1'!B39+'pt2'!B39+'pt3'!B39+'pt4'!B39</f>
        <v>0</v>
      </c>
    </row>
    <row r="40" spans="1:2">
      <c r="A40" t="s">
        <v>39</v>
      </c>
      <c r="B40">
        <f>+'pt1'!B40+'pt2'!B40+'pt3'!B40+'pt4'!B40</f>
        <v>929</v>
      </c>
    </row>
    <row r="41" spans="1:2">
      <c r="A41" t="s">
        <v>40</v>
      </c>
      <c r="B41">
        <f>+'pt1'!B41+'pt2'!B41+'pt3'!B41+'pt4'!B41</f>
        <v>0</v>
      </c>
    </row>
    <row r="42" spans="1:2">
      <c r="A42" t="s">
        <v>41</v>
      </c>
      <c r="B42">
        <f>+'pt1'!B42+'pt2'!B42+'pt3'!B42+'pt4'!B42</f>
        <v>0</v>
      </c>
    </row>
    <row r="43" spans="1:2">
      <c r="A43" t="s">
        <v>42</v>
      </c>
      <c r="B43">
        <f>+'pt1'!B43+'pt2'!B43+'pt3'!B43+'pt4'!B43</f>
        <v>0</v>
      </c>
    </row>
    <row r="44" spans="1:2">
      <c r="A44" t="s">
        <v>43</v>
      </c>
      <c r="B44">
        <f>+'pt1'!B44+'pt2'!B44+'pt3'!B44+'pt4'!B44</f>
        <v>0</v>
      </c>
    </row>
    <row r="45" spans="1:2">
      <c r="A45" t="s">
        <v>44</v>
      </c>
      <c r="B45">
        <f>+'pt1'!B45+'pt2'!B45+'pt3'!B45+'pt4'!B45</f>
        <v>9347</v>
      </c>
    </row>
    <row r="46" spans="1:2">
      <c r="A46" t="s">
        <v>45</v>
      </c>
      <c r="B46">
        <f>+'pt1'!B46+'pt2'!B46+'pt3'!B46+'pt4'!B46</f>
        <v>6957</v>
      </c>
    </row>
    <row r="47" spans="1:2">
      <c r="A47" t="s">
        <v>46</v>
      </c>
      <c r="B47">
        <f>+'pt1'!B47+'pt2'!B47+'pt3'!B47+'pt4'!B47</f>
        <v>742</v>
      </c>
    </row>
    <row r="48" spans="1:2">
      <c r="A48" t="s">
        <v>53</v>
      </c>
      <c r="B48">
        <f>+'pt1'!B48+'pt2'!B48+'pt3'!B48+'pt4'!B48</f>
        <v>0</v>
      </c>
    </row>
    <row r="49" spans="1:2">
      <c r="A49" t="s">
        <v>90</v>
      </c>
      <c r="B49">
        <f>+'pt1'!B49+'pt2'!B49+'pt3'!B49+'pt4'!B49</f>
        <v>0</v>
      </c>
    </row>
    <row r="50" spans="1:2">
      <c r="A50" t="s">
        <v>54</v>
      </c>
      <c r="B50">
        <f>+'pt1'!B50+'pt2'!B50+'pt3'!B50+'pt4'!B50</f>
        <v>0</v>
      </c>
    </row>
    <row r="51" spans="1:2">
      <c r="A51" t="s">
        <v>55</v>
      </c>
      <c r="B51">
        <f>+'pt1'!B51+'pt2'!B51+'pt3'!B51+'pt4'!B51</f>
        <v>0</v>
      </c>
    </row>
    <row r="52" spans="1:2">
      <c r="A52" t="s">
        <v>56</v>
      </c>
      <c r="B52">
        <f>+'pt1'!B52+'pt2'!B52+'pt3'!B52+'pt4'!B52</f>
        <v>0</v>
      </c>
    </row>
    <row r="53" spans="1:2">
      <c r="A53" t="s">
        <v>57</v>
      </c>
      <c r="B53">
        <f>+'pt1'!B53+'pt2'!B53+'pt3'!B53+'pt4'!B53</f>
        <v>0</v>
      </c>
    </row>
    <row r="54" spans="1:2">
      <c r="A54" t="s">
        <v>58</v>
      </c>
      <c r="B54">
        <f>+'pt1'!B54+'pt2'!B54+'pt3'!B54+'pt4'!B54</f>
        <v>280</v>
      </c>
    </row>
    <row r="55" spans="1:2">
      <c r="A55" t="s">
        <v>63</v>
      </c>
      <c r="B55">
        <f>+'pt1'!B55+'pt2'!B55+'pt3'!B55+'pt4'!B55</f>
        <v>0</v>
      </c>
    </row>
    <row r="56" spans="1:2">
      <c r="A56" t="s">
        <v>64</v>
      </c>
      <c r="B56">
        <f>+'pt1'!B56+'pt2'!B56+'pt3'!B56+'pt4'!B56</f>
        <v>0</v>
      </c>
    </row>
    <row r="57" spans="1:2">
      <c r="A57" t="s">
        <v>65</v>
      </c>
      <c r="B57">
        <f>+'pt1'!B57+'pt2'!B57+'pt3'!B57+'pt4'!B57</f>
        <v>2</v>
      </c>
    </row>
    <row r="58" spans="1:2">
      <c r="A58" t="s">
        <v>66</v>
      </c>
      <c r="B58">
        <f>+'pt1'!B58+'pt2'!B58+'pt3'!B58+'pt4'!B58</f>
        <v>0</v>
      </c>
    </row>
    <row r="59" spans="1:2">
      <c r="A59" t="s">
        <v>67</v>
      </c>
      <c r="B59">
        <f>+'pt1'!B59+'pt2'!B59+'pt3'!B59+'pt4'!B59</f>
        <v>0</v>
      </c>
    </row>
    <row r="60" spans="1:2">
      <c r="A60" t="s">
        <v>68</v>
      </c>
      <c r="B60">
        <f>+'pt1'!B60+'pt2'!B60+'pt3'!B60+'pt4'!B60</f>
        <v>0</v>
      </c>
    </row>
    <row r="61" spans="1:2">
      <c r="A61" t="s">
        <v>69</v>
      </c>
      <c r="B61">
        <f>+'pt1'!B61+'pt2'!B61+'pt3'!B61+'pt4'!B61</f>
        <v>0</v>
      </c>
    </row>
    <row r="62" spans="1:2">
      <c r="A62" t="s">
        <v>70</v>
      </c>
      <c r="B62">
        <f>+'pt1'!B62+'pt2'!B62+'pt3'!B62+'pt4'!B62</f>
        <v>522</v>
      </c>
    </row>
    <row r="63" spans="1:2">
      <c r="A63" t="s">
        <v>71</v>
      </c>
      <c r="B63">
        <f>+'pt1'!B63+'pt2'!B63+'pt3'!B63+'pt4'!B63</f>
        <v>102853</v>
      </c>
    </row>
    <row r="64" spans="1:2">
      <c r="A64" t="s">
        <v>72</v>
      </c>
      <c r="B64">
        <f>+'pt1'!B64+'pt2'!B64+'pt3'!B64+'pt4'!B64</f>
        <v>684</v>
      </c>
    </row>
    <row r="65" spans="1:2">
      <c r="A65" t="s">
        <v>73</v>
      </c>
      <c r="B65">
        <f>+'pt1'!B65+'pt2'!B65+'pt3'!B65+'pt4'!B65</f>
        <v>0</v>
      </c>
    </row>
    <row r="66" spans="1:2">
      <c r="A66" t="s">
        <v>74</v>
      </c>
      <c r="B66">
        <f>+'pt1'!B66+'pt2'!B66+'pt3'!B66+'pt4'!B66</f>
        <v>0</v>
      </c>
    </row>
    <row r="67" spans="1:2">
      <c r="A67" t="s">
        <v>75</v>
      </c>
      <c r="B67">
        <f>+'pt1'!B67+'pt2'!B67+'pt3'!B67+'pt4'!B67</f>
        <v>0</v>
      </c>
    </row>
    <row r="68" spans="1:2">
      <c r="A68" t="s">
        <v>76</v>
      </c>
      <c r="B68">
        <f>+'pt1'!B68+'pt2'!B68+'pt3'!B68+'pt4'!B68</f>
        <v>0</v>
      </c>
    </row>
    <row r="69" spans="1:2">
      <c r="A69" t="s">
        <v>77</v>
      </c>
      <c r="B69">
        <f>+'pt1'!B69+'pt2'!B69+'pt3'!B69+'pt4'!B69</f>
        <v>0</v>
      </c>
    </row>
    <row r="70" spans="1:2">
      <c r="A70" t="s">
        <v>78</v>
      </c>
      <c r="B70">
        <f>+'pt1'!B70+'pt2'!B70+'pt3'!B70+'pt4'!B70</f>
        <v>0</v>
      </c>
    </row>
    <row r="71" spans="1:2">
      <c r="A71" t="s">
        <v>79</v>
      </c>
      <c r="B71">
        <f>+'pt1'!B71+'pt2'!B71+'pt3'!B71+'pt4'!B71</f>
        <v>0</v>
      </c>
    </row>
    <row r="72" spans="1:2">
      <c r="A72" t="s">
        <v>80</v>
      </c>
      <c r="B72">
        <f>+'pt1'!B72+'pt2'!B72+'pt3'!B72+'pt4'!B72</f>
        <v>0</v>
      </c>
    </row>
    <row r="73" spans="1:2">
      <c r="A73" t="s">
        <v>81</v>
      </c>
      <c r="B73">
        <f>+'pt1'!B73+'pt2'!B73+'pt3'!B73+'pt4'!B73</f>
        <v>9279</v>
      </c>
    </row>
    <row r="74" spans="1:2">
      <c r="A74" t="s">
        <v>82</v>
      </c>
      <c r="B74">
        <f>+'pt1'!B74+'pt2'!B74+'pt3'!B74+'pt4'!B74</f>
        <v>0</v>
      </c>
    </row>
    <row r="75" spans="1:2">
      <c r="A75" t="s">
        <v>83</v>
      </c>
      <c r="B75">
        <f>+'pt1'!B75+'pt2'!B75+'pt3'!B75+'pt4'!B75</f>
        <v>0</v>
      </c>
    </row>
    <row r="76" spans="1:2">
      <c r="A76" t="s">
        <v>84</v>
      </c>
      <c r="B76">
        <f>+'pt1'!B76+'pt2'!B76+'pt3'!B76+'pt4'!B76</f>
        <v>0</v>
      </c>
    </row>
    <row r="77" spans="1:2">
      <c r="A77" t="s">
        <v>85</v>
      </c>
      <c r="B77">
        <f>+'pt1'!B77+'pt2'!B77+'pt3'!B77+'pt4'!B77</f>
        <v>0</v>
      </c>
    </row>
    <row r="78" spans="1:2">
      <c r="A78" t="s">
        <v>96</v>
      </c>
      <c r="B78">
        <f>+'pt1'!B78+'pt2'!B78+'pt3'!B78+'pt4'!B78</f>
        <v>0</v>
      </c>
    </row>
    <row r="79" spans="1:2">
      <c r="A79" t="s">
        <v>88</v>
      </c>
      <c r="B79">
        <f>+'pt1'!B79+'pt2'!B79+'pt3'!B79+'pt4'!B79</f>
        <v>502</v>
      </c>
    </row>
    <row r="80" spans="1:2">
      <c r="A80" t="s">
        <v>97</v>
      </c>
      <c r="B80">
        <f>+'pt1'!B80+'pt2'!B80+'pt3'!B80+'pt4'!B80</f>
        <v>0</v>
      </c>
    </row>
    <row r="81" spans="1:2">
      <c r="A81" t="s">
        <v>98</v>
      </c>
      <c r="B81">
        <f>+'pt1'!B81+'pt2'!B81+'pt3'!B81+'pt4'!B81</f>
        <v>0</v>
      </c>
    </row>
    <row r="82" spans="1:2">
      <c r="A82" t="s">
        <v>99</v>
      </c>
      <c r="B82">
        <f>+'pt1'!B82+'pt2'!B82+'pt3'!B82+'pt4'!B82</f>
        <v>0</v>
      </c>
    </row>
    <row r="83" spans="1:2">
      <c r="A83" t="s">
        <v>100</v>
      </c>
      <c r="B83">
        <f>+'pt1'!B83+'pt2'!B83+'pt3'!B83+'pt4'!B83</f>
        <v>0</v>
      </c>
    </row>
    <row r="84" spans="1:2">
      <c r="A84" t="s">
        <v>105</v>
      </c>
      <c r="B84">
        <f>+'pt1'!B84+'pt2'!B84+'pt3'!B84+'pt4'!B84</f>
        <v>0</v>
      </c>
    </row>
    <row r="85" spans="1:2">
      <c r="A85" t="s">
        <v>106</v>
      </c>
      <c r="B85">
        <f>+'pt1'!B85+'pt2'!B85+'pt3'!B85+'pt4'!B85</f>
        <v>0</v>
      </c>
    </row>
    <row r="86" spans="1:2">
      <c r="A86" t="s">
        <v>107</v>
      </c>
      <c r="B86">
        <f>+'pt1'!B86+'pt2'!B86+'pt3'!B86+'pt4'!B86</f>
        <v>0</v>
      </c>
    </row>
    <row r="87" spans="1:2">
      <c r="A87" t="s">
        <v>109</v>
      </c>
      <c r="B87">
        <f>+'pt1'!B87+'pt2'!B87+'pt3'!B87+'pt4'!B87</f>
        <v>0</v>
      </c>
    </row>
    <row r="88" spans="1:2">
      <c r="A88" t="s">
        <v>110</v>
      </c>
      <c r="B88">
        <f>+'pt1'!B88+'pt2'!B88+'pt3'!B88+'pt4'!B88</f>
        <v>0</v>
      </c>
    </row>
    <row r="89" spans="1:2">
      <c r="A89" t="s">
        <v>111</v>
      </c>
      <c r="B89">
        <f>+'pt1'!B89+'pt2'!B89+'pt3'!B89+'pt4'!B89</f>
        <v>0</v>
      </c>
    </row>
    <row r="90" spans="1:2">
      <c r="A90" t="s">
        <v>112</v>
      </c>
      <c r="B90">
        <f>+'pt1'!B90+'pt2'!B90+'pt3'!B90+'pt4'!B90</f>
        <v>0</v>
      </c>
    </row>
    <row r="91" spans="1:2">
      <c r="A91" t="s">
        <v>113</v>
      </c>
      <c r="B91">
        <f>+'pt1'!B91+'pt2'!B91+'pt3'!B91+'pt4'!B91</f>
        <v>0</v>
      </c>
    </row>
    <row r="92" spans="1:2">
      <c r="A92" t="s">
        <v>114</v>
      </c>
      <c r="B92">
        <f>+'pt1'!B92+'pt2'!B92+'pt3'!B92+'pt4'!B92</f>
        <v>0</v>
      </c>
    </row>
    <row r="93" spans="1:2">
      <c r="A93" t="s">
        <v>116</v>
      </c>
      <c r="B93">
        <f>+'pt1'!B93+'pt2'!B93+'pt3'!B93+'pt4'!B93</f>
        <v>0</v>
      </c>
    </row>
    <row r="94" spans="1:2">
      <c r="A94" t="s">
        <v>117</v>
      </c>
      <c r="B94">
        <f>+'pt1'!B94+'pt2'!B94+'pt3'!B94+'pt4'!B94</f>
        <v>260</v>
      </c>
    </row>
    <row r="95" spans="1:2">
      <c r="A95" t="s">
        <v>121</v>
      </c>
      <c r="B95">
        <f>+'pt1'!B95+'pt2'!B95+'pt3'!B95+'pt4'!B95</f>
        <v>0</v>
      </c>
    </row>
    <row r="96" spans="1:2">
      <c r="A96" t="s">
        <v>89</v>
      </c>
      <c r="B96">
        <f>+'pt1'!B96+'pt2'!B96+'pt3'!B96+'pt4'!B96</f>
        <v>0</v>
      </c>
    </row>
    <row r="97" spans="1:2">
      <c r="A97" t="s">
        <v>122</v>
      </c>
      <c r="B97">
        <f>+'pt1'!B97+'pt2'!B97+'pt3'!B97+'pt4'!B97</f>
        <v>0</v>
      </c>
    </row>
    <row r="98" spans="1:2">
      <c r="A98" t="s">
        <v>123</v>
      </c>
      <c r="B98">
        <f>+'pt1'!B98+'pt2'!B98+'pt3'!B98+'pt4'!B98</f>
        <v>0</v>
      </c>
    </row>
    <row r="99" spans="1:2">
      <c r="A99" t="s">
        <v>87</v>
      </c>
      <c r="B99">
        <f>+'pt1'!B99+'pt2'!B99+'pt3'!B99+'pt4'!B99</f>
        <v>0</v>
      </c>
    </row>
    <row r="100" spans="1:2">
      <c r="A100" t="s">
        <v>126</v>
      </c>
      <c r="B100">
        <f>+'pt1'!B100+'pt2'!B100+'pt3'!B100+'pt4'!B100</f>
        <v>0</v>
      </c>
    </row>
    <row r="101" spans="1:2">
      <c r="A101" t="s">
        <v>127</v>
      </c>
      <c r="B101">
        <f>+'pt1'!B101+'pt2'!B101+'pt3'!B101+'pt4'!B101</f>
        <v>0</v>
      </c>
    </row>
    <row r="102" spans="1:2">
      <c r="A102" t="s">
        <v>131</v>
      </c>
      <c r="B102">
        <f>+'pt1'!B102+'pt2'!B102+'pt3'!B102+'pt4'!B102</f>
        <v>0</v>
      </c>
    </row>
    <row r="103" spans="1:2">
      <c r="A103" t="s">
        <v>134</v>
      </c>
      <c r="B103">
        <f>+'pt1'!B103+'pt2'!B103+'pt3'!B103+'pt4'!B103</f>
        <v>44591</v>
      </c>
    </row>
    <row r="105" spans="1:2">
      <c r="B105">
        <f>SUM(B3:B104)</f>
        <v>506545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5" sqref="F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imports</vt:lpstr>
      <vt:lpstr>Sheet2</vt:lpstr>
      <vt:lpstr>Sheet3</vt:lpstr>
      <vt:lpstr>pt1</vt:lpstr>
      <vt:lpstr>pt2</vt:lpstr>
      <vt:lpstr>pt3</vt:lpstr>
      <vt:lpstr>pt4</vt:lpstr>
      <vt:lpstr>Sheet7</vt:lpstr>
      <vt:lpstr>Sheet1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2009-01-29T14:26:03Z</dcterms:created>
  <dcterms:modified xsi:type="dcterms:W3CDTF">2011-10-03T15:00:39Z</dcterms:modified>
</cp:coreProperties>
</file>