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rpitha/Desktop/P3/"/>
    </mc:Choice>
  </mc:AlternateContent>
  <xr:revisionPtr revIDLastSave="0" documentId="13_ncr:1_{D3C95667-8234-4F40-AC73-2C5E400114DA}" xr6:coauthVersionLast="47" xr6:coauthVersionMax="47" xr10:uidLastSave="{00000000-0000-0000-0000-000000000000}"/>
  <bookViews>
    <workbookView xWindow="0" yWindow="660" windowWidth="29400" windowHeight="16980" firstSheet="7" activeTab="17" xr2:uid="{00000000-000D-0000-FFFF-FFFF00000000}"/>
  </bookViews>
  <sheets>
    <sheet name="README" sheetId="1" r:id="rId1"/>
    <sheet name="Assumptions" sheetId="2" r:id="rId2"/>
    <sheet name="Chart of Accounts" sheetId="3" r:id="rId3"/>
    <sheet name="Opening TB" sheetId="4" r:id="rId4"/>
    <sheet name="GL Extract" sheetId="5" r:id="rId5"/>
    <sheet name="Adjustment Journals" sheetId="6" r:id="rId6"/>
    <sheet name="Adjusted TB" sheetId="7" r:id="rId7"/>
    <sheet name="Budget" sheetId="8" r:id="rId8"/>
    <sheet name="Management P&amp;L" sheetId="9" r:id="rId9"/>
    <sheet name="Balance Sheet" sheetId="10" r:id="rId10"/>
    <sheet name="Bank Reconciliation" sheetId="11" r:id="rId11"/>
    <sheet name="AR Ageing" sheetId="12" r:id="rId12"/>
    <sheet name="AP Ageing" sheetId="13" r:id="rId13"/>
    <sheet name="Working Capital" sheetId="14" r:id="rId14"/>
    <sheet name="13-Week Cash Forecast" sheetId="15" r:id="rId15"/>
    <sheet name="Month-End Close" sheetId="16" r:id="rId16"/>
    <sheet name="Dashboard" sheetId="17" r:id="rId17"/>
    <sheet name="Data Dictionary" sheetId="18" r:id="rId18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6" l="1"/>
  <c r="B25" i="16"/>
  <c r="B24" i="16"/>
  <c r="J19" i="16"/>
  <c r="I19" i="16"/>
  <c r="H19" i="16"/>
  <c r="J18" i="16"/>
  <c r="I18" i="16"/>
  <c r="H18" i="16"/>
  <c r="J17" i="16"/>
  <c r="I17" i="16"/>
  <c r="H17" i="16"/>
  <c r="J16" i="16"/>
  <c r="I16" i="16"/>
  <c r="H16" i="16"/>
  <c r="J15" i="16"/>
  <c r="I15" i="16"/>
  <c r="H15" i="16"/>
  <c r="J14" i="16"/>
  <c r="I14" i="16"/>
  <c r="H14" i="16"/>
  <c r="J13" i="16"/>
  <c r="I13" i="16"/>
  <c r="H13" i="16"/>
  <c r="J12" i="16"/>
  <c r="I12" i="16"/>
  <c r="H12" i="16"/>
  <c r="J11" i="16"/>
  <c r="I11" i="16"/>
  <c r="H11" i="16"/>
  <c r="J10" i="16"/>
  <c r="I10" i="16"/>
  <c r="H10" i="16"/>
  <c r="J9" i="16"/>
  <c r="I9" i="16"/>
  <c r="H9" i="16"/>
  <c r="J8" i="16"/>
  <c r="I8" i="16"/>
  <c r="H8" i="16"/>
  <c r="J7" i="16"/>
  <c r="I7" i="16"/>
  <c r="H7" i="16"/>
  <c r="J6" i="16"/>
  <c r="I6" i="16"/>
  <c r="H6" i="16"/>
  <c r="J5" i="16"/>
  <c r="I5" i="16"/>
  <c r="H5" i="16"/>
  <c r="J4" i="16"/>
  <c r="I4" i="16"/>
  <c r="H4" i="16"/>
  <c r="B27" i="16" s="1"/>
  <c r="J10" i="17" s="1"/>
  <c r="M18" i="15"/>
  <c r="G18" i="15"/>
  <c r="F18" i="15"/>
  <c r="E18" i="15"/>
  <c r="M17" i="15"/>
  <c r="G17" i="15"/>
  <c r="F17" i="15"/>
  <c r="E17" i="15"/>
  <c r="M16" i="15"/>
  <c r="G16" i="15"/>
  <c r="F16" i="15"/>
  <c r="E16" i="15"/>
  <c r="M15" i="15"/>
  <c r="G15" i="15"/>
  <c r="F15" i="15"/>
  <c r="E15" i="15"/>
  <c r="M14" i="15"/>
  <c r="G14" i="15"/>
  <c r="F14" i="15"/>
  <c r="E14" i="15"/>
  <c r="M13" i="15"/>
  <c r="G13" i="15"/>
  <c r="F13" i="15"/>
  <c r="E13" i="15"/>
  <c r="M12" i="15"/>
  <c r="G12" i="15"/>
  <c r="F12" i="15"/>
  <c r="E12" i="15"/>
  <c r="M11" i="15"/>
  <c r="G11" i="15"/>
  <c r="F11" i="15"/>
  <c r="E11" i="15"/>
  <c r="M10" i="15"/>
  <c r="G10" i="15"/>
  <c r="F10" i="15"/>
  <c r="E10" i="15"/>
  <c r="M9" i="15"/>
  <c r="G9" i="15"/>
  <c r="F9" i="15"/>
  <c r="E9" i="15"/>
  <c r="M8" i="15"/>
  <c r="G8" i="15"/>
  <c r="F8" i="15"/>
  <c r="E8" i="15"/>
  <c r="M7" i="15"/>
  <c r="G7" i="15"/>
  <c r="F7" i="15"/>
  <c r="E7" i="15"/>
  <c r="M6" i="15"/>
  <c r="G6" i="15"/>
  <c r="F6" i="15"/>
  <c r="E6" i="15"/>
  <c r="B64" i="13"/>
  <c r="F59" i="13" s="1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B7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B14" i="11"/>
  <c r="B13" i="11"/>
  <c r="B15" i="11" s="1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L23" i="9"/>
  <c r="L21" i="9"/>
  <c r="I21" i="9"/>
  <c r="H21" i="9"/>
  <c r="G21" i="9"/>
  <c r="F21" i="9"/>
  <c r="E21" i="9"/>
  <c r="D21" i="9"/>
  <c r="C21" i="9"/>
  <c r="B21" i="9"/>
  <c r="L20" i="9"/>
  <c r="L16" i="9"/>
  <c r="L15" i="9"/>
  <c r="L14" i="9"/>
  <c r="I14" i="9"/>
  <c r="H14" i="9"/>
  <c r="G14" i="9"/>
  <c r="F14" i="9"/>
  <c r="E14" i="9"/>
  <c r="D14" i="9"/>
  <c r="C14" i="9"/>
  <c r="L13" i="9"/>
  <c r="F13" i="9"/>
  <c r="L12" i="9"/>
  <c r="G12" i="9"/>
  <c r="F12" i="9"/>
  <c r="L11" i="9"/>
  <c r="G11" i="9"/>
  <c r="F11" i="9"/>
  <c r="C11" i="9"/>
  <c r="B11" i="9"/>
  <c r="L10" i="9"/>
  <c r="G10" i="9"/>
  <c r="F10" i="9"/>
  <c r="E10" i="9"/>
  <c r="D10" i="9"/>
  <c r="C10" i="9"/>
  <c r="B10" i="9"/>
  <c r="L9" i="9"/>
  <c r="G9" i="9"/>
  <c r="F9" i="9"/>
  <c r="E9" i="9"/>
  <c r="D9" i="9"/>
  <c r="C9" i="9"/>
  <c r="B9" i="9"/>
  <c r="L8" i="9"/>
  <c r="L17" i="9" s="1"/>
  <c r="G8" i="9"/>
  <c r="F8" i="9"/>
  <c r="E8" i="9"/>
  <c r="D8" i="9"/>
  <c r="C8" i="9"/>
  <c r="B8" i="9"/>
  <c r="L5" i="9"/>
  <c r="J5" i="9"/>
  <c r="I5" i="9"/>
  <c r="H5" i="9"/>
  <c r="G5" i="9"/>
  <c r="F5" i="9"/>
  <c r="E5" i="9"/>
  <c r="D5" i="9"/>
  <c r="C5" i="9"/>
  <c r="B5" i="9"/>
  <c r="L4" i="9"/>
  <c r="L6" i="9" s="1"/>
  <c r="J4" i="9"/>
  <c r="I4" i="9"/>
  <c r="H4" i="9"/>
  <c r="G4" i="9"/>
  <c r="F4" i="9"/>
  <c r="E4" i="9"/>
  <c r="D4" i="9"/>
  <c r="C4" i="9"/>
  <c r="B4" i="9"/>
  <c r="G30" i="7"/>
  <c r="E30" i="7"/>
  <c r="F29" i="7"/>
  <c r="E29" i="7"/>
  <c r="E28" i="7"/>
  <c r="G27" i="7"/>
  <c r="E27" i="7"/>
  <c r="G26" i="7"/>
  <c r="E26" i="7"/>
  <c r="E25" i="7"/>
  <c r="E24" i="7"/>
  <c r="E23" i="7"/>
  <c r="G22" i="7"/>
  <c r="E22" i="7"/>
  <c r="E21" i="7"/>
  <c r="G20" i="7"/>
  <c r="E20" i="7"/>
  <c r="E19" i="7"/>
  <c r="G18" i="7"/>
  <c r="F18" i="7"/>
  <c r="E18" i="7"/>
  <c r="G17" i="7"/>
  <c r="F17" i="7"/>
  <c r="E17" i="7"/>
  <c r="G16" i="7"/>
  <c r="F16" i="7"/>
  <c r="E16" i="7"/>
  <c r="G15" i="7"/>
  <c r="F15" i="7"/>
  <c r="E15" i="7"/>
  <c r="G14" i="7"/>
  <c r="E14" i="7"/>
  <c r="G13" i="7"/>
  <c r="E13" i="7"/>
  <c r="F12" i="7"/>
  <c r="E12" i="7"/>
  <c r="G11" i="7"/>
  <c r="E11" i="7"/>
  <c r="E10" i="7"/>
  <c r="G9" i="7"/>
  <c r="F9" i="7"/>
  <c r="E9" i="7"/>
  <c r="F8" i="7"/>
  <c r="E8" i="7"/>
  <c r="G7" i="7"/>
  <c r="E7" i="7"/>
  <c r="F6" i="7"/>
  <c r="E6" i="7"/>
  <c r="G5" i="7"/>
  <c r="E5" i="7"/>
  <c r="G4" i="7"/>
  <c r="E4" i="7"/>
  <c r="H17" i="6"/>
  <c r="E17" i="6"/>
  <c r="D17" i="6"/>
  <c r="H16" i="6"/>
  <c r="E16" i="6"/>
  <c r="D16" i="6"/>
  <c r="H15" i="6"/>
  <c r="G6" i="7" s="1"/>
  <c r="E15" i="6"/>
  <c r="D15" i="6"/>
  <c r="H14" i="6"/>
  <c r="E14" i="6"/>
  <c r="D14" i="6"/>
  <c r="H13" i="6"/>
  <c r="E13" i="6"/>
  <c r="D13" i="6"/>
  <c r="H12" i="6"/>
  <c r="G8" i="7" s="1"/>
  <c r="E12" i="6"/>
  <c r="D12" i="6"/>
  <c r="H11" i="6"/>
  <c r="G10" i="7" s="1"/>
  <c r="E11" i="6"/>
  <c r="D11" i="6"/>
  <c r="H10" i="6"/>
  <c r="E10" i="6"/>
  <c r="D10" i="6"/>
  <c r="H9" i="6"/>
  <c r="E9" i="6"/>
  <c r="D9" i="6"/>
  <c r="H8" i="6"/>
  <c r="E8" i="6"/>
  <c r="D8" i="6"/>
  <c r="H7" i="6"/>
  <c r="E7" i="6"/>
  <c r="D7" i="6"/>
  <c r="H6" i="6"/>
  <c r="E6" i="6"/>
  <c r="D6" i="6"/>
  <c r="H5" i="6"/>
  <c r="G12" i="7" s="1"/>
  <c r="E5" i="6"/>
  <c r="D5" i="6"/>
  <c r="H4" i="6"/>
  <c r="E4" i="6"/>
  <c r="D4" i="6"/>
  <c r="N943" i="5"/>
  <c r="M943" i="5"/>
  <c r="I943" i="5"/>
  <c r="F943" i="5"/>
  <c r="E943" i="5"/>
  <c r="D943" i="5"/>
  <c r="N942" i="5"/>
  <c r="M942" i="5"/>
  <c r="I942" i="5"/>
  <c r="F14" i="7" s="1"/>
  <c r="F942" i="5"/>
  <c r="E942" i="5"/>
  <c r="D942" i="5"/>
  <c r="N941" i="5"/>
  <c r="M941" i="5"/>
  <c r="I941" i="5"/>
  <c r="F941" i="5"/>
  <c r="E941" i="5"/>
  <c r="D941" i="5"/>
  <c r="N940" i="5"/>
  <c r="M940" i="5"/>
  <c r="I940" i="5"/>
  <c r="F940" i="5"/>
  <c r="E940" i="5"/>
  <c r="D940" i="5"/>
  <c r="N939" i="5"/>
  <c r="M939" i="5"/>
  <c r="I939" i="5"/>
  <c r="F939" i="5"/>
  <c r="E939" i="5"/>
  <c r="D939" i="5"/>
  <c r="N938" i="5"/>
  <c r="M938" i="5"/>
  <c r="I938" i="5"/>
  <c r="F938" i="5"/>
  <c r="E938" i="5"/>
  <c r="D938" i="5"/>
  <c r="N937" i="5"/>
  <c r="M937" i="5"/>
  <c r="I937" i="5"/>
  <c r="F937" i="5"/>
  <c r="E937" i="5"/>
  <c r="D937" i="5"/>
  <c r="N936" i="5"/>
  <c r="M936" i="5"/>
  <c r="I936" i="5"/>
  <c r="F936" i="5"/>
  <c r="E936" i="5"/>
  <c r="D936" i="5"/>
  <c r="N935" i="5"/>
  <c r="M935" i="5"/>
  <c r="I935" i="5"/>
  <c r="F935" i="5"/>
  <c r="E935" i="5"/>
  <c r="D935" i="5"/>
  <c r="N934" i="5"/>
  <c r="M934" i="5"/>
  <c r="I934" i="5"/>
  <c r="F934" i="5"/>
  <c r="E934" i="5"/>
  <c r="D934" i="5"/>
  <c r="N933" i="5"/>
  <c r="M933" i="5"/>
  <c r="I933" i="5"/>
  <c r="F933" i="5"/>
  <c r="E933" i="5"/>
  <c r="D933" i="5"/>
  <c r="N932" i="5"/>
  <c r="M932" i="5"/>
  <c r="I932" i="5"/>
  <c r="F932" i="5"/>
  <c r="E932" i="5"/>
  <c r="D932" i="5"/>
  <c r="N931" i="5"/>
  <c r="M931" i="5"/>
  <c r="I931" i="5"/>
  <c r="F931" i="5"/>
  <c r="E931" i="5"/>
  <c r="D931" i="5"/>
  <c r="N930" i="5"/>
  <c r="M930" i="5"/>
  <c r="I930" i="5"/>
  <c r="F21" i="7" s="1"/>
  <c r="F930" i="5"/>
  <c r="E930" i="5"/>
  <c r="D930" i="5"/>
  <c r="N929" i="5"/>
  <c r="M929" i="5"/>
  <c r="I929" i="5"/>
  <c r="F929" i="5"/>
  <c r="E929" i="5"/>
  <c r="D929" i="5"/>
  <c r="N928" i="5"/>
  <c r="M928" i="5"/>
  <c r="I928" i="5"/>
  <c r="F928" i="5"/>
  <c r="E928" i="5"/>
  <c r="D928" i="5"/>
  <c r="N927" i="5"/>
  <c r="M927" i="5"/>
  <c r="I927" i="5"/>
  <c r="F13" i="7" s="1"/>
  <c r="F927" i="5"/>
  <c r="E927" i="5"/>
  <c r="D927" i="5"/>
  <c r="N926" i="5"/>
  <c r="M926" i="5"/>
  <c r="I926" i="5"/>
  <c r="F926" i="5"/>
  <c r="E926" i="5"/>
  <c r="D926" i="5"/>
  <c r="N925" i="5"/>
  <c r="M925" i="5"/>
  <c r="I925" i="5"/>
  <c r="F925" i="5"/>
  <c r="E925" i="5"/>
  <c r="D925" i="5"/>
  <c r="N924" i="5"/>
  <c r="M924" i="5"/>
  <c r="I924" i="5"/>
  <c r="F19" i="7" s="1"/>
  <c r="F924" i="5"/>
  <c r="E924" i="5"/>
  <c r="D924" i="5"/>
  <c r="N923" i="5"/>
  <c r="M923" i="5"/>
  <c r="I923" i="5"/>
  <c r="F923" i="5"/>
  <c r="E923" i="5"/>
  <c r="D923" i="5"/>
  <c r="N922" i="5"/>
  <c r="M922" i="5"/>
  <c r="I922" i="5"/>
  <c r="F922" i="5"/>
  <c r="E922" i="5"/>
  <c r="D922" i="5"/>
  <c r="N921" i="5"/>
  <c r="M921" i="5"/>
  <c r="I921" i="5"/>
  <c r="F921" i="5"/>
  <c r="E921" i="5"/>
  <c r="D921" i="5"/>
  <c r="N920" i="5"/>
  <c r="M920" i="5"/>
  <c r="I920" i="5"/>
  <c r="F920" i="5"/>
  <c r="E920" i="5"/>
  <c r="D920" i="5"/>
  <c r="N919" i="5"/>
  <c r="M919" i="5"/>
  <c r="I919" i="5"/>
  <c r="F919" i="5"/>
  <c r="E919" i="5"/>
  <c r="D919" i="5"/>
  <c r="N918" i="5"/>
  <c r="M918" i="5"/>
  <c r="I918" i="5"/>
  <c r="F918" i="5"/>
  <c r="E918" i="5"/>
  <c r="D918" i="5"/>
  <c r="N917" i="5"/>
  <c r="M917" i="5"/>
  <c r="I917" i="5"/>
  <c r="F917" i="5"/>
  <c r="E917" i="5"/>
  <c r="D917" i="5"/>
  <c r="N916" i="5"/>
  <c r="M916" i="5"/>
  <c r="I916" i="5"/>
  <c r="F916" i="5"/>
  <c r="E916" i="5"/>
  <c r="D916" i="5"/>
  <c r="N915" i="5"/>
  <c r="M915" i="5"/>
  <c r="I915" i="5"/>
  <c r="F915" i="5"/>
  <c r="E915" i="5"/>
  <c r="D915" i="5"/>
  <c r="N914" i="5"/>
  <c r="M914" i="5"/>
  <c r="I914" i="5"/>
  <c r="F914" i="5"/>
  <c r="E914" i="5"/>
  <c r="D914" i="5"/>
  <c r="N913" i="5"/>
  <c r="M913" i="5"/>
  <c r="I913" i="5"/>
  <c r="F913" i="5"/>
  <c r="E913" i="5"/>
  <c r="D913" i="5"/>
  <c r="N912" i="5"/>
  <c r="M912" i="5"/>
  <c r="I912" i="5"/>
  <c r="F7" i="7" s="1"/>
  <c r="F912" i="5"/>
  <c r="E912" i="5"/>
  <c r="D912" i="5"/>
  <c r="N911" i="5"/>
  <c r="M911" i="5"/>
  <c r="I911" i="5"/>
  <c r="F911" i="5"/>
  <c r="E911" i="5"/>
  <c r="D911" i="5"/>
  <c r="N910" i="5"/>
  <c r="M910" i="5"/>
  <c r="I910" i="5"/>
  <c r="F910" i="5"/>
  <c r="E910" i="5"/>
  <c r="D910" i="5"/>
  <c r="N909" i="5"/>
  <c r="M909" i="5"/>
  <c r="I909" i="5"/>
  <c r="F909" i="5"/>
  <c r="E909" i="5"/>
  <c r="D909" i="5"/>
  <c r="N908" i="5"/>
  <c r="M908" i="5"/>
  <c r="I908" i="5"/>
  <c r="F908" i="5"/>
  <c r="E908" i="5"/>
  <c r="D908" i="5"/>
  <c r="N907" i="5"/>
  <c r="M907" i="5"/>
  <c r="I907" i="5"/>
  <c r="F907" i="5"/>
  <c r="E907" i="5"/>
  <c r="D907" i="5"/>
  <c r="N906" i="5"/>
  <c r="M906" i="5"/>
  <c r="I906" i="5"/>
  <c r="F906" i="5"/>
  <c r="E906" i="5"/>
  <c r="D906" i="5"/>
  <c r="N905" i="5"/>
  <c r="M905" i="5"/>
  <c r="I905" i="5"/>
  <c r="F905" i="5"/>
  <c r="E905" i="5"/>
  <c r="D905" i="5"/>
  <c r="N904" i="5"/>
  <c r="M904" i="5"/>
  <c r="I904" i="5"/>
  <c r="F904" i="5"/>
  <c r="E904" i="5"/>
  <c r="D904" i="5"/>
  <c r="N903" i="5"/>
  <c r="M903" i="5"/>
  <c r="I903" i="5"/>
  <c r="F903" i="5"/>
  <c r="E903" i="5"/>
  <c r="D903" i="5"/>
  <c r="N902" i="5"/>
  <c r="M902" i="5"/>
  <c r="I902" i="5"/>
  <c r="F902" i="5"/>
  <c r="E902" i="5"/>
  <c r="D902" i="5"/>
  <c r="N901" i="5"/>
  <c r="M901" i="5"/>
  <c r="I901" i="5"/>
  <c r="F901" i="5"/>
  <c r="E901" i="5"/>
  <c r="D901" i="5"/>
  <c r="N900" i="5"/>
  <c r="M900" i="5"/>
  <c r="I900" i="5"/>
  <c r="F900" i="5"/>
  <c r="E900" i="5"/>
  <c r="D900" i="5"/>
  <c r="N899" i="5"/>
  <c r="M899" i="5"/>
  <c r="I899" i="5"/>
  <c r="F899" i="5"/>
  <c r="E899" i="5"/>
  <c r="D899" i="5"/>
  <c r="N898" i="5"/>
  <c r="M898" i="5"/>
  <c r="I898" i="5"/>
  <c r="F898" i="5"/>
  <c r="E898" i="5"/>
  <c r="D898" i="5"/>
  <c r="N897" i="5"/>
  <c r="M897" i="5"/>
  <c r="I897" i="5"/>
  <c r="F897" i="5"/>
  <c r="E897" i="5"/>
  <c r="D897" i="5"/>
  <c r="N896" i="5"/>
  <c r="M896" i="5"/>
  <c r="I896" i="5"/>
  <c r="F896" i="5"/>
  <c r="E896" i="5"/>
  <c r="D896" i="5"/>
  <c r="N895" i="5"/>
  <c r="M895" i="5"/>
  <c r="I895" i="5"/>
  <c r="F895" i="5"/>
  <c r="E895" i="5"/>
  <c r="D895" i="5"/>
  <c r="N894" i="5"/>
  <c r="M894" i="5"/>
  <c r="I894" i="5"/>
  <c r="F894" i="5"/>
  <c r="E894" i="5"/>
  <c r="D894" i="5"/>
  <c r="N893" i="5"/>
  <c r="M893" i="5"/>
  <c r="I893" i="5"/>
  <c r="F893" i="5"/>
  <c r="E893" i="5"/>
  <c r="D893" i="5"/>
  <c r="N892" i="5"/>
  <c r="M892" i="5"/>
  <c r="I892" i="5"/>
  <c r="F892" i="5"/>
  <c r="E892" i="5"/>
  <c r="D892" i="5"/>
  <c r="N891" i="5"/>
  <c r="M891" i="5"/>
  <c r="I891" i="5"/>
  <c r="F891" i="5"/>
  <c r="E891" i="5"/>
  <c r="D891" i="5"/>
  <c r="N890" i="5"/>
  <c r="M890" i="5"/>
  <c r="I890" i="5"/>
  <c r="F890" i="5"/>
  <c r="E890" i="5"/>
  <c r="D890" i="5"/>
  <c r="N889" i="5"/>
  <c r="M889" i="5"/>
  <c r="I889" i="5"/>
  <c r="F889" i="5"/>
  <c r="E889" i="5"/>
  <c r="D889" i="5"/>
  <c r="N888" i="5"/>
  <c r="M888" i="5"/>
  <c r="I888" i="5"/>
  <c r="F888" i="5"/>
  <c r="E888" i="5"/>
  <c r="D888" i="5"/>
  <c r="N887" i="5"/>
  <c r="M887" i="5"/>
  <c r="I887" i="5"/>
  <c r="F887" i="5"/>
  <c r="E887" i="5"/>
  <c r="D887" i="5"/>
  <c r="N886" i="5"/>
  <c r="M886" i="5"/>
  <c r="I886" i="5"/>
  <c r="F886" i="5"/>
  <c r="E886" i="5"/>
  <c r="D886" i="5"/>
  <c r="N885" i="5"/>
  <c r="M885" i="5"/>
  <c r="I885" i="5"/>
  <c r="F885" i="5"/>
  <c r="E885" i="5"/>
  <c r="D885" i="5"/>
  <c r="N884" i="5"/>
  <c r="M884" i="5"/>
  <c r="I884" i="5"/>
  <c r="F884" i="5"/>
  <c r="E884" i="5"/>
  <c r="D884" i="5"/>
  <c r="N883" i="5"/>
  <c r="M883" i="5"/>
  <c r="I883" i="5"/>
  <c r="F883" i="5"/>
  <c r="E883" i="5"/>
  <c r="D883" i="5"/>
  <c r="N882" i="5"/>
  <c r="M882" i="5"/>
  <c r="I882" i="5"/>
  <c r="F882" i="5"/>
  <c r="E882" i="5"/>
  <c r="D882" i="5"/>
  <c r="N881" i="5"/>
  <c r="M881" i="5"/>
  <c r="I881" i="5"/>
  <c r="F881" i="5"/>
  <c r="E881" i="5"/>
  <c r="D881" i="5"/>
  <c r="N880" i="5"/>
  <c r="M880" i="5"/>
  <c r="I880" i="5"/>
  <c r="F880" i="5"/>
  <c r="E880" i="5"/>
  <c r="D880" i="5"/>
  <c r="N879" i="5"/>
  <c r="M879" i="5"/>
  <c r="I879" i="5"/>
  <c r="F879" i="5"/>
  <c r="E879" i="5"/>
  <c r="D879" i="5"/>
  <c r="N878" i="5"/>
  <c r="M878" i="5"/>
  <c r="I878" i="5"/>
  <c r="F878" i="5"/>
  <c r="E878" i="5"/>
  <c r="D878" i="5"/>
  <c r="N877" i="5"/>
  <c r="M877" i="5"/>
  <c r="I877" i="5"/>
  <c r="F877" i="5"/>
  <c r="E877" i="5"/>
  <c r="D877" i="5"/>
  <c r="N876" i="5"/>
  <c r="M876" i="5"/>
  <c r="I876" i="5"/>
  <c r="F876" i="5"/>
  <c r="E876" i="5"/>
  <c r="D876" i="5"/>
  <c r="N875" i="5"/>
  <c r="M875" i="5"/>
  <c r="I875" i="5"/>
  <c r="F875" i="5"/>
  <c r="E875" i="5"/>
  <c r="D875" i="5"/>
  <c r="N874" i="5"/>
  <c r="M874" i="5"/>
  <c r="I874" i="5"/>
  <c r="F874" i="5"/>
  <c r="E874" i="5"/>
  <c r="D874" i="5"/>
  <c r="N873" i="5"/>
  <c r="M873" i="5"/>
  <c r="I873" i="5"/>
  <c r="F873" i="5"/>
  <c r="E873" i="5"/>
  <c r="D873" i="5"/>
  <c r="N872" i="5"/>
  <c r="M872" i="5"/>
  <c r="I872" i="5"/>
  <c r="F872" i="5"/>
  <c r="E872" i="5"/>
  <c r="D872" i="5"/>
  <c r="N871" i="5"/>
  <c r="M871" i="5"/>
  <c r="I871" i="5"/>
  <c r="F871" i="5"/>
  <c r="E871" i="5"/>
  <c r="D871" i="5"/>
  <c r="N870" i="5"/>
  <c r="M870" i="5"/>
  <c r="I870" i="5"/>
  <c r="F870" i="5"/>
  <c r="E870" i="5"/>
  <c r="D870" i="5"/>
  <c r="N869" i="5"/>
  <c r="M869" i="5"/>
  <c r="I869" i="5"/>
  <c r="F869" i="5"/>
  <c r="E869" i="5"/>
  <c r="D869" i="5"/>
  <c r="N868" i="5"/>
  <c r="M868" i="5"/>
  <c r="I868" i="5"/>
  <c r="F868" i="5"/>
  <c r="E868" i="5"/>
  <c r="D868" i="5"/>
  <c r="N867" i="5"/>
  <c r="M867" i="5"/>
  <c r="I867" i="5"/>
  <c r="F867" i="5"/>
  <c r="E867" i="5"/>
  <c r="D867" i="5"/>
  <c r="N866" i="5"/>
  <c r="M866" i="5"/>
  <c r="I866" i="5"/>
  <c r="F866" i="5"/>
  <c r="E866" i="5"/>
  <c r="D866" i="5"/>
  <c r="N865" i="5"/>
  <c r="M865" i="5"/>
  <c r="I865" i="5"/>
  <c r="F865" i="5"/>
  <c r="E865" i="5"/>
  <c r="D865" i="5"/>
  <c r="N864" i="5"/>
  <c r="M864" i="5"/>
  <c r="I864" i="5"/>
  <c r="F864" i="5"/>
  <c r="E864" i="5"/>
  <c r="D864" i="5"/>
  <c r="N863" i="5"/>
  <c r="M863" i="5"/>
  <c r="I863" i="5"/>
  <c r="F863" i="5"/>
  <c r="E863" i="5"/>
  <c r="D863" i="5"/>
  <c r="N862" i="5"/>
  <c r="M862" i="5"/>
  <c r="I862" i="5"/>
  <c r="F862" i="5"/>
  <c r="E862" i="5"/>
  <c r="D862" i="5"/>
  <c r="N861" i="5"/>
  <c r="M861" i="5"/>
  <c r="I861" i="5"/>
  <c r="F861" i="5"/>
  <c r="E861" i="5"/>
  <c r="D861" i="5"/>
  <c r="N860" i="5"/>
  <c r="M860" i="5"/>
  <c r="I860" i="5"/>
  <c r="F860" i="5"/>
  <c r="E860" i="5"/>
  <c r="D860" i="5"/>
  <c r="N859" i="5"/>
  <c r="M859" i="5"/>
  <c r="I859" i="5"/>
  <c r="F859" i="5"/>
  <c r="E859" i="5"/>
  <c r="D859" i="5"/>
  <c r="N858" i="5"/>
  <c r="M858" i="5"/>
  <c r="I858" i="5"/>
  <c r="F858" i="5"/>
  <c r="E858" i="5"/>
  <c r="D858" i="5"/>
  <c r="N857" i="5"/>
  <c r="M857" i="5"/>
  <c r="I857" i="5"/>
  <c r="F857" i="5"/>
  <c r="E857" i="5"/>
  <c r="D857" i="5"/>
  <c r="N856" i="5"/>
  <c r="M856" i="5"/>
  <c r="I856" i="5"/>
  <c r="F856" i="5"/>
  <c r="E856" i="5"/>
  <c r="D856" i="5"/>
  <c r="N855" i="5"/>
  <c r="M855" i="5"/>
  <c r="I855" i="5"/>
  <c r="F855" i="5"/>
  <c r="E855" i="5"/>
  <c r="D855" i="5"/>
  <c r="N854" i="5"/>
  <c r="M854" i="5"/>
  <c r="I854" i="5"/>
  <c r="F854" i="5"/>
  <c r="E854" i="5"/>
  <c r="D854" i="5"/>
  <c r="N853" i="5"/>
  <c r="M853" i="5"/>
  <c r="I853" i="5"/>
  <c r="F853" i="5"/>
  <c r="E853" i="5"/>
  <c r="D853" i="5"/>
  <c r="N852" i="5"/>
  <c r="M852" i="5"/>
  <c r="I852" i="5"/>
  <c r="F852" i="5"/>
  <c r="E852" i="5"/>
  <c r="D852" i="5"/>
  <c r="N851" i="5"/>
  <c r="M851" i="5"/>
  <c r="I851" i="5"/>
  <c r="F851" i="5"/>
  <c r="E851" i="5"/>
  <c r="D851" i="5"/>
  <c r="N850" i="5"/>
  <c r="M850" i="5"/>
  <c r="I850" i="5"/>
  <c r="F850" i="5"/>
  <c r="E850" i="5"/>
  <c r="D850" i="5"/>
  <c r="N849" i="5"/>
  <c r="M849" i="5"/>
  <c r="I849" i="5"/>
  <c r="F849" i="5"/>
  <c r="E849" i="5"/>
  <c r="D849" i="5"/>
  <c r="N848" i="5"/>
  <c r="M848" i="5"/>
  <c r="I848" i="5"/>
  <c r="F848" i="5"/>
  <c r="E848" i="5"/>
  <c r="D848" i="5"/>
  <c r="N847" i="5"/>
  <c r="M847" i="5"/>
  <c r="I847" i="5"/>
  <c r="F847" i="5"/>
  <c r="E847" i="5"/>
  <c r="D847" i="5"/>
  <c r="N846" i="5"/>
  <c r="M846" i="5"/>
  <c r="I846" i="5"/>
  <c r="F846" i="5"/>
  <c r="E846" i="5"/>
  <c r="D846" i="5"/>
  <c r="N845" i="5"/>
  <c r="M845" i="5"/>
  <c r="I845" i="5"/>
  <c r="F845" i="5"/>
  <c r="E845" i="5"/>
  <c r="D845" i="5"/>
  <c r="N844" i="5"/>
  <c r="M844" i="5"/>
  <c r="I844" i="5"/>
  <c r="C12" i="14" s="1"/>
  <c r="F844" i="5"/>
  <c r="E844" i="5"/>
  <c r="D844" i="5"/>
  <c r="N843" i="5"/>
  <c r="M843" i="5"/>
  <c r="I843" i="5"/>
  <c r="B12" i="14" s="1"/>
  <c r="F843" i="5"/>
  <c r="E843" i="5"/>
  <c r="D843" i="5"/>
  <c r="N842" i="5"/>
  <c r="M842" i="5"/>
  <c r="I842" i="5"/>
  <c r="F842" i="5"/>
  <c r="E842" i="5"/>
  <c r="D842" i="5"/>
  <c r="N841" i="5"/>
  <c r="M841" i="5"/>
  <c r="I841" i="5"/>
  <c r="F841" i="5"/>
  <c r="E841" i="5"/>
  <c r="D841" i="5"/>
  <c r="N840" i="5"/>
  <c r="M840" i="5"/>
  <c r="I840" i="5"/>
  <c r="F840" i="5"/>
  <c r="E840" i="5"/>
  <c r="D840" i="5"/>
  <c r="N839" i="5"/>
  <c r="M839" i="5"/>
  <c r="I839" i="5"/>
  <c r="F839" i="5"/>
  <c r="E839" i="5"/>
  <c r="D839" i="5"/>
  <c r="N838" i="5"/>
  <c r="M838" i="5"/>
  <c r="I838" i="5"/>
  <c r="I23" i="9" s="1"/>
  <c r="F838" i="5"/>
  <c r="E838" i="5"/>
  <c r="D838" i="5"/>
  <c r="N837" i="5"/>
  <c r="M837" i="5"/>
  <c r="I837" i="5"/>
  <c r="F837" i="5"/>
  <c r="E837" i="5"/>
  <c r="D837" i="5"/>
  <c r="N836" i="5"/>
  <c r="M836" i="5"/>
  <c r="I836" i="5"/>
  <c r="I16" i="9" s="1"/>
  <c r="F836" i="5"/>
  <c r="E836" i="5"/>
  <c r="D836" i="5"/>
  <c r="N835" i="5"/>
  <c r="M835" i="5"/>
  <c r="I835" i="5"/>
  <c r="F835" i="5"/>
  <c r="E835" i="5"/>
  <c r="D835" i="5"/>
  <c r="N834" i="5"/>
  <c r="M834" i="5"/>
  <c r="I834" i="5"/>
  <c r="I15" i="9" s="1"/>
  <c r="F834" i="5"/>
  <c r="E834" i="5"/>
  <c r="D834" i="5"/>
  <c r="N833" i="5"/>
  <c r="M833" i="5"/>
  <c r="I833" i="5"/>
  <c r="F833" i="5"/>
  <c r="E833" i="5"/>
  <c r="D833" i="5"/>
  <c r="N832" i="5"/>
  <c r="M832" i="5"/>
  <c r="I832" i="5"/>
  <c r="F832" i="5"/>
  <c r="E832" i="5"/>
  <c r="D832" i="5"/>
  <c r="N831" i="5"/>
  <c r="M831" i="5"/>
  <c r="I831" i="5"/>
  <c r="F831" i="5"/>
  <c r="E831" i="5"/>
  <c r="D831" i="5"/>
  <c r="N830" i="5"/>
  <c r="M830" i="5"/>
  <c r="I830" i="5"/>
  <c r="F830" i="5"/>
  <c r="E830" i="5"/>
  <c r="D830" i="5"/>
  <c r="N829" i="5"/>
  <c r="M829" i="5"/>
  <c r="I829" i="5"/>
  <c r="F829" i="5"/>
  <c r="E829" i="5"/>
  <c r="D829" i="5"/>
  <c r="N828" i="5"/>
  <c r="M828" i="5"/>
  <c r="I828" i="5"/>
  <c r="I11" i="9" s="1"/>
  <c r="F828" i="5"/>
  <c r="E828" i="5"/>
  <c r="D828" i="5"/>
  <c r="N827" i="5"/>
  <c r="M827" i="5"/>
  <c r="I827" i="5"/>
  <c r="F827" i="5"/>
  <c r="E827" i="5"/>
  <c r="D827" i="5"/>
  <c r="N826" i="5"/>
  <c r="M826" i="5"/>
  <c r="I826" i="5"/>
  <c r="I10" i="9" s="1"/>
  <c r="F826" i="5"/>
  <c r="E826" i="5"/>
  <c r="D826" i="5"/>
  <c r="N825" i="5"/>
  <c r="M825" i="5"/>
  <c r="I825" i="5"/>
  <c r="F825" i="5"/>
  <c r="E825" i="5"/>
  <c r="D825" i="5"/>
  <c r="N824" i="5"/>
  <c r="M824" i="5"/>
  <c r="I824" i="5"/>
  <c r="F824" i="5"/>
  <c r="E824" i="5"/>
  <c r="D824" i="5"/>
  <c r="N823" i="5"/>
  <c r="M823" i="5"/>
  <c r="I823" i="5"/>
  <c r="F823" i="5"/>
  <c r="E823" i="5"/>
  <c r="D823" i="5"/>
  <c r="N822" i="5"/>
  <c r="M822" i="5"/>
  <c r="I822" i="5"/>
  <c r="F822" i="5"/>
  <c r="E822" i="5"/>
  <c r="D822" i="5"/>
  <c r="N821" i="5"/>
  <c r="M821" i="5"/>
  <c r="I821" i="5"/>
  <c r="I9" i="9" s="1"/>
  <c r="F821" i="5"/>
  <c r="E821" i="5"/>
  <c r="D821" i="5"/>
  <c r="N820" i="5"/>
  <c r="M820" i="5"/>
  <c r="I820" i="5"/>
  <c r="I8" i="9" s="1"/>
  <c r="F820" i="5"/>
  <c r="E820" i="5"/>
  <c r="D820" i="5"/>
  <c r="N819" i="5"/>
  <c r="M819" i="5"/>
  <c r="I819" i="5"/>
  <c r="F819" i="5"/>
  <c r="E819" i="5"/>
  <c r="D819" i="5"/>
  <c r="N818" i="5"/>
  <c r="M818" i="5"/>
  <c r="I818" i="5"/>
  <c r="F818" i="5"/>
  <c r="E818" i="5"/>
  <c r="D818" i="5"/>
  <c r="N817" i="5"/>
  <c r="M817" i="5"/>
  <c r="I817" i="5"/>
  <c r="F817" i="5"/>
  <c r="E817" i="5"/>
  <c r="D817" i="5"/>
  <c r="N816" i="5"/>
  <c r="M816" i="5"/>
  <c r="I816" i="5"/>
  <c r="F816" i="5"/>
  <c r="E816" i="5"/>
  <c r="D816" i="5"/>
  <c r="N815" i="5"/>
  <c r="M815" i="5"/>
  <c r="I815" i="5"/>
  <c r="F815" i="5"/>
  <c r="E815" i="5"/>
  <c r="D815" i="5"/>
  <c r="N814" i="5"/>
  <c r="M814" i="5"/>
  <c r="I814" i="5"/>
  <c r="F814" i="5"/>
  <c r="E814" i="5"/>
  <c r="D814" i="5"/>
  <c r="N813" i="5"/>
  <c r="M813" i="5"/>
  <c r="I813" i="5"/>
  <c r="F813" i="5"/>
  <c r="E813" i="5"/>
  <c r="D813" i="5"/>
  <c r="N812" i="5"/>
  <c r="M812" i="5"/>
  <c r="I812" i="5"/>
  <c r="F812" i="5"/>
  <c r="E812" i="5"/>
  <c r="D812" i="5"/>
  <c r="N811" i="5"/>
  <c r="M811" i="5"/>
  <c r="I811" i="5"/>
  <c r="F811" i="5"/>
  <c r="E811" i="5"/>
  <c r="D811" i="5"/>
  <c r="N810" i="5"/>
  <c r="M810" i="5"/>
  <c r="I810" i="5"/>
  <c r="F810" i="5"/>
  <c r="E810" i="5"/>
  <c r="D810" i="5"/>
  <c r="N809" i="5"/>
  <c r="M809" i="5"/>
  <c r="I809" i="5"/>
  <c r="F809" i="5"/>
  <c r="E809" i="5"/>
  <c r="D809" i="5"/>
  <c r="N808" i="5"/>
  <c r="M808" i="5"/>
  <c r="I808" i="5"/>
  <c r="F808" i="5"/>
  <c r="E808" i="5"/>
  <c r="D808" i="5"/>
  <c r="N807" i="5"/>
  <c r="M807" i="5"/>
  <c r="I807" i="5"/>
  <c r="F807" i="5"/>
  <c r="E807" i="5"/>
  <c r="D807" i="5"/>
  <c r="N806" i="5"/>
  <c r="M806" i="5"/>
  <c r="I806" i="5"/>
  <c r="F806" i="5"/>
  <c r="E806" i="5"/>
  <c r="D806" i="5"/>
  <c r="N805" i="5"/>
  <c r="M805" i="5"/>
  <c r="I805" i="5"/>
  <c r="F805" i="5"/>
  <c r="E805" i="5"/>
  <c r="D805" i="5"/>
  <c r="N804" i="5"/>
  <c r="M804" i="5"/>
  <c r="I804" i="5"/>
  <c r="F804" i="5"/>
  <c r="E804" i="5"/>
  <c r="D804" i="5"/>
  <c r="N803" i="5"/>
  <c r="M803" i="5"/>
  <c r="I803" i="5"/>
  <c r="F803" i="5"/>
  <c r="E803" i="5"/>
  <c r="D803" i="5"/>
  <c r="N802" i="5"/>
  <c r="M802" i="5"/>
  <c r="I802" i="5"/>
  <c r="F802" i="5"/>
  <c r="E802" i="5"/>
  <c r="D802" i="5"/>
  <c r="N801" i="5"/>
  <c r="M801" i="5"/>
  <c r="I801" i="5"/>
  <c r="F801" i="5"/>
  <c r="E801" i="5"/>
  <c r="D801" i="5"/>
  <c r="N800" i="5"/>
  <c r="M800" i="5"/>
  <c r="I800" i="5"/>
  <c r="F800" i="5"/>
  <c r="E800" i="5"/>
  <c r="D800" i="5"/>
  <c r="N799" i="5"/>
  <c r="M799" i="5"/>
  <c r="I799" i="5"/>
  <c r="F799" i="5"/>
  <c r="E799" i="5"/>
  <c r="D799" i="5"/>
  <c r="N798" i="5"/>
  <c r="M798" i="5"/>
  <c r="I798" i="5"/>
  <c r="F798" i="5"/>
  <c r="E798" i="5"/>
  <c r="D798" i="5"/>
  <c r="N797" i="5"/>
  <c r="M797" i="5"/>
  <c r="I797" i="5"/>
  <c r="F797" i="5"/>
  <c r="E797" i="5"/>
  <c r="D797" i="5"/>
  <c r="N796" i="5"/>
  <c r="M796" i="5"/>
  <c r="I796" i="5"/>
  <c r="F796" i="5"/>
  <c r="E796" i="5"/>
  <c r="D796" i="5"/>
  <c r="N795" i="5"/>
  <c r="M795" i="5"/>
  <c r="I795" i="5"/>
  <c r="F795" i="5"/>
  <c r="E795" i="5"/>
  <c r="D795" i="5"/>
  <c r="N794" i="5"/>
  <c r="M794" i="5"/>
  <c r="I794" i="5"/>
  <c r="F794" i="5"/>
  <c r="E794" i="5"/>
  <c r="D794" i="5"/>
  <c r="N793" i="5"/>
  <c r="M793" i="5"/>
  <c r="I793" i="5"/>
  <c r="F793" i="5"/>
  <c r="E793" i="5"/>
  <c r="D793" i="5"/>
  <c r="N792" i="5"/>
  <c r="M792" i="5"/>
  <c r="I792" i="5"/>
  <c r="F792" i="5"/>
  <c r="E792" i="5"/>
  <c r="D792" i="5"/>
  <c r="N791" i="5"/>
  <c r="M791" i="5"/>
  <c r="I791" i="5"/>
  <c r="F791" i="5"/>
  <c r="E791" i="5"/>
  <c r="D791" i="5"/>
  <c r="N790" i="5"/>
  <c r="M790" i="5"/>
  <c r="I790" i="5"/>
  <c r="F790" i="5"/>
  <c r="E790" i="5"/>
  <c r="D790" i="5"/>
  <c r="N789" i="5"/>
  <c r="M789" i="5"/>
  <c r="I789" i="5"/>
  <c r="F789" i="5"/>
  <c r="E789" i="5"/>
  <c r="D789" i="5"/>
  <c r="N788" i="5"/>
  <c r="M788" i="5"/>
  <c r="I788" i="5"/>
  <c r="F788" i="5"/>
  <c r="E788" i="5"/>
  <c r="D788" i="5"/>
  <c r="N787" i="5"/>
  <c r="M787" i="5"/>
  <c r="I787" i="5"/>
  <c r="F787" i="5"/>
  <c r="E787" i="5"/>
  <c r="D787" i="5"/>
  <c r="N786" i="5"/>
  <c r="M786" i="5"/>
  <c r="I786" i="5"/>
  <c r="F786" i="5"/>
  <c r="E786" i="5"/>
  <c r="D786" i="5"/>
  <c r="N785" i="5"/>
  <c r="M785" i="5"/>
  <c r="I785" i="5"/>
  <c r="F785" i="5"/>
  <c r="E785" i="5"/>
  <c r="D785" i="5"/>
  <c r="N784" i="5"/>
  <c r="M784" i="5"/>
  <c r="I784" i="5"/>
  <c r="F784" i="5"/>
  <c r="E784" i="5"/>
  <c r="D784" i="5"/>
  <c r="N783" i="5"/>
  <c r="M783" i="5"/>
  <c r="I783" i="5"/>
  <c r="F783" i="5"/>
  <c r="E783" i="5"/>
  <c r="D783" i="5"/>
  <c r="N782" i="5"/>
  <c r="M782" i="5"/>
  <c r="I782" i="5"/>
  <c r="F782" i="5"/>
  <c r="E782" i="5"/>
  <c r="D782" i="5"/>
  <c r="N781" i="5"/>
  <c r="M781" i="5"/>
  <c r="I781" i="5"/>
  <c r="F781" i="5"/>
  <c r="E781" i="5"/>
  <c r="D781" i="5"/>
  <c r="N780" i="5"/>
  <c r="M780" i="5"/>
  <c r="I780" i="5"/>
  <c r="F780" i="5"/>
  <c r="E780" i="5"/>
  <c r="D780" i="5"/>
  <c r="N779" i="5"/>
  <c r="M779" i="5"/>
  <c r="I779" i="5"/>
  <c r="F779" i="5"/>
  <c r="E779" i="5"/>
  <c r="D779" i="5"/>
  <c r="N778" i="5"/>
  <c r="M778" i="5"/>
  <c r="I778" i="5"/>
  <c r="F778" i="5"/>
  <c r="E778" i="5"/>
  <c r="D778" i="5"/>
  <c r="N777" i="5"/>
  <c r="M777" i="5"/>
  <c r="I777" i="5"/>
  <c r="F777" i="5"/>
  <c r="E777" i="5"/>
  <c r="D777" i="5"/>
  <c r="N776" i="5"/>
  <c r="M776" i="5"/>
  <c r="I776" i="5"/>
  <c r="F776" i="5"/>
  <c r="E776" i="5"/>
  <c r="D776" i="5"/>
  <c r="N775" i="5"/>
  <c r="M775" i="5"/>
  <c r="I775" i="5"/>
  <c r="F775" i="5"/>
  <c r="E775" i="5"/>
  <c r="D775" i="5"/>
  <c r="N774" i="5"/>
  <c r="M774" i="5"/>
  <c r="I774" i="5"/>
  <c r="F774" i="5"/>
  <c r="E774" i="5"/>
  <c r="D774" i="5"/>
  <c r="N773" i="5"/>
  <c r="M773" i="5"/>
  <c r="I773" i="5"/>
  <c r="F773" i="5"/>
  <c r="E773" i="5"/>
  <c r="D773" i="5"/>
  <c r="N772" i="5"/>
  <c r="M772" i="5"/>
  <c r="I772" i="5"/>
  <c r="F772" i="5"/>
  <c r="E772" i="5"/>
  <c r="D772" i="5"/>
  <c r="N771" i="5"/>
  <c r="M771" i="5"/>
  <c r="I771" i="5"/>
  <c r="F771" i="5"/>
  <c r="E771" i="5"/>
  <c r="D771" i="5"/>
  <c r="N770" i="5"/>
  <c r="M770" i="5"/>
  <c r="I770" i="5"/>
  <c r="F770" i="5"/>
  <c r="E770" i="5"/>
  <c r="D770" i="5"/>
  <c r="N769" i="5"/>
  <c r="M769" i="5"/>
  <c r="I769" i="5"/>
  <c r="F769" i="5"/>
  <c r="E769" i="5"/>
  <c r="D769" i="5"/>
  <c r="N768" i="5"/>
  <c r="M768" i="5"/>
  <c r="I768" i="5"/>
  <c r="F768" i="5"/>
  <c r="E768" i="5"/>
  <c r="D768" i="5"/>
  <c r="N767" i="5"/>
  <c r="M767" i="5"/>
  <c r="I767" i="5"/>
  <c r="F767" i="5"/>
  <c r="E767" i="5"/>
  <c r="D767" i="5"/>
  <c r="N766" i="5"/>
  <c r="M766" i="5"/>
  <c r="I766" i="5"/>
  <c r="F766" i="5"/>
  <c r="E766" i="5"/>
  <c r="D766" i="5"/>
  <c r="N765" i="5"/>
  <c r="M765" i="5"/>
  <c r="I765" i="5"/>
  <c r="F765" i="5"/>
  <c r="E765" i="5"/>
  <c r="D765" i="5"/>
  <c r="N764" i="5"/>
  <c r="M764" i="5"/>
  <c r="I764" i="5"/>
  <c r="F764" i="5"/>
  <c r="E764" i="5"/>
  <c r="D764" i="5"/>
  <c r="N763" i="5"/>
  <c r="M763" i="5"/>
  <c r="I763" i="5"/>
  <c r="F763" i="5"/>
  <c r="E763" i="5"/>
  <c r="D763" i="5"/>
  <c r="N762" i="5"/>
  <c r="M762" i="5"/>
  <c r="I762" i="5"/>
  <c r="F762" i="5"/>
  <c r="E762" i="5"/>
  <c r="D762" i="5"/>
  <c r="N761" i="5"/>
  <c r="M761" i="5"/>
  <c r="I761" i="5"/>
  <c r="F761" i="5"/>
  <c r="E761" i="5"/>
  <c r="D761" i="5"/>
  <c r="N760" i="5"/>
  <c r="M760" i="5"/>
  <c r="I760" i="5"/>
  <c r="F760" i="5"/>
  <c r="E760" i="5"/>
  <c r="D760" i="5"/>
  <c r="N759" i="5"/>
  <c r="M759" i="5"/>
  <c r="I759" i="5"/>
  <c r="F759" i="5"/>
  <c r="E759" i="5"/>
  <c r="D759" i="5"/>
  <c r="N758" i="5"/>
  <c r="M758" i="5"/>
  <c r="I758" i="5"/>
  <c r="F758" i="5"/>
  <c r="E758" i="5"/>
  <c r="D758" i="5"/>
  <c r="N757" i="5"/>
  <c r="M757" i="5"/>
  <c r="I757" i="5"/>
  <c r="F757" i="5"/>
  <c r="E757" i="5"/>
  <c r="D757" i="5"/>
  <c r="N756" i="5"/>
  <c r="M756" i="5"/>
  <c r="I756" i="5"/>
  <c r="F756" i="5"/>
  <c r="E756" i="5"/>
  <c r="D756" i="5"/>
  <c r="N755" i="5"/>
  <c r="M755" i="5"/>
  <c r="I755" i="5"/>
  <c r="F755" i="5"/>
  <c r="E755" i="5"/>
  <c r="D755" i="5"/>
  <c r="N754" i="5"/>
  <c r="M754" i="5"/>
  <c r="I754" i="5"/>
  <c r="F754" i="5"/>
  <c r="E754" i="5"/>
  <c r="D754" i="5"/>
  <c r="N753" i="5"/>
  <c r="M753" i="5"/>
  <c r="I753" i="5"/>
  <c r="F753" i="5"/>
  <c r="E753" i="5"/>
  <c r="D753" i="5"/>
  <c r="N752" i="5"/>
  <c r="M752" i="5"/>
  <c r="I752" i="5"/>
  <c r="F752" i="5"/>
  <c r="E752" i="5"/>
  <c r="D752" i="5"/>
  <c r="N751" i="5"/>
  <c r="M751" i="5"/>
  <c r="I751" i="5"/>
  <c r="F751" i="5"/>
  <c r="E751" i="5"/>
  <c r="D751" i="5"/>
  <c r="N750" i="5"/>
  <c r="M750" i="5"/>
  <c r="I750" i="5"/>
  <c r="F750" i="5"/>
  <c r="E750" i="5"/>
  <c r="D750" i="5"/>
  <c r="N749" i="5"/>
  <c r="M749" i="5"/>
  <c r="I749" i="5"/>
  <c r="F749" i="5"/>
  <c r="E749" i="5"/>
  <c r="D749" i="5"/>
  <c r="N748" i="5"/>
  <c r="M748" i="5"/>
  <c r="I748" i="5"/>
  <c r="F748" i="5"/>
  <c r="E748" i="5"/>
  <c r="D748" i="5"/>
  <c r="N747" i="5"/>
  <c r="M747" i="5"/>
  <c r="I747" i="5"/>
  <c r="F747" i="5"/>
  <c r="E747" i="5"/>
  <c r="D747" i="5"/>
  <c r="N746" i="5"/>
  <c r="M746" i="5"/>
  <c r="I746" i="5"/>
  <c r="F746" i="5"/>
  <c r="E746" i="5"/>
  <c r="D746" i="5"/>
  <c r="N745" i="5"/>
  <c r="M745" i="5"/>
  <c r="I745" i="5"/>
  <c r="F745" i="5"/>
  <c r="E745" i="5"/>
  <c r="D745" i="5"/>
  <c r="N744" i="5"/>
  <c r="M744" i="5"/>
  <c r="I744" i="5"/>
  <c r="F744" i="5"/>
  <c r="E744" i="5"/>
  <c r="D744" i="5"/>
  <c r="N743" i="5"/>
  <c r="M743" i="5"/>
  <c r="I743" i="5"/>
  <c r="F743" i="5"/>
  <c r="E743" i="5"/>
  <c r="D743" i="5"/>
  <c r="N742" i="5"/>
  <c r="M742" i="5"/>
  <c r="I742" i="5"/>
  <c r="F742" i="5"/>
  <c r="E742" i="5"/>
  <c r="D742" i="5"/>
  <c r="N741" i="5"/>
  <c r="M741" i="5"/>
  <c r="I741" i="5"/>
  <c r="F741" i="5"/>
  <c r="E741" i="5"/>
  <c r="D741" i="5"/>
  <c r="N740" i="5"/>
  <c r="M740" i="5"/>
  <c r="I740" i="5"/>
  <c r="C11" i="14" s="1"/>
  <c r="F740" i="5"/>
  <c r="E740" i="5"/>
  <c r="D740" i="5"/>
  <c r="N739" i="5"/>
  <c r="M739" i="5"/>
  <c r="I739" i="5"/>
  <c r="B11" i="14" s="1"/>
  <c r="F739" i="5"/>
  <c r="E739" i="5"/>
  <c r="D739" i="5"/>
  <c r="N738" i="5"/>
  <c r="M738" i="5"/>
  <c r="I738" i="5"/>
  <c r="F738" i="5"/>
  <c r="E738" i="5"/>
  <c r="D738" i="5"/>
  <c r="N737" i="5"/>
  <c r="M737" i="5"/>
  <c r="I737" i="5"/>
  <c r="F737" i="5"/>
  <c r="E737" i="5"/>
  <c r="D737" i="5"/>
  <c r="N736" i="5"/>
  <c r="M736" i="5"/>
  <c r="I736" i="5"/>
  <c r="F736" i="5"/>
  <c r="E736" i="5"/>
  <c r="D736" i="5"/>
  <c r="N735" i="5"/>
  <c r="M735" i="5"/>
  <c r="I735" i="5"/>
  <c r="F735" i="5"/>
  <c r="E735" i="5"/>
  <c r="D735" i="5"/>
  <c r="N734" i="5"/>
  <c r="M734" i="5"/>
  <c r="I734" i="5"/>
  <c r="H20" i="9" s="1"/>
  <c r="F734" i="5"/>
  <c r="E734" i="5"/>
  <c r="D734" i="5"/>
  <c r="N733" i="5"/>
  <c r="M733" i="5"/>
  <c r="I733" i="5"/>
  <c r="F733" i="5"/>
  <c r="E733" i="5"/>
  <c r="D733" i="5"/>
  <c r="N732" i="5"/>
  <c r="M732" i="5"/>
  <c r="I732" i="5"/>
  <c r="H23" i="9" s="1"/>
  <c r="F732" i="5"/>
  <c r="E732" i="5"/>
  <c r="D732" i="5"/>
  <c r="N731" i="5"/>
  <c r="M731" i="5"/>
  <c r="I731" i="5"/>
  <c r="F731" i="5"/>
  <c r="E731" i="5"/>
  <c r="D731" i="5"/>
  <c r="N730" i="5"/>
  <c r="M730" i="5"/>
  <c r="I730" i="5"/>
  <c r="H16" i="9" s="1"/>
  <c r="F730" i="5"/>
  <c r="E730" i="5"/>
  <c r="D730" i="5"/>
  <c r="N729" i="5"/>
  <c r="M729" i="5"/>
  <c r="I729" i="5"/>
  <c r="F729" i="5"/>
  <c r="E729" i="5"/>
  <c r="D729" i="5"/>
  <c r="N728" i="5"/>
  <c r="M728" i="5"/>
  <c r="I728" i="5"/>
  <c r="H15" i="9" s="1"/>
  <c r="F728" i="5"/>
  <c r="E728" i="5"/>
  <c r="D728" i="5"/>
  <c r="N727" i="5"/>
  <c r="M727" i="5"/>
  <c r="I727" i="5"/>
  <c r="F727" i="5"/>
  <c r="E727" i="5"/>
  <c r="D727" i="5"/>
  <c r="N726" i="5"/>
  <c r="M726" i="5"/>
  <c r="I726" i="5"/>
  <c r="H13" i="9" s="1"/>
  <c r="F726" i="5"/>
  <c r="E726" i="5"/>
  <c r="D726" i="5"/>
  <c r="N725" i="5"/>
  <c r="M725" i="5"/>
  <c r="I725" i="5"/>
  <c r="F725" i="5"/>
  <c r="E725" i="5"/>
  <c r="D725" i="5"/>
  <c r="N724" i="5"/>
  <c r="M724" i="5"/>
  <c r="I724" i="5"/>
  <c r="H12" i="9" s="1"/>
  <c r="F724" i="5"/>
  <c r="E724" i="5"/>
  <c r="D724" i="5"/>
  <c r="N723" i="5"/>
  <c r="M723" i="5"/>
  <c r="I723" i="5"/>
  <c r="F723" i="5"/>
  <c r="E723" i="5"/>
  <c r="D723" i="5"/>
  <c r="N722" i="5"/>
  <c r="M722" i="5"/>
  <c r="I722" i="5"/>
  <c r="H11" i="9" s="1"/>
  <c r="F722" i="5"/>
  <c r="E722" i="5"/>
  <c r="D722" i="5"/>
  <c r="N721" i="5"/>
  <c r="M721" i="5"/>
  <c r="I721" i="5"/>
  <c r="F721" i="5"/>
  <c r="E721" i="5"/>
  <c r="D721" i="5"/>
  <c r="N720" i="5"/>
  <c r="M720" i="5"/>
  <c r="I720" i="5"/>
  <c r="H10" i="9" s="1"/>
  <c r="F720" i="5"/>
  <c r="E720" i="5"/>
  <c r="D720" i="5"/>
  <c r="N719" i="5"/>
  <c r="M719" i="5"/>
  <c r="I719" i="5"/>
  <c r="F719" i="5"/>
  <c r="E719" i="5"/>
  <c r="D719" i="5"/>
  <c r="N718" i="5"/>
  <c r="M718" i="5"/>
  <c r="I718" i="5"/>
  <c r="F718" i="5"/>
  <c r="E718" i="5"/>
  <c r="D718" i="5"/>
  <c r="N717" i="5"/>
  <c r="M717" i="5"/>
  <c r="I717" i="5"/>
  <c r="F717" i="5"/>
  <c r="E717" i="5"/>
  <c r="D717" i="5"/>
  <c r="N716" i="5"/>
  <c r="M716" i="5"/>
  <c r="I716" i="5"/>
  <c r="F716" i="5"/>
  <c r="E716" i="5"/>
  <c r="D716" i="5"/>
  <c r="N715" i="5"/>
  <c r="M715" i="5"/>
  <c r="I715" i="5"/>
  <c r="H9" i="9" s="1"/>
  <c r="F715" i="5"/>
  <c r="E715" i="5"/>
  <c r="D715" i="5"/>
  <c r="N714" i="5"/>
  <c r="M714" i="5"/>
  <c r="I714" i="5"/>
  <c r="H8" i="9" s="1"/>
  <c r="F714" i="5"/>
  <c r="E714" i="5"/>
  <c r="D714" i="5"/>
  <c r="N713" i="5"/>
  <c r="M713" i="5"/>
  <c r="I713" i="5"/>
  <c r="F713" i="5"/>
  <c r="E713" i="5"/>
  <c r="D713" i="5"/>
  <c r="N712" i="5"/>
  <c r="M712" i="5"/>
  <c r="I712" i="5"/>
  <c r="F712" i="5"/>
  <c r="E712" i="5"/>
  <c r="D712" i="5"/>
  <c r="N711" i="5"/>
  <c r="M711" i="5"/>
  <c r="I711" i="5"/>
  <c r="F711" i="5"/>
  <c r="E711" i="5"/>
  <c r="D711" i="5"/>
  <c r="N710" i="5"/>
  <c r="M710" i="5"/>
  <c r="I710" i="5"/>
  <c r="F710" i="5"/>
  <c r="E710" i="5"/>
  <c r="D710" i="5"/>
  <c r="N709" i="5"/>
  <c r="M709" i="5"/>
  <c r="I709" i="5"/>
  <c r="F709" i="5"/>
  <c r="E709" i="5"/>
  <c r="D709" i="5"/>
  <c r="N708" i="5"/>
  <c r="M708" i="5"/>
  <c r="I708" i="5"/>
  <c r="F708" i="5"/>
  <c r="E708" i="5"/>
  <c r="D708" i="5"/>
  <c r="N707" i="5"/>
  <c r="M707" i="5"/>
  <c r="I707" i="5"/>
  <c r="F707" i="5"/>
  <c r="E707" i="5"/>
  <c r="D707" i="5"/>
  <c r="N706" i="5"/>
  <c r="M706" i="5"/>
  <c r="I706" i="5"/>
  <c r="F706" i="5"/>
  <c r="E706" i="5"/>
  <c r="D706" i="5"/>
  <c r="N705" i="5"/>
  <c r="M705" i="5"/>
  <c r="I705" i="5"/>
  <c r="F705" i="5"/>
  <c r="E705" i="5"/>
  <c r="D705" i="5"/>
  <c r="N704" i="5"/>
  <c r="M704" i="5"/>
  <c r="I704" i="5"/>
  <c r="F704" i="5"/>
  <c r="E704" i="5"/>
  <c r="D704" i="5"/>
  <c r="N703" i="5"/>
  <c r="M703" i="5"/>
  <c r="I703" i="5"/>
  <c r="F703" i="5"/>
  <c r="E703" i="5"/>
  <c r="D703" i="5"/>
  <c r="N702" i="5"/>
  <c r="M702" i="5"/>
  <c r="I702" i="5"/>
  <c r="F702" i="5"/>
  <c r="E702" i="5"/>
  <c r="D702" i="5"/>
  <c r="N701" i="5"/>
  <c r="M701" i="5"/>
  <c r="I701" i="5"/>
  <c r="F701" i="5"/>
  <c r="E701" i="5"/>
  <c r="D701" i="5"/>
  <c r="N700" i="5"/>
  <c r="M700" i="5"/>
  <c r="I700" i="5"/>
  <c r="F700" i="5"/>
  <c r="E700" i="5"/>
  <c r="D700" i="5"/>
  <c r="N699" i="5"/>
  <c r="M699" i="5"/>
  <c r="I699" i="5"/>
  <c r="F699" i="5"/>
  <c r="E699" i="5"/>
  <c r="D699" i="5"/>
  <c r="N698" i="5"/>
  <c r="M698" i="5"/>
  <c r="I698" i="5"/>
  <c r="F698" i="5"/>
  <c r="E698" i="5"/>
  <c r="D698" i="5"/>
  <c r="N697" i="5"/>
  <c r="M697" i="5"/>
  <c r="I697" i="5"/>
  <c r="F697" i="5"/>
  <c r="E697" i="5"/>
  <c r="D697" i="5"/>
  <c r="N696" i="5"/>
  <c r="M696" i="5"/>
  <c r="I696" i="5"/>
  <c r="F696" i="5"/>
  <c r="E696" i="5"/>
  <c r="D696" i="5"/>
  <c r="N695" i="5"/>
  <c r="M695" i="5"/>
  <c r="I695" i="5"/>
  <c r="F695" i="5"/>
  <c r="E695" i="5"/>
  <c r="D695" i="5"/>
  <c r="N694" i="5"/>
  <c r="M694" i="5"/>
  <c r="I694" i="5"/>
  <c r="F694" i="5"/>
  <c r="E694" i="5"/>
  <c r="D694" i="5"/>
  <c r="N693" i="5"/>
  <c r="M693" i="5"/>
  <c r="I693" i="5"/>
  <c r="F693" i="5"/>
  <c r="E693" i="5"/>
  <c r="D693" i="5"/>
  <c r="N692" i="5"/>
  <c r="M692" i="5"/>
  <c r="I692" i="5"/>
  <c r="F692" i="5"/>
  <c r="E692" i="5"/>
  <c r="D692" i="5"/>
  <c r="N691" i="5"/>
  <c r="M691" i="5"/>
  <c r="I691" i="5"/>
  <c r="F691" i="5"/>
  <c r="E691" i="5"/>
  <c r="D691" i="5"/>
  <c r="N690" i="5"/>
  <c r="M690" i="5"/>
  <c r="I690" i="5"/>
  <c r="F690" i="5"/>
  <c r="E690" i="5"/>
  <c r="D690" i="5"/>
  <c r="N689" i="5"/>
  <c r="M689" i="5"/>
  <c r="I689" i="5"/>
  <c r="F689" i="5"/>
  <c r="E689" i="5"/>
  <c r="D689" i="5"/>
  <c r="N688" i="5"/>
  <c r="M688" i="5"/>
  <c r="I688" i="5"/>
  <c r="F688" i="5"/>
  <c r="E688" i="5"/>
  <c r="D688" i="5"/>
  <c r="N687" i="5"/>
  <c r="M687" i="5"/>
  <c r="I687" i="5"/>
  <c r="F687" i="5"/>
  <c r="E687" i="5"/>
  <c r="D687" i="5"/>
  <c r="N686" i="5"/>
  <c r="M686" i="5"/>
  <c r="I686" i="5"/>
  <c r="F686" i="5"/>
  <c r="E686" i="5"/>
  <c r="D686" i="5"/>
  <c r="N685" i="5"/>
  <c r="M685" i="5"/>
  <c r="I685" i="5"/>
  <c r="F685" i="5"/>
  <c r="E685" i="5"/>
  <c r="D685" i="5"/>
  <c r="N684" i="5"/>
  <c r="M684" i="5"/>
  <c r="I684" i="5"/>
  <c r="F684" i="5"/>
  <c r="E684" i="5"/>
  <c r="D684" i="5"/>
  <c r="N683" i="5"/>
  <c r="M683" i="5"/>
  <c r="I683" i="5"/>
  <c r="F683" i="5"/>
  <c r="E683" i="5"/>
  <c r="D683" i="5"/>
  <c r="N682" i="5"/>
  <c r="M682" i="5"/>
  <c r="I682" i="5"/>
  <c r="F682" i="5"/>
  <c r="E682" i="5"/>
  <c r="D682" i="5"/>
  <c r="N681" i="5"/>
  <c r="M681" i="5"/>
  <c r="I681" i="5"/>
  <c r="F681" i="5"/>
  <c r="E681" i="5"/>
  <c r="D681" i="5"/>
  <c r="N680" i="5"/>
  <c r="M680" i="5"/>
  <c r="I680" i="5"/>
  <c r="F680" i="5"/>
  <c r="E680" i="5"/>
  <c r="D680" i="5"/>
  <c r="N679" i="5"/>
  <c r="M679" i="5"/>
  <c r="I679" i="5"/>
  <c r="F679" i="5"/>
  <c r="E679" i="5"/>
  <c r="D679" i="5"/>
  <c r="N678" i="5"/>
  <c r="M678" i="5"/>
  <c r="I678" i="5"/>
  <c r="F678" i="5"/>
  <c r="E678" i="5"/>
  <c r="D678" i="5"/>
  <c r="N677" i="5"/>
  <c r="M677" i="5"/>
  <c r="I677" i="5"/>
  <c r="F677" i="5"/>
  <c r="E677" i="5"/>
  <c r="D677" i="5"/>
  <c r="N676" i="5"/>
  <c r="M676" i="5"/>
  <c r="I676" i="5"/>
  <c r="F676" i="5"/>
  <c r="E676" i="5"/>
  <c r="D676" i="5"/>
  <c r="N675" i="5"/>
  <c r="M675" i="5"/>
  <c r="I675" i="5"/>
  <c r="F675" i="5"/>
  <c r="E675" i="5"/>
  <c r="D675" i="5"/>
  <c r="N674" i="5"/>
  <c r="M674" i="5"/>
  <c r="I674" i="5"/>
  <c r="F674" i="5"/>
  <c r="E674" i="5"/>
  <c r="D674" i="5"/>
  <c r="N673" i="5"/>
  <c r="M673" i="5"/>
  <c r="I673" i="5"/>
  <c r="F673" i="5"/>
  <c r="E673" i="5"/>
  <c r="D673" i="5"/>
  <c r="N672" i="5"/>
  <c r="M672" i="5"/>
  <c r="I672" i="5"/>
  <c r="F672" i="5"/>
  <c r="E672" i="5"/>
  <c r="D672" i="5"/>
  <c r="N671" i="5"/>
  <c r="M671" i="5"/>
  <c r="I671" i="5"/>
  <c r="F671" i="5"/>
  <c r="E671" i="5"/>
  <c r="D671" i="5"/>
  <c r="N670" i="5"/>
  <c r="M670" i="5"/>
  <c r="I670" i="5"/>
  <c r="F670" i="5"/>
  <c r="E670" i="5"/>
  <c r="D670" i="5"/>
  <c r="N669" i="5"/>
  <c r="M669" i="5"/>
  <c r="I669" i="5"/>
  <c r="F669" i="5"/>
  <c r="E669" i="5"/>
  <c r="D669" i="5"/>
  <c r="N668" i="5"/>
  <c r="M668" i="5"/>
  <c r="I668" i="5"/>
  <c r="F668" i="5"/>
  <c r="E668" i="5"/>
  <c r="D668" i="5"/>
  <c r="N667" i="5"/>
  <c r="M667" i="5"/>
  <c r="I667" i="5"/>
  <c r="F667" i="5"/>
  <c r="E667" i="5"/>
  <c r="D667" i="5"/>
  <c r="N666" i="5"/>
  <c r="M666" i="5"/>
  <c r="I666" i="5"/>
  <c r="F666" i="5"/>
  <c r="E666" i="5"/>
  <c r="D666" i="5"/>
  <c r="N665" i="5"/>
  <c r="M665" i="5"/>
  <c r="I665" i="5"/>
  <c r="F665" i="5"/>
  <c r="E665" i="5"/>
  <c r="D665" i="5"/>
  <c r="N664" i="5"/>
  <c r="M664" i="5"/>
  <c r="I664" i="5"/>
  <c r="F664" i="5"/>
  <c r="E664" i="5"/>
  <c r="D664" i="5"/>
  <c r="N663" i="5"/>
  <c r="M663" i="5"/>
  <c r="I663" i="5"/>
  <c r="F663" i="5"/>
  <c r="E663" i="5"/>
  <c r="D663" i="5"/>
  <c r="N662" i="5"/>
  <c r="M662" i="5"/>
  <c r="I662" i="5"/>
  <c r="F662" i="5"/>
  <c r="E662" i="5"/>
  <c r="D662" i="5"/>
  <c r="N661" i="5"/>
  <c r="M661" i="5"/>
  <c r="I661" i="5"/>
  <c r="F661" i="5"/>
  <c r="E661" i="5"/>
  <c r="D661" i="5"/>
  <c r="N660" i="5"/>
  <c r="M660" i="5"/>
  <c r="I660" i="5"/>
  <c r="F660" i="5"/>
  <c r="E660" i="5"/>
  <c r="D660" i="5"/>
  <c r="N659" i="5"/>
  <c r="M659" i="5"/>
  <c r="I659" i="5"/>
  <c r="F659" i="5"/>
  <c r="E659" i="5"/>
  <c r="D659" i="5"/>
  <c r="N658" i="5"/>
  <c r="M658" i="5"/>
  <c r="I658" i="5"/>
  <c r="F658" i="5"/>
  <c r="E658" i="5"/>
  <c r="D658" i="5"/>
  <c r="N657" i="5"/>
  <c r="M657" i="5"/>
  <c r="I657" i="5"/>
  <c r="F657" i="5"/>
  <c r="E657" i="5"/>
  <c r="D657" i="5"/>
  <c r="N656" i="5"/>
  <c r="M656" i="5"/>
  <c r="I656" i="5"/>
  <c r="F656" i="5"/>
  <c r="E656" i="5"/>
  <c r="D656" i="5"/>
  <c r="N655" i="5"/>
  <c r="M655" i="5"/>
  <c r="I655" i="5"/>
  <c r="F655" i="5"/>
  <c r="E655" i="5"/>
  <c r="D655" i="5"/>
  <c r="N654" i="5"/>
  <c r="M654" i="5"/>
  <c r="I654" i="5"/>
  <c r="F654" i="5"/>
  <c r="E654" i="5"/>
  <c r="D654" i="5"/>
  <c r="N653" i="5"/>
  <c r="M653" i="5"/>
  <c r="I653" i="5"/>
  <c r="F653" i="5"/>
  <c r="E653" i="5"/>
  <c r="D653" i="5"/>
  <c r="N652" i="5"/>
  <c r="M652" i="5"/>
  <c r="I652" i="5"/>
  <c r="F652" i="5"/>
  <c r="E652" i="5"/>
  <c r="D652" i="5"/>
  <c r="N651" i="5"/>
  <c r="M651" i="5"/>
  <c r="I651" i="5"/>
  <c r="F651" i="5"/>
  <c r="E651" i="5"/>
  <c r="D651" i="5"/>
  <c r="N650" i="5"/>
  <c r="M650" i="5"/>
  <c r="I650" i="5"/>
  <c r="F650" i="5"/>
  <c r="E650" i="5"/>
  <c r="D650" i="5"/>
  <c r="N649" i="5"/>
  <c r="M649" i="5"/>
  <c r="I649" i="5"/>
  <c r="F649" i="5"/>
  <c r="E649" i="5"/>
  <c r="D649" i="5"/>
  <c r="N648" i="5"/>
  <c r="M648" i="5"/>
  <c r="I648" i="5"/>
  <c r="F648" i="5"/>
  <c r="E648" i="5"/>
  <c r="D648" i="5"/>
  <c r="N647" i="5"/>
  <c r="M647" i="5"/>
  <c r="I647" i="5"/>
  <c r="F647" i="5"/>
  <c r="E647" i="5"/>
  <c r="D647" i="5"/>
  <c r="N646" i="5"/>
  <c r="M646" i="5"/>
  <c r="I646" i="5"/>
  <c r="F646" i="5"/>
  <c r="E646" i="5"/>
  <c r="D646" i="5"/>
  <c r="N645" i="5"/>
  <c r="M645" i="5"/>
  <c r="I645" i="5"/>
  <c r="F645" i="5"/>
  <c r="E645" i="5"/>
  <c r="D645" i="5"/>
  <c r="N644" i="5"/>
  <c r="M644" i="5"/>
  <c r="I644" i="5"/>
  <c r="F644" i="5"/>
  <c r="E644" i="5"/>
  <c r="D644" i="5"/>
  <c r="N643" i="5"/>
  <c r="M643" i="5"/>
  <c r="I643" i="5"/>
  <c r="F643" i="5"/>
  <c r="E643" i="5"/>
  <c r="D643" i="5"/>
  <c r="N642" i="5"/>
  <c r="M642" i="5"/>
  <c r="I642" i="5"/>
  <c r="F642" i="5"/>
  <c r="E642" i="5"/>
  <c r="D642" i="5"/>
  <c r="N641" i="5"/>
  <c r="M641" i="5"/>
  <c r="I641" i="5"/>
  <c r="F641" i="5"/>
  <c r="E641" i="5"/>
  <c r="D641" i="5"/>
  <c r="N640" i="5"/>
  <c r="M640" i="5"/>
  <c r="I640" i="5"/>
  <c r="F640" i="5"/>
  <c r="E640" i="5"/>
  <c r="D640" i="5"/>
  <c r="N639" i="5"/>
  <c r="M639" i="5"/>
  <c r="I639" i="5"/>
  <c r="F639" i="5"/>
  <c r="E639" i="5"/>
  <c r="D639" i="5"/>
  <c r="N638" i="5"/>
  <c r="M638" i="5"/>
  <c r="I638" i="5"/>
  <c r="F638" i="5"/>
  <c r="E638" i="5"/>
  <c r="D638" i="5"/>
  <c r="N637" i="5"/>
  <c r="M637" i="5"/>
  <c r="I637" i="5"/>
  <c r="F637" i="5"/>
  <c r="E637" i="5"/>
  <c r="D637" i="5"/>
  <c r="N636" i="5"/>
  <c r="M636" i="5"/>
  <c r="I636" i="5"/>
  <c r="F636" i="5"/>
  <c r="E636" i="5"/>
  <c r="D636" i="5"/>
  <c r="N635" i="5"/>
  <c r="M635" i="5"/>
  <c r="I635" i="5"/>
  <c r="F635" i="5"/>
  <c r="E635" i="5"/>
  <c r="D635" i="5"/>
  <c r="N634" i="5"/>
  <c r="M634" i="5"/>
  <c r="I634" i="5"/>
  <c r="C10" i="14" s="1"/>
  <c r="F634" i="5"/>
  <c r="E634" i="5"/>
  <c r="D634" i="5"/>
  <c r="N633" i="5"/>
  <c r="M633" i="5"/>
  <c r="I633" i="5"/>
  <c r="B10" i="14" s="1"/>
  <c r="F633" i="5"/>
  <c r="E633" i="5"/>
  <c r="D633" i="5"/>
  <c r="N632" i="5"/>
  <c r="M632" i="5"/>
  <c r="I632" i="5"/>
  <c r="F632" i="5"/>
  <c r="E632" i="5"/>
  <c r="D632" i="5"/>
  <c r="N631" i="5"/>
  <c r="M631" i="5"/>
  <c r="I631" i="5"/>
  <c r="F631" i="5"/>
  <c r="E631" i="5"/>
  <c r="D631" i="5"/>
  <c r="N630" i="5"/>
  <c r="M630" i="5"/>
  <c r="I630" i="5"/>
  <c r="G20" i="9" s="1"/>
  <c r="F630" i="5"/>
  <c r="E630" i="5"/>
  <c r="D630" i="5"/>
  <c r="N629" i="5"/>
  <c r="M629" i="5"/>
  <c r="I629" i="5"/>
  <c r="F629" i="5"/>
  <c r="E629" i="5"/>
  <c r="D629" i="5"/>
  <c r="N628" i="5"/>
  <c r="M628" i="5"/>
  <c r="I628" i="5"/>
  <c r="G23" i="9" s="1"/>
  <c r="F628" i="5"/>
  <c r="E628" i="5"/>
  <c r="D628" i="5"/>
  <c r="N627" i="5"/>
  <c r="M627" i="5"/>
  <c r="I627" i="5"/>
  <c r="F627" i="5"/>
  <c r="E627" i="5"/>
  <c r="D627" i="5"/>
  <c r="N626" i="5"/>
  <c r="M626" i="5"/>
  <c r="I626" i="5"/>
  <c r="G16" i="9" s="1"/>
  <c r="F626" i="5"/>
  <c r="E626" i="5"/>
  <c r="D626" i="5"/>
  <c r="N625" i="5"/>
  <c r="M625" i="5"/>
  <c r="I625" i="5"/>
  <c r="F625" i="5"/>
  <c r="E625" i="5"/>
  <c r="D625" i="5"/>
  <c r="N624" i="5"/>
  <c r="M624" i="5"/>
  <c r="I624" i="5"/>
  <c r="G15" i="9" s="1"/>
  <c r="F624" i="5"/>
  <c r="E624" i="5"/>
  <c r="D624" i="5"/>
  <c r="N623" i="5"/>
  <c r="M623" i="5"/>
  <c r="I623" i="5"/>
  <c r="F623" i="5"/>
  <c r="E623" i="5"/>
  <c r="D623" i="5"/>
  <c r="N622" i="5"/>
  <c r="M622" i="5"/>
  <c r="I622" i="5"/>
  <c r="G13" i="9" s="1"/>
  <c r="F622" i="5"/>
  <c r="E622" i="5"/>
  <c r="D622" i="5"/>
  <c r="N621" i="5"/>
  <c r="M621" i="5"/>
  <c r="I621" i="5"/>
  <c r="F621" i="5"/>
  <c r="E621" i="5"/>
  <c r="D621" i="5"/>
  <c r="N620" i="5"/>
  <c r="M620" i="5"/>
  <c r="I620" i="5"/>
  <c r="F620" i="5"/>
  <c r="E620" i="5"/>
  <c r="D620" i="5"/>
  <c r="N619" i="5"/>
  <c r="M619" i="5"/>
  <c r="I619" i="5"/>
  <c r="F619" i="5"/>
  <c r="E619" i="5"/>
  <c r="D619" i="5"/>
  <c r="N618" i="5"/>
  <c r="M618" i="5"/>
  <c r="I618" i="5"/>
  <c r="F618" i="5"/>
  <c r="E618" i="5"/>
  <c r="D618" i="5"/>
  <c r="N617" i="5"/>
  <c r="M617" i="5"/>
  <c r="I617" i="5"/>
  <c r="F617" i="5"/>
  <c r="E617" i="5"/>
  <c r="D617" i="5"/>
  <c r="N616" i="5"/>
  <c r="M616" i="5"/>
  <c r="I616" i="5"/>
  <c r="F616" i="5"/>
  <c r="E616" i="5"/>
  <c r="D616" i="5"/>
  <c r="N615" i="5"/>
  <c r="M615" i="5"/>
  <c r="I615" i="5"/>
  <c r="F615" i="5"/>
  <c r="E615" i="5"/>
  <c r="D615" i="5"/>
  <c r="N614" i="5"/>
  <c r="M614" i="5"/>
  <c r="I614" i="5"/>
  <c r="F614" i="5"/>
  <c r="E614" i="5"/>
  <c r="D614" i="5"/>
  <c r="N613" i="5"/>
  <c r="M613" i="5"/>
  <c r="I613" i="5"/>
  <c r="F613" i="5"/>
  <c r="E613" i="5"/>
  <c r="D613" i="5"/>
  <c r="N612" i="5"/>
  <c r="M612" i="5"/>
  <c r="I612" i="5"/>
  <c r="F612" i="5"/>
  <c r="E612" i="5"/>
  <c r="D612" i="5"/>
  <c r="N611" i="5"/>
  <c r="M611" i="5"/>
  <c r="I611" i="5"/>
  <c r="F611" i="5"/>
  <c r="E611" i="5"/>
  <c r="D611" i="5"/>
  <c r="N610" i="5"/>
  <c r="M610" i="5"/>
  <c r="I610" i="5"/>
  <c r="F610" i="5"/>
  <c r="E610" i="5"/>
  <c r="D610" i="5"/>
  <c r="N609" i="5"/>
  <c r="M609" i="5"/>
  <c r="I609" i="5"/>
  <c r="F609" i="5"/>
  <c r="E609" i="5"/>
  <c r="D609" i="5"/>
  <c r="N608" i="5"/>
  <c r="M608" i="5"/>
  <c r="I608" i="5"/>
  <c r="F608" i="5"/>
  <c r="E608" i="5"/>
  <c r="D608" i="5"/>
  <c r="N607" i="5"/>
  <c r="M607" i="5"/>
  <c r="I607" i="5"/>
  <c r="F607" i="5"/>
  <c r="E607" i="5"/>
  <c r="D607" i="5"/>
  <c r="N606" i="5"/>
  <c r="M606" i="5"/>
  <c r="I606" i="5"/>
  <c r="F606" i="5"/>
  <c r="E606" i="5"/>
  <c r="D606" i="5"/>
  <c r="N605" i="5"/>
  <c r="M605" i="5"/>
  <c r="I605" i="5"/>
  <c r="F605" i="5"/>
  <c r="E605" i="5"/>
  <c r="D605" i="5"/>
  <c r="N604" i="5"/>
  <c r="M604" i="5"/>
  <c r="I604" i="5"/>
  <c r="F604" i="5"/>
  <c r="E604" i="5"/>
  <c r="D604" i="5"/>
  <c r="N603" i="5"/>
  <c r="M603" i="5"/>
  <c r="I603" i="5"/>
  <c r="F603" i="5"/>
  <c r="E603" i="5"/>
  <c r="D603" i="5"/>
  <c r="N602" i="5"/>
  <c r="M602" i="5"/>
  <c r="I602" i="5"/>
  <c r="F602" i="5"/>
  <c r="E602" i="5"/>
  <c r="D602" i="5"/>
  <c r="N601" i="5"/>
  <c r="M601" i="5"/>
  <c r="I601" i="5"/>
  <c r="F601" i="5"/>
  <c r="E601" i="5"/>
  <c r="D601" i="5"/>
  <c r="N600" i="5"/>
  <c r="M600" i="5"/>
  <c r="I600" i="5"/>
  <c r="F600" i="5"/>
  <c r="E600" i="5"/>
  <c r="D600" i="5"/>
  <c r="N599" i="5"/>
  <c r="M599" i="5"/>
  <c r="I599" i="5"/>
  <c r="F599" i="5"/>
  <c r="E599" i="5"/>
  <c r="D599" i="5"/>
  <c r="N598" i="5"/>
  <c r="M598" i="5"/>
  <c r="I598" i="5"/>
  <c r="F598" i="5"/>
  <c r="E598" i="5"/>
  <c r="D598" i="5"/>
  <c r="N597" i="5"/>
  <c r="M597" i="5"/>
  <c r="I597" i="5"/>
  <c r="F597" i="5"/>
  <c r="E597" i="5"/>
  <c r="D597" i="5"/>
  <c r="N596" i="5"/>
  <c r="M596" i="5"/>
  <c r="I596" i="5"/>
  <c r="F596" i="5"/>
  <c r="E596" i="5"/>
  <c r="D596" i="5"/>
  <c r="N595" i="5"/>
  <c r="M595" i="5"/>
  <c r="I595" i="5"/>
  <c r="F595" i="5"/>
  <c r="E595" i="5"/>
  <c r="D595" i="5"/>
  <c r="N594" i="5"/>
  <c r="M594" i="5"/>
  <c r="I594" i="5"/>
  <c r="F594" i="5"/>
  <c r="E594" i="5"/>
  <c r="D594" i="5"/>
  <c r="N593" i="5"/>
  <c r="M593" i="5"/>
  <c r="I593" i="5"/>
  <c r="F593" i="5"/>
  <c r="E593" i="5"/>
  <c r="D593" i="5"/>
  <c r="N592" i="5"/>
  <c r="M592" i="5"/>
  <c r="I592" i="5"/>
  <c r="F592" i="5"/>
  <c r="E592" i="5"/>
  <c r="D592" i="5"/>
  <c r="N591" i="5"/>
  <c r="M591" i="5"/>
  <c r="I591" i="5"/>
  <c r="F591" i="5"/>
  <c r="E591" i="5"/>
  <c r="D591" i="5"/>
  <c r="N590" i="5"/>
  <c r="M590" i="5"/>
  <c r="I590" i="5"/>
  <c r="F590" i="5"/>
  <c r="E590" i="5"/>
  <c r="D590" i="5"/>
  <c r="N589" i="5"/>
  <c r="M589" i="5"/>
  <c r="I589" i="5"/>
  <c r="F589" i="5"/>
  <c r="E589" i="5"/>
  <c r="D589" i="5"/>
  <c r="N588" i="5"/>
  <c r="M588" i="5"/>
  <c r="I588" i="5"/>
  <c r="F588" i="5"/>
  <c r="E588" i="5"/>
  <c r="D588" i="5"/>
  <c r="N587" i="5"/>
  <c r="M587" i="5"/>
  <c r="I587" i="5"/>
  <c r="F587" i="5"/>
  <c r="E587" i="5"/>
  <c r="D587" i="5"/>
  <c r="N586" i="5"/>
  <c r="M586" i="5"/>
  <c r="I586" i="5"/>
  <c r="F586" i="5"/>
  <c r="E586" i="5"/>
  <c r="D586" i="5"/>
  <c r="N585" i="5"/>
  <c r="M585" i="5"/>
  <c r="I585" i="5"/>
  <c r="F585" i="5"/>
  <c r="E585" i="5"/>
  <c r="D585" i="5"/>
  <c r="N584" i="5"/>
  <c r="M584" i="5"/>
  <c r="I584" i="5"/>
  <c r="F584" i="5"/>
  <c r="E584" i="5"/>
  <c r="D584" i="5"/>
  <c r="N583" i="5"/>
  <c r="M583" i="5"/>
  <c r="I583" i="5"/>
  <c r="F583" i="5"/>
  <c r="E583" i="5"/>
  <c r="D583" i="5"/>
  <c r="N582" i="5"/>
  <c r="M582" i="5"/>
  <c r="I582" i="5"/>
  <c r="F582" i="5"/>
  <c r="E582" i="5"/>
  <c r="D582" i="5"/>
  <c r="N581" i="5"/>
  <c r="M581" i="5"/>
  <c r="I581" i="5"/>
  <c r="F581" i="5"/>
  <c r="E581" i="5"/>
  <c r="D581" i="5"/>
  <c r="N580" i="5"/>
  <c r="M580" i="5"/>
  <c r="I580" i="5"/>
  <c r="F580" i="5"/>
  <c r="E580" i="5"/>
  <c r="D580" i="5"/>
  <c r="N579" i="5"/>
  <c r="M579" i="5"/>
  <c r="I579" i="5"/>
  <c r="F579" i="5"/>
  <c r="E579" i="5"/>
  <c r="D579" i="5"/>
  <c r="N578" i="5"/>
  <c r="M578" i="5"/>
  <c r="I578" i="5"/>
  <c r="F578" i="5"/>
  <c r="E578" i="5"/>
  <c r="D578" i="5"/>
  <c r="N577" i="5"/>
  <c r="M577" i="5"/>
  <c r="I577" i="5"/>
  <c r="F577" i="5"/>
  <c r="E577" i="5"/>
  <c r="D577" i="5"/>
  <c r="N576" i="5"/>
  <c r="M576" i="5"/>
  <c r="I576" i="5"/>
  <c r="F576" i="5"/>
  <c r="E576" i="5"/>
  <c r="D576" i="5"/>
  <c r="N575" i="5"/>
  <c r="M575" i="5"/>
  <c r="I575" i="5"/>
  <c r="F575" i="5"/>
  <c r="E575" i="5"/>
  <c r="D575" i="5"/>
  <c r="N574" i="5"/>
  <c r="M574" i="5"/>
  <c r="I574" i="5"/>
  <c r="F574" i="5"/>
  <c r="E574" i="5"/>
  <c r="D574" i="5"/>
  <c r="N573" i="5"/>
  <c r="M573" i="5"/>
  <c r="I573" i="5"/>
  <c r="F573" i="5"/>
  <c r="E573" i="5"/>
  <c r="D573" i="5"/>
  <c r="N572" i="5"/>
  <c r="M572" i="5"/>
  <c r="I572" i="5"/>
  <c r="F572" i="5"/>
  <c r="E572" i="5"/>
  <c r="D572" i="5"/>
  <c r="N571" i="5"/>
  <c r="M571" i="5"/>
  <c r="I571" i="5"/>
  <c r="F571" i="5"/>
  <c r="E571" i="5"/>
  <c r="D571" i="5"/>
  <c r="N570" i="5"/>
  <c r="M570" i="5"/>
  <c r="I570" i="5"/>
  <c r="F570" i="5"/>
  <c r="E570" i="5"/>
  <c r="D570" i="5"/>
  <c r="N569" i="5"/>
  <c r="M569" i="5"/>
  <c r="I569" i="5"/>
  <c r="F569" i="5"/>
  <c r="E569" i="5"/>
  <c r="D569" i="5"/>
  <c r="N568" i="5"/>
  <c r="M568" i="5"/>
  <c r="I568" i="5"/>
  <c r="F568" i="5"/>
  <c r="E568" i="5"/>
  <c r="D568" i="5"/>
  <c r="N567" i="5"/>
  <c r="M567" i="5"/>
  <c r="I567" i="5"/>
  <c r="F567" i="5"/>
  <c r="E567" i="5"/>
  <c r="D567" i="5"/>
  <c r="N566" i="5"/>
  <c r="M566" i="5"/>
  <c r="I566" i="5"/>
  <c r="F566" i="5"/>
  <c r="E566" i="5"/>
  <c r="D566" i="5"/>
  <c r="N565" i="5"/>
  <c r="M565" i="5"/>
  <c r="I565" i="5"/>
  <c r="F565" i="5"/>
  <c r="E565" i="5"/>
  <c r="D565" i="5"/>
  <c r="N564" i="5"/>
  <c r="M564" i="5"/>
  <c r="I564" i="5"/>
  <c r="F564" i="5"/>
  <c r="E564" i="5"/>
  <c r="D564" i="5"/>
  <c r="N563" i="5"/>
  <c r="M563" i="5"/>
  <c r="I563" i="5"/>
  <c r="F563" i="5"/>
  <c r="E563" i="5"/>
  <c r="D563" i="5"/>
  <c r="N562" i="5"/>
  <c r="M562" i="5"/>
  <c r="I562" i="5"/>
  <c r="F562" i="5"/>
  <c r="E562" i="5"/>
  <c r="D562" i="5"/>
  <c r="N561" i="5"/>
  <c r="M561" i="5"/>
  <c r="I561" i="5"/>
  <c r="F561" i="5"/>
  <c r="E561" i="5"/>
  <c r="D561" i="5"/>
  <c r="N560" i="5"/>
  <c r="M560" i="5"/>
  <c r="I560" i="5"/>
  <c r="F560" i="5"/>
  <c r="E560" i="5"/>
  <c r="D560" i="5"/>
  <c r="N559" i="5"/>
  <c r="M559" i="5"/>
  <c r="I559" i="5"/>
  <c r="F559" i="5"/>
  <c r="E559" i="5"/>
  <c r="D559" i="5"/>
  <c r="N558" i="5"/>
  <c r="M558" i="5"/>
  <c r="I558" i="5"/>
  <c r="F558" i="5"/>
  <c r="E558" i="5"/>
  <c r="D558" i="5"/>
  <c r="N557" i="5"/>
  <c r="M557" i="5"/>
  <c r="I557" i="5"/>
  <c r="F557" i="5"/>
  <c r="E557" i="5"/>
  <c r="D557" i="5"/>
  <c r="N556" i="5"/>
  <c r="M556" i="5"/>
  <c r="I556" i="5"/>
  <c r="F556" i="5"/>
  <c r="E556" i="5"/>
  <c r="D556" i="5"/>
  <c r="N555" i="5"/>
  <c r="M555" i="5"/>
  <c r="I555" i="5"/>
  <c r="F555" i="5"/>
  <c r="E555" i="5"/>
  <c r="D555" i="5"/>
  <c r="N554" i="5"/>
  <c r="M554" i="5"/>
  <c r="I554" i="5"/>
  <c r="F554" i="5"/>
  <c r="E554" i="5"/>
  <c r="D554" i="5"/>
  <c r="N553" i="5"/>
  <c r="M553" i="5"/>
  <c r="I553" i="5"/>
  <c r="F553" i="5"/>
  <c r="E553" i="5"/>
  <c r="D553" i="5"/>
  <c r="N552" i="5"/>
  <c r="M552" i="5"/>
  <c r="I552" i="5"/>
  <c r="F552" i="5"/>
  <c r="E552" i="5"/>
  <c r="D552" i="5"/>
  <c r="N551" i="5"/>
  <c r="M551" i="5"/>
  <c r="I551" i="5"/>
  <c r="F551" i="5"/>
  <c r="E551" i="5"/>
  <c r="D551" i="5"/>
  <c r="N550" i="5"/>
  <c r="M550" i="5"/>
  <c r="I550" i="5"/>
  <c r="F550" i="5"/>
  <c r="E550" i="5"/>
  <c r="D550" i="5"/>
  <c r="N549" i="5"/>
  <c r="M549" i="5"/>
  <c r="I549" i="5"/>
  <c r="F549" i="5"/>
  <c r="E549" i="5"/>
  <c r="D549" i="5"/>
  <c r="N548" i="5"/>
  <c r="M548" i="5"/>
  <c r="I548" i="5"/>
  <c r="F548" i="5"/>
  <c r="E548" i="5"/>
  <c r="D548" i="5"/>
  <c r="N547" i="5"/>
  <c r="M547" i="5"/>
  <c r="I547" i="5"/>
  <c r="F547" i="5"/>
  <c r="E547" i="5"/>
  <c r="D547" i="5"/>
  <c r="N546" i="5"/>
  <c r="M546" i="5"/>
  <c r="I546" i="5"/>
  <c r="F546" i="5"/>
  <c r="E546" i="5"/>
  <c r="D546" i="5"/>
  <c r="N545" i="5"/>
  <c r="M545" i="5"/>
  <c r="I545" i="5"/>
  <c r="F545" i="5"/>
  <c r="E545" i="5"/>
  <c r="D545" i="5"/>
  <c r="N544" i="5"/>
  <c r="M544" i="5"/>
  <c r="I544" i="5"/>
  <c r="F544" i="5"/>
  <c r="E544" i="5"/>
  <c r="D544" i="5"/>
  <c r="N543" i="5"/>
  <c r="M543" i="5"/>
  <c r="I543" i="5"/>
  <c r="F543" i="5"/>
  <c r="E543" i="5"/>
  <c r="D543" i="5"/>
  <c r="N542" i="5"/>
  <c r="M542" i="5"/>
  <c r="I542" i="5"/>
  <c r="F542" i="5"/>
  <c r="E542" i="5"/>
  <c r="D542" i="5"/>
  <c r="N541" i="5"/>
  <c r="M541" i="5"/>
  <c r="I541" i="5"/>
  <c r="F541" i="5"/>
  <c r="E541" i="5"/>
  <c r="D541" i="5"/>
  <c r="N540" i="5"/>
  <c r="M540" i="5"/>
  <c r="I540" i="5"/>
  <c r="F540" i="5"/>
  <c r="E540" i="5"/>
  <c r="D540" i="5"/>
  <c r="N539" i="5"/>
  <c r="M539" i="5"/>
  <c r="I539" i="5"/>
  <c r="F539" i="5"/>
  <c r="E539" i="5"/>
  <c r="D539" i="5"/>
  <c r="N538" i="5"/>
  <c r="M538" i="5"/>
  <c r="I538" i="5"/>
  <c r="F538" i="5"/>
  <c r="E538" i="5"/>
  <c r="D538" i="5"/>
  <c r="N537" i="5"/>
  <c r="M537" i="5"/>
  <c r="I537" i="5"/>
  <c r="F537" i="5"/>
  <c r="E537" i="5"/>
  <c r="D537" i="5"/>
  <c r="N536" i="5"/>
  <c r="M536" i="5"/>
  <c r="I536" i="5"/>
  <c r="F536" i="5"/>
  <c r="E536" i="5"/>
  <c r="D536" i="5"/>
  <c r="N535" i="5"/>
  <c r="M535" i="5"/>
  <c r="I535" i="5"/>
  <c r="F535" i="5"/>
  <c r="E535" i="5"/>
  <c r="D535" i="5"/>
  <c r="N534" i="5"/>
  <c r="M534" i="5"/>
  <c r="I534" i="5"/>
  <c r="F534" i="5"/>
  <c r="E534" i="5"/>
  <c r="D534" i="5"/>
  <c r="N533" i="5"/>
  <c r="M533" i="5"/>
  <c r="I533" i="5"/>
  <c r="F533" i="5"/>
  <c r="E533" i="5"/>
  <c r="D533" i="5"/>
  <c r="N532" i="5"/>
  <c r="M532" i="5"/>
  <c r="I532" i="5"/>
  <c r="F532" i="5"/>
  <c r="E532" i="5"/>
  <c r="D532" i="5"/>
  <c r="N531" i="5"/>
  <c r="M531" i="5"/>
  <c r="I531" i="5"/>
  <c r="F531" i="5"/>
  <c r="E531" i="5"/>
  <c r="D531" i="5"/>
  <c r="N530" i="5"/>
  <c r="M530" i="5"/>
  <c r="I530" i="5"/>
  <c r="C9" i="14" s="1"/>
  <c r="F530" i="5"/>
  <c r="E530" i="5"/>
  <c r="D530" i="5"/>
  <c r="N529" i="5"/>
  <c r="M529" i="5"/>
  <c r="I529" i="5"/>
  <c r="B9" i="14" s="1"/>
  <c r="F529" i="5"/>
  <c r="E529" i="5"/>
  <c r="D529" i="5"/>
  <c r="N528" i="5"/>
  <c r="M528" i="5"/>
  <c r="I528" i="5"/>
  <c r="F528" i="5"/>
  <c r="E528" i="5"/>
  <c r="D528" i="5"/>
  <c r="N527" i="5"/>
  <c r="M527" i="5"/>
  <c r="I527" i="5"/>
  <c r="F527" i="5"/>
  <c r="E527" i="5"/>
  <c r="D527" i="5"/>
  <c r="N526" i="5"/>
  <c r="M526" i="5"/>
  <c r="I526" i="5"/>
  <c r="F20" i="9" s="1"/>
  <c r="F526" i="5"/>
  <c r="E526" i="5"/>
  <c r="D526" i="5"/>
  <c r="N525" i="5"/>
  <c r="M525" i="5"/>
  <c r="I525" i="5"/>
  <c r="F525" i="5"/>
  <c r="E525" i="5"/>
  <c r="D525" i="5"/>
  <c r="N524" i="5"/>
  <c r="M524" i="5"/>
  <c r="I524" i="5"/>
  <c r="F23" i="9" s="1"/>
  <c r="F524" i="5"/>
  <c r="E524" i="5"/>
  <c r="D524" i="5"/>
  <c r="N523" i="5"/>
  <c r="M523" i="5"/>
  <c r="I523" i="5"/>
  <c r="F523" i="5"/>
  <c r="E523" i="5"/>
  <c r="D523" i="5"/>
  <c r="N522" i="5"/>
  <c r="M522" i="5"/>
  <c r="I522" i="5"/>
  <c r="F16" i="9" s="1"/>
  <c r="F522" i="5"/>
  <c r="E522" i="5"/>
  <c r="D522" i="5"/>
  <c r="N521" i="5"/>
  <c r="M521" i="5"/>
  <c r="I521" i="5"/>
  <c r="F521" i="5"/>
  <c r="E521" i="5"/>
  <c r="D521" i="5"/>
  <c r="N520" i="5"/>
  <c r="M520" i="5"/>
  <c r="I520" i="5"/>
  <c r="F15" i="9" s="1"/>
  <c r="F520" i="5"/>
  <c r="E520" i="5"/>
  <c r="D520" i="5"/>
  <c r="N519" i="5"/>
  <c r="M519" i="5"/>
  <c r="I519" i="5"/>
  <c r="F519" i="5"/>
  <c r="E519" i="5"/>
  <c r="D519" i="5"/>
  <c r="N518" i="5"/>
  <c r="M518" i="5"/>
  <c r="I518" i="5"/>
  <c r="F518" i="5"/>
  <c r="E518" i="5"/>
  <c r="D518" i="5"/>
  <c r="N517" i="5"/>
  <c r="M517" i="5"/>
  <c r="I517" i="5"/>
  <c r="F517" i="5"/>
  <c r="E517" i="5"/>
  <c r="D517" i="5"/>
  <c r="N516" i="5"/>
  <c r="M516" i="5"/>
  <c r="I516" i="5"/>
  <c r="F516" i="5"/>
  <c r="E516" i="5"/>
  <c r="D516" i="5"/>
  <c r="N515" i="5"/>
  <c r="M515" i="5"/>
  <c r="I515" i="5"/>
  <c r="F515" i="5"/>
  <c r="E515" i="5"/>
  <c r="D515" i="5"/>
  <c r="N514" i="5"/>
  <c r="M514" i="5"/>
  <c r="I514" i="5"/>
  <c r="F514" i="5"/>
  <c r="E514" i="5"/>
  <c r="D514" i="5"/>
  <c r="N513" i="5"/>
  <c r="M513" i="5"/>
  <c r="I513" i="5"/>
  <c r="F513" i="5"/>
  <c r="E513" i="5"/>
  <c r="D513" i="5"/>
  <c r="N512" i="5"/>
  <c r="M512" i="5"/>
  <c r="I512" i="5"/>
  <c r="F512" i="5"/>
  <c r="E512" i="5"/>
  <c r="D512" i="5"/>
  <c r="N511" i="5"/>
  <c r="M511" i="5"/>
  <c r="I511" i="5"/>
  <c r="F511" i="5"/>
  <c r="E511" i="5"/>
  <c r="D511" i="5"/>
  <c r="N510" i="5"/>
  <c r="M510" i="5"/>
  <c r="I510" i="5"/>
  <c r="F510" i="5"/>
  <c r="E510" i="5"/>
  <c r="D510" i="5"/>
  <c r="N509" i="5"/>
  <c r="M509" i="5"/>
  <c r="I509" i="5"/>
  <c r="F509" i="5"/>
  <c r="E509" i="5"/>
  <c r="D509" i="5"/>
  <c r="N508" i="5"/>
  <c r="M508" i="5"/>
  <c r="I508" i="5"/>
  <c r="F508" i="5"/>
  <c r="E508" i="5"/>
  <c r="D508" i="5"/>
  <c r="N507" i="5"/>
  <c r="M507" i="5"/>
  <c r="I507" i="5"/>
  <c r="F507" i="5"/>
  <c r="E507" i="5"/>
  <c r="D507" i="5"/>
  <c r="N506" i="5"/>
  <c r="M506" i="5"/>
  <c r="I506" i="5"/>
  <c r="F506" i="5"/>
  <c r="E506" i="5"/>
  <c r="D506" i="5"/>
  <c r="N505" i="5"/>
  <c r="M505" i="5"/>
  <c r="I505" i="5"/>
  <c r="F505" i="5"/>
  <c r="E505" i="5"/>
  <c r="D505" i="5"/>
  <c r="N504" i="5"/>
  <c r="M504" i="5"/>
  <c r="I504" i="5"/>
  <c r="F504" i="5"/>
  <c r="E504" i="5"/>
  <c r="D504" i="5"/>
  <c r="N503" i="5"/>
  <c r="M503" i="5"/>
  <c r="I503" i="5"/>
  <c r="F503" i="5"/>
  <c r="E503" i="5"/>
  <c r="D503" i="5"/>
  <c r="N502" i="5"/>
  <c r="M502" i="5"/>
  <c r="I502" i="5"/>
  <c r="F502" i="5"/>
  <c r="E502" i="5"/>
  <c r="D502" i="5"/>
  <c r="N501" i="5"/>
  <c r="M501" i="5"/>
  <c r="I501" i="5"/>
  <c r="F501" i="5"/>
  <c r="E501" i="5"/>
  <c r="D501" i="5"/>
  <c r="N500" i="5"/>
  <c r="M500" i="5"/>
  <c r="I500" i="5"/>
  <c r="F500" i="5"/>
  <c r="E500" i="5"/>
  <c r="D500" i="5"/>
  <c r="N499" i="5"/>
  <c r="M499" i="5"/>
  <c r="I499" i="5"/>
  <c r="F499" i="5"/>
  <c r="E499" i="5"/>
  <c r="D499" i="5"/>
  <c r="N498" i="5"/>
  <c r="M498" i="5"/>
  <c r="I498" i="5"/>
  <c r="F498" i="5"/>
  <c r="E498" i="5"/>
  <c r="D498" i="5"/>
  <c r="N497" i="5"/>
  <c r="M497" i="5"/>
  <c r="I497" i="5"/>
  <c r="F497" i="5"/>
  <c r="E497" i="5"/>
  <c r="D497" i="5"/>
  <c r="N496" i="5"/>
  <c r="M496" i="5"/>
  <c r="I496" i="5"/>
  <c r="F496" i="5"/>
  <c r="E496" i="5"/>
  <c r="D496" i="5"/>
  <c r="N495" i="5"/>
  <c r="M495" i="5"/>
  <c r="I495" i="5"/>
  <c r="F495" i="5"/>
  <c r="E495" i="5"/>
  <c r="D495" i="5"/>
  <c r="N494" i="5"/>
  <c r="M494" i="5"/>
  <c r="I494" i="5"/>
  <c r="F494" i="5"/>
  <c r="E494" i="5"/>
  <c r="D494" i="5"/>
  <c r="N493" i="5"/>
  <c r="M493" i="5"/>
  <c r="I493" i="5"/>
  <c r="F493" i="5"/>
  <c r="E493" i="5"/>
  <c r="D493" i="5"/>
  <c r="N492" i="5"/>
  <c r="M492" i="5"/>
  <c r="I492" i="5"/>
  <c r="F492" i="5"/>
  <c r="E492" i="5"/>
  <c r="D492" i="5"/>
  <c r="N491" i="5"/>
  <c r="M491" i="5"/>
  <c r="I491" i="5"/>
  <c r="F491" i="5"/>
  <c r="E491" i="5"/>
  <c r="D491" i="5"/>
  <c r="N490" i="5"/>
  <c r="M490" i="5"/>
  <c r="I490" i="5"/>
  <c r="F490" i="5"/>
  <c r="E490" i="5"/>
  <c r="D490" i="5"/>
  <c r="N489" i="5"/>
  <c r="M489" i="5"/>
  <c r="I489" i="5"/>
  <c r="F489" i="5"/>
  <c r="E489" i="5"/>
  <c r="D489" i="5"/>
  <c r="N488" i="5"/>
  <c r="M488" i="5"/>
  <c r="I488" i="5"/>
  <c r="F488" i="5"/>
  <c r="E488" i="5"/>
  <c r="D488" i="5"/>
  <c r="N487" i="5"/>
  <c r="M487" i="5"/>
  <c r="I487" i="5"/>
  <c r="F487" i="5"/>
  <c r="E487" i="5"/>
  <c r="D487" i="5"/>
  <c r="N486" i="5"/>
  <c r="M486" i="5"/>
  <c r="I486" i="5"/>
  <c r="F486" i="5"/>
  <c r="E486" i="5"/>
  <c r="D486" i="5"/>
  <c r="N485" i="5"/>
  <c r="M485" i="5"/>
  <c r="I485" i="5"/>
  <c r="F485" i="5"/>
  <c r="E485" i="5"/>
  <c r="D485" i="5"/>
  <c r="N484" i="5"/>
  <c r="M484" i="5"/>
  <c r="I484" i="5"/>
  <c r="F484" i="5"/>
  <c r="E484" i="5"/>
  <c r="D484" i="5"/>
  <c r="N483" i="5"/>
  <c r="M483" i="5"/>
  <c r="I483" i="5"/>
  <c r="F483" i="5"/>
  <c r="E483" i="5"/>
  <c r="D483" i="5"/>
  <c r="N482" i="5"/>
  <c r="M482" i="5"/>
  <c r="I482" i="5"/>
  <c r="F482" i="5"/>
  <c r="E482" i="5"/>
  <c r="D482" i="5"/>
  <c r="N481" i="5"/>
  <c r="M481" i="5"/>
  <c r="I481" i="5"/>
  <c r="F481" i="5"/>
  <c r="E481" i="5"/>
  <c r="D481" i="5"/>
  <c r="N480" i="5"/>
  <c r="M480" i="5"/>
  <c r="I480" i="5"/>
  <c r="F480" i="5"/>
  <c r="E480" i="5"/>
  <c r="D480" i="5"/>
  <c r="N479" i="5"/>
  <c r="M479" i="5"/>
  <c r="I479" i="5"/>
  <c r="F479" i="5"/>
  <c r="E479" i="5"/>
  <c r="D479" i="5"/>
  <c r="N478" i="5"/>
  <c r="M478" i="5"/>
  <c r="I478" i="5"/>
  <c r="F478" i="5"/>
  <c r="E478" i="5"/>
  <c r="D478" i="5"/>
  <c r="N477" i="5"/>
  <c r="M477" i="5"/>
  <c r="I477" i="5"/>
  <c r="F477" i="5"/>
  <c r="E477" i="5"/>
  <c r="D477" i="5"/>
  <c r="N476" i="5"/>
  <c r="M476" i="5"/>
  <c r="I476" i="5"/>
  <c r="F476" i="5"/>
  <c r="E476" i="5"/>
  <c r="D476" i="5"/>
  <c r="N475" i="5"/>
  <c r="M475" i="5"/>
  <c r="I475" i="5"/>
  <c r="F475" i="5"/>
  <c r="E475" i="5"/>
  <c r="D475" i="5"/>
  <c r="N474" i="5"/>
  <c r="M474" i="5"/>
  <c r="I474" i="5"/>
  <c r="F474" i="5"/>
  <c r="E474" i="5"/>
  <c r="D474" i="5"/>
  <c r="N473" i="5"/>
  <c r="M473" i="5"/>
  <c r="I473" i="5"/>
  <c r="F473" i="5"/>
  <c r="E473" i="5"/>
  <c r="D473" i="5"/>
  <c r="N472" i="5"/>
  <c r="M472" i="5"/>
  <c r="I472" i="5"/>
  <c r="F472" i="5"/>
  <c r="E472" i="5"/>
  <c r="D472" i="5"/>
  <c r="N471" i="5"/>
  <c r="M471" i="5"/>
  <c r="I471" i="5"/>
  <c r="F471" i="5"/>
  <c r="E471" i="5"/>
  <c r="D471" i="5"/>
  <c r="N470" i="5"/>
  <c r="M470" i="5"/>
  <c r="I470" i="5"/>
  <c r="F470" i="5"/>
  <c r="E470" i="5"/>
  <c r="D470" i="5"/>
  <c r="N469" i="5"/>
  <c r="M469" i="5"/>
  <c r="I469" i="5"/>
  <c r="F469" i="5"/>
  <c r="E469" i="5"/>
  <c r="D469" i="5"/>
  <c r="N468" i="5"/>
  <c r="M468" i="5"/>
  <c r="I468" i="5"/>
  <c r="F468" i="5"/>
  <c r="E468" i="5"/>
  <c r="D468" i="5"/>
  <c r="N467" i="5"/>
  <c r="M467" i="5"/>
  <c r="I467" i="5"/>
  <c r="F467" i="5"/>
  <c r="E467" i="5"/>
  <c r="D467" i="5"/>
  <c r="N466" i="5"/>
  <c r="M466" i="5"/>
  <c r="I466" i="5"/>
  <c r="F466" i="5"/>
  <c r="E466" i="5"/>
  <c r="D466" i="5"/>
  <c r="N465" i="5"/>
  <c r="M465" i="5"/>
  <c r="I465" i="5"/>
  <c r="F465" i="5"/>
  <c r="E465" i="5"/>
  <c r="D465" i="5"/>
  <c r="N464" i="5"/>
  <c r="M464" i="5"/>
  <c r="I464" i="5"/>
  <c r="F464" i="5"/>
  <c r="E464" i="5"/>
  <c r="D464" i="5"/>
  <c r="N463" i="5"/>
  <c r="M463" i="5"/>
  <c r="I463" i="5"/>
  <c r="F463" i="5"/>
  <c r="E463" i="5"/>
  <c r="D463" i="5"/>
  <c r="N462" i="5"/>
  <c r="M462" i="5"/>
  <c r="I462" i="5"/>
  <c r="F462" i="5"/>
  <c r="E462" i="5"/>
  <c r="D462" i="5"/>
  <c r="N461" i="5"/>
  <c r="M461" i="5"/>
  <c r="I461" i="5"/>
  <c r="F461" i="5"/>
  <c r="E461" i="5"/>
  <c r="D461" i="5"/>
  <c r="N460" i="5"/>
  <c r="M460" i="5"/>
  <c r="I460" i="5"/>
  <c r="F460" i="5"/>
  <c r="E460" i="5"/>
  <c r="D460" i="5"/>
  <c r="N459" i="5"/>
  <c r="M459" i="5"/>
  <c r="I459" i="5"/>
  <c r="F459" i="5"/>
  <c r="E459" i="5"/>
  <c r="D459" i="5"/>
  <c r="N458" i="5"/>
  <c r="M458" i="5"/>
  <c r="I458" i="5"/>
  <c r="F458" i="5"/>
  <c r="E458" i="5"/>
  <c r="D458" i="5"/>
  <c r="N457" i="5"/>
  <c r="M457" i="5"/>
  <c r="I457" i="5"/>
  <c r="F457" i="5"/>
  <c r="E457" i="5"/>
  <c r="D457" i="5"/>
  <c r="N456" i="5"/>
  <c r="M456" i="5"/>
  <c r="I456" i="5"/>
  <c r="F456" i="5"/>
  <c r="E456" i="5"/>
  <c r="D456" i="5"/>
  <c r="N455" i="5"/>
  <c r="M455" i="5"/>
  <c r="I455" i="5"/>
  <c r="F455" i="5"/>
  <c r="E455" i="5"/>
  <c r="D455" i="5"/>
  <c r="N454" i="5"/>
  <c r="M454" i="5"/>
  <c r="I454" i="5"/>
  <c r="F454" i="5"/>
  <c r="E454" i="5"/>
  <c r="D454" i="5"/>
  <c r="N453" i="5"/>
  <c r="M453" i="5"/>
  <c r="I453" i="5"/>
  <c r="F453" i="5"/>
  <c r="E453" i="5"/>
  <c r="D453" i="5"/>
  <c r="N452" i="5"/>
  <c r="M452" i="5"/>
  <c r="I452" i="5"/>
  <c r="F452" i="5"/>
  <c r="E452" i="5"/>
  <c r="D452" i="5"/>
  <c r="N451" i="5"/>
  <c r="M451" i="5"/>
  <c r="I451" i="5"/>
  <c r="F451" i="5"/>
  <c r="E451" i="5"/>
  <c r="D451" i="5"/>
  <c r="N450" i="5"/>
  <c r="M450" i="5"/>
  <c r="I450" i="5"/>
  <c r="F450" i="5"/>
  <c r="E450" i="5"/>
  <c r="D450" i="5"/>
  <c r="N449" i="5"/>
  <c r="M449" i="5"/>
  <c r="I449" i="5"/>
  <c r="F449" i="5"/>
  <c r="E449" i="5"/>
  <c r="D449" i="5"/>
  <c r="N448" i="5"/>
  <c r="M448" i="5"/>
  <c r="I448" i="5"/>
  <c r="F448" i="5"/>
  <c r="E448" i="5"/>
  <c r="D448" i="5"/>
  <c r="N447" i="5"/>
  <c r="M447" i="5"/>
  <c r="I447" i="5"/>
  <c r="F447" i="5"/>
  <c r="E447" i="5"/>
  <c r="D447" i="5"/>
  <c r="N446" i="5"/>
  <c r="M446" i="5"/>
  <c r="I446" i="5"/>
  <c r="F446" i="5"/>
  <c r="E446" i="5"/>
  <c r="D446" i="5"/>
  <c r="N445" i="5"/>
  <c r="M445" i="5"/>
  <c r="I445" i="5"/>
  <c r="F445" i="5"/>
  <c r="E445" i="5"/>
  <c r="D445" i="5"/>
  <c r="N444" i="5"/>
  <c r="M444" i="5"/>
  <c r="I444" i="5"/>
  <c r="F444" i="5"/>
  <c r="E444" i="5"/>
  <c r="D444" i="5"/>
  <c r="N443" i="5"/>
  <c r="M443" i="5"/>
  <c r="I443" i="5"/>
  <c r="F443" i="5"/>
  <c r="E443" i="5"/>
  <c r="D443" i="5"/>
  <c r="N442" i="5"/>
  <c r="M442" i="5"/>
  <c r="I442" i="5"/>
  <c r="F442" i="5"/>
  <c r="E442" i="5"/>
  <c r="D442" i="5"/>
  <c r="N441" i="5"/>
  <c r="M441" i="5"/>
  <c r="I441" i="5"/>
  <c r="F441" i="5"/>
  <c r="E441" i="5"/>
  <c r="D441" i="5"/>
  <c r="N440" i="5"/>
  <c r="M440" i="5"/>
  <c r="I440" i="5"/>
  <c r="F440" i="5"/>
  <c r="E440" i="5"/>
  <c r="D440" i="5"/>
  <c r="N439" i="5"/>
  <c r="M439" i="5"/>
  <c r="I439" i="5"/>
  <c r="F439" i="5"/>
  <c r="E439" i="5"/>
  <c r="D439" i="5"/>
  <c r="N438" i="5"/>
  <c r="M438" i="5"/>
  <c r="I438" i="5"/>
  <c r="F438" i="5"/>
  <c r="E438" i="5"/>
  <c r="D438" i="5"/>
  <c r="N437" i="5"/>
  <c r="M437" i="5"/>
  <c r="I437" i="5"/>
  <c r="F437" i="5"/>
  <c r="E437" i="5"/>
  <c r="D437" i="5"/>
  <c r="N436" i="5"/>
  <c r="M436" i="5"/>
  <c r="I436" i="5"/>
  <c r="F436" i="5"/>
  <c r="E436" i="5"/>
  <c r="D436" i="5"/>
  <c r="N435" i="5"/>
  <c r="M435" i="5"/>
  <c r="I435" i="5"/>
  <c r="F435" i="5"/>
  <c r="E435" i="5"/>
  <c r="D435" i="5"/>
  <c r="N434" i="5"/>
  <c r="M434" i="5"/>
  <c r="I434" i="5"/>
  <c r="F434" i="5"/>
  <c r="E434" i="5"/>
  <c r="D434" i="5"/>
  <c r="N433" i="5"/>
  <c r="M433" i="5"/>
  <c r="I433" i="5"/>
  <c r="F433" i="5"/>
  <c r="E433" i="5"/>
  <c r="D433" i="5"/>
  <c r="N432" i="5"/>
  <c r="M432" i="5"/>
  <c r="I432" i="5"/>
  <c r="F432" i="5"/>
  <c r="E432" i="5"/>
  <c r="D432" i="5"/>
  <c r="N431" i="5"/>
  <c r="M431" i="5"/>
  <c r="I431" i="5"/>
  <c r="F431" i="5"/>
  <c r="E431" i="5"/>
  <c r="D431" i="5"/>
  <c r="N430" i="5"/>
  <c r="M430" i="5"/>
  <c r="I430" i="5"/>
  <c r="F430" i="5"/>
  <c r="E430" i="5"/>
  <c r="D430" i="5"/>
  <c r="N429" i="5"/>
  <c r="M429" i="5"/>
  <c r="I429" i="5"/>
  <c r="F429" i="5"/>
  <c r="E429" i="5"/>
  <c r="D429" i="5"/>
  <c r="N428" i="5"/>
  <c r="M428" i="5"/>
  <c r="I428" i="5"/>
  <c r="F428" i="5"/>
  <c r="E428" i="5"/>
  <c r="D428" i="5"/>
  <c r="N427" i="5"/>
  <c r="M427" i="5"/>
  <c r="I427" i="5"/>
  <c r="F427" i="5"/>
  <c r="E427" i="5"/>
  <c r="D427" i="5"/>
  <c r="N426" i="5"/>
  <c r="M426" i="5"/>
  <c r="I426" i="5"/>
  <c r="C8" i="14" s="1"/>
  <c r="F426" i="5"/>
  <c r="E426" i="5"/>
  <c r="D426" i="5"/>
  <c r="N425" i="5"/>
  <c r="M425" i="5"/>
  <c r="I425" i="5"/>
  <c r="B8" i="14" s="1"/>
  <c r="F425" i="5"/>
  <c r="E425" i="5"/>
  <c r="D425" i="5"/>
  <c r="N424" i="5"/>
  <c r="M424" i="5"/>
  <c r="I424" i="5"/>
  <c r="F424" i="5"/>
  <c r="E424" i="5"/>
  <c r="D424" i="5"/>
  <c r="N423" i="5"/>
  <c r="M423" i="5"/>
  <c r="I423" i="5"/>
  <c r="F423" i="5"/>
  <c r="E423" i="5"/>
  <c r="D423" i="5"/>
  <c r="N422" i="5"/>
  <c r="M422" i="5"/>
  <c r="I422" i="5"/>
  <c r="F422" i="5"/>
  <c r="E422" i="5"/>
  <c r="D422" i="5"/>
  <c r="N421" i="5"/>
  <c r="M421" i="5"/>
  <c r="I421" i="5"/>
  <c r="F421" i="5"/>
  <c r="E421" i="5"/>
  <c r="D421" i="5"/>
  <c r="N420" i="5"/>
  <c r="M420" i="5"/>
  <c r="I420" i="5"/>
  <c r="E20" i="9" s="1"/>
  <c r="F420" i="5"/>
  <c r="E420" i="5"/>
  <c r="D420" i="5"/>
  <c r="N419" i="5"/>
  <c r="M419" i="5"/>
  <c r="I419" i="5"/>
  <c r="F419" i="5"/>
  <c r="E419" i="5"/>
  <c r="D419" i="5"/>
  <c r="N418" i="5"/>
  <c r="M418" i="5"/>
  <c r="I418" i="5"/>
  <c r="E23" i="9" s="1"/>
  <c r="F418" i="5"/>
  <c r="E418" i="5"/>
  <c r="D418" i="5"/>
  <c r="N417" i="5"/>
  <c r="M417" i="5"/>
  <c r="I417" i="5"/>
  <c r="F417" i="5"/>
  <c r="E417" i="5"/>
  <c r="D417" i="5"/>
  <c r="N416" i="5"/>
  <c r="M416" i="5"/>
  <c r="I416" i="5"/>
  <c r="E16" i="9" s="1"/>
  <c r="F416" i="5"/>
  <c r="E416" i="5"/>
  <c r="D416" i="5"/>
  <c r="N415" i="5"/>
  <c r="M415" i="5"/>
  <c r="I415" i="5"/>
  <c r="F415" i="5"/>
  <c r="E415" i="5"/>
  <c r="D415" i="5"/>
  <c r="N414" i="5"/>
  <c r="M414" i="5"/>
  <c r="I414" i="5"/>
  <c r="E15" i="9" s="1"/>
  <c r="F414" i="5"/>
  <c r="E414" i="5"/>
  <c r="D414" i="5"/>
  <c r="N413" i="5"/>
  <c r="M413" i="5"/>
  <c r="I413" i="5"/>
  <c r="F413" i="5"/>
  <c r="E413" i="5"/>
  <c r="D413" i="5"/>
  <c r="N412" i="5"/>
  <c r="M412" i="5"/>
  <c r="I412" i="5"/>
  <c r="E13" i="9" s="1"/>
  <c r="F412" i="5"/>
  <c r="E412" i="5"/>
  <c r="D412" i="5"/>
  <c r="N411" i="5"/>
  <c r="M411" i="5"/>
  <c r="I411" i="5"/>
  <c r="F411" i="5"/>
  <c r="E411" i="5"/>
  <c r="D411" i="5"/>
  <c r="N410" i="5"/>
  <c r="M410" i="5"/>
  <c r="I410" i="5"/>
  <c r="E12" i="9" s="1"/>
  <c r="F410" i="5"/>
  <c r="E410" i="5"/>
  <c r="D410" i="5"/>
  <c r="N409" i="5"/>
  <c r="M409" i="5"/>
  <c r="I409" i="5"/>
  <c r="F409" i="5"/>
  <c r="E409" i="5"/>
  <c r="D409" i="5"/>
  <c r="N408" i="5"/>
  <c r="M408" i="5"/>
  <c r="I408" i="5"/>
  <c r="E11" i="9" s="1"/>
  <c r="F408" i="5"/>
  <c r="E408" i="5"/>
  <c r="D408" i="5"/>
  <c r="N407" i="5"/>
  <c r="M407" i="5"/>
  <c r="I407" i="5"/>
  <c r="F407" i="5"/>
  <c r="E407" i="5"/>
  <c r="D407" i="5"/>
  <c r="N406" i="5"/>
  <c r="M406" i="5"/>
  <c r="I406" i="5"/>
  <c r="F406" i="5"/>
  <c r="E406" i="5"/>
  <c r="D406" i="5"/>
  <c r="N405" i="5"/>
  <c r="M405" i="5"/>
  <c r="I405" i="5"/>
  <c r="F405" i="5"/>
  <c r="E405" i="5"/>
  <c r="D405" i="5"/>
  <c r="N404" i="5"/>
  <c r="M404" i="5"/>
  <c r="I404" i="5"/>
  <c r="F404" i="5"/>
  <c r="E404" i="5"/>
  <c r="D404" i="5"/>
  <c r="N403" i="5"/>
  <c r="M403" i="5"/>
  <c r="I403" i="5"/>
  <c r="F403" i="5"/>
  <c r="E403" i="5"/>
  <c r="D403" i="5"/>
  <c r="N402" i="5"/>
  <c r="M402" i="5"/>
  <c r="I402" i="5"/>
  <c r="F402" i="5"/>
  <c r="E402" i="5"/>
  <c r="D402" i="5"/>
  <c r="N401" i="5"/>
  <c r="M401" i="5"/>
  <c r="I401" i="5"/>
  <c r="F401" i="5"/>
  <c r="E401" i="5"/>
  <c r="D401" i="5"/>
  <c r="N400" i="5"/>
  <c r="M400" i="5"/>
  <c r="I400" i="5"/>
  <c r="F400" i="5"/>
  <c r="E400" i="5"/>
  <c r="D400" i="5"/>
  <c r="N399" i="5"/>
  <c r="M399" i="5"/>
  <c r="I399" i="5"/>
  <c r="F399" i="5"/>
  <c r="E399" i="5"/>
  <c r="D399" i="5"/>
  <c r="N398" i="5"/>
  <c r="M398" i="5"/>
  <c r="I398" i="5"/>
  <c r="F398" i="5"/>
  <c r="E398" i="5"/>
  <c r="D398" i="5"/>
  <c r="N397" i="5"/>
  <c r="M397" i="5"/>
  <c r="I397" i="5"/>
  <c r="F397" i="5"/>
  <c r="E397" i="5"/>
  <c r="D397" i="5"/>
  <c r="N396" i="5"/>
  <c r="M396" i="5"/>
  <c r="I396" i="5"/>
  <c r="F396" i="5"/>
  <c r="E396" i="5"/>
  <c r="D396" i="5"/>
  <c r="N395" i="5"/>
  <c r="M395" i="5"/>
  <c r="I395" i="5"/>
  <c r="F395" i="5"/>
  <c r="E395" i="5"/>
  <c r="D395" i="5"/>
  <c r="N394" i="5"/>
  <c r="M394" i="5"/>
  <c r="I394" i="5"/>
  <c r="F394" i="5"/>
  <c r="E394" i="5"/>
  <c r="D394" i="5"/>
  <c r="N393" i="5"/>
  <c r="M393" i="5"/>
  <c r="I393" i="5"/>
  <c r="F393" i="5"/>
  <c r="E393" i="5"/>
  <c r="D393" i="5"/>
  <c r="N392" i="5"/>
  <c r="M392" i="5"/>
  <c r="I392" i="5"/>
  <c r="F392" i="5"/>
  <c r="E392" i="5"/>
  <c r="D392" i="5"/>
  <c r="N391" i="5"/>
  <c r="M391" i="5"/>
  <c r="I391" i="5"/>
  <c r="F391" i="5"/>
  <c r="E391" i="5"/>
  <c r="D391" i="5"/>
  <c r="N390" i="5"/>
  <c r="M390" i="5"/>
  <c r="I390" i="5"/>
  <c r="F390" i="5"/>
  <c r="E390" i="5"/>
  <c r="D390" i="5"/>
  <c r="N389" i="5"/>
  <c r="M389" i="5"/>
  <c r="I389" i="5"/>
  <c r="F389" i="5"/>
  <c r="E389" i="5"/>
  <c r="D389" i="5"/>
  <c r="N388" i="5"/>
  <c r="M388" i="5"/>
  <c r="I388" i="5"/>
  <c r="F388" i="5"/>
  <c r="E388" i="5"/>
  <c r="D388" i="5"/>
  <c r="N387" i="5"/>
  <c r="M387" i="5"/>
  <c r="I387" i="5"/>
  <c r="F387" i="5"/>
  <c r="E387" i="5"/>
  <c r="D387" i="5"/>
  <c r="N386" i="5"/>
  <c r="M386" i="5"/>
  <c r="I386" i="5"/>
  <c r="F386" i="5"/>
  <c r="E386" i="5"/>
  <c r="D386" i="5"/>
  <c r="N385" i="5"/>
  <c r="M385" i="5"/>
  <c r="I385" i="5"/>
  <c r="F385" i="5"/>
  <c r="E385" i="5"/>
  <c r="D385" i="5"/>
  <c r="N384" i="5"/>
  <c r="M384" i="5"/>
  <c r="I384" i="5"/>
  <c r="F384" i="5"/>
  <c r="E384" i="5"/>
  <c r="D384" i="5"/>
  <c r="N383" i="5"/>
  <c r="M383" i="5"/>
  <c r="I383" i="5"/>
  <c r="F383" i="5"/>
  <c r="E383" i="5"/>
  <c r="D383" i="5"/>
  <c r="N382" i="5"/>
  <c r="M382" i="5"/>
  <c r="I382" i="5"/>
  <c r="F382" i="5"/>
  <c r="E382" i="5"/>
  <c r="D382" i="5"/>
  <c r="N381" i="5"/>
  <c r="M381" i="5"/>
  <c r="I381" i="5"/>
  <c r="F381" i="5"/>
  <c r="E381" i="5"/>
  <c r="D381" i="5"/>
  <c r="N380" i="5"/>
  <c r="M380" i="5"/>
  <c r="I380" i="5"/>
  <c r="F380" i="5"/>
  <c r="E380" i="5"/>
  <c r="D380" i="5"/>
  <c r="N379" i="5"/>
  <c r="M379" i="5"/>
  <c r="I379" i="5"/>
  <c r="F379" i="5"/>
  <c r="E379" i="5"/>
  <c r="D379" i="5"/>
  <c r="N378" i="5"/>
  <c r="M378" i="5"/>
  <c r="I378" i="5"/>
  <c r="F378" i="5"/>
  <c r="E378" i="5"/>
  <c r="D378" i="5"/>
  <c r="N377" i="5"/>
  <c r="M377" i="5"/>
  <c r="I377" i="5"/>
  <c r="F377" i="5"/>
  <c r="E377" i="5"/>
  <c r="D377" i="5"/>
  <c r="N376" i="5"/>
  <c r="M376" i="5"/>
  <c r="I376" i="5"/>
  <c r="F376" i="5"/>
  <c r="E376" i="5"/>
  <c r="D376" i="5"/>
  <c r="N375" i="5"/>
  <c r="M375" i="5"/>
  <c r="I375" i="5"/>
  <c r="F375" i="5"/>
  <c r="E375" i="5"/>
  <c r="D375" i="5"/>
  <c r="N374" i="5"/>
  <c r="M374" i="5"/>
  <c r="I374" i="5"/>
  <c r="F374" i="5"/>
  <c r="E374" i="5"/>
  <c r="D374" i="5"/>
  <c r="N373" i="5"/>
  <c r="M373" i="5"/>
  <c r="I373" i="5"/>
  <c r="F373" i="5"/>
  <c r="E373" i="5"/>
  <c r="D373" i="5"/>
  <c r="N372" i="5"/>
  <c r="M372" i="5"/>
  <c r="I372" i="5"/>
  <c r="F372" i="5"/>
  <c r="E372" i="5"/>
  <c r="D372" i="5"/>
  <c r="N371" i="5"/>
  <c r="M371" i="5"/>
  <c r="I371" i="5"/>
  <c r="F371" i="5"/>
  <c r="E371" i="5"/>
  <c r="D371" i="5"/>
  <c r="N370" i="5"/>
  <c r="M370" i="5"/>
  <c r="I370" i="5"/>
  <c r="F370" i="5"/>
  <c r="E370" i="5"/>
  <c r="D370" i="5"/>
  <c r="N369" i="5"/>
  <c r="M369" i="5"/>
  <c r="I369" i="5"/>
  <c r="F369" i="5"/>
  <c r="E369" i="5"/>
  <c r="D369" i="5"/>
  <c r="N368" i="5"/>
  <c r="M368" i="5"/>
  <c r="I368" i="5"/>
  <c r="F368" i="5"/>
  <c r="E368" i="5"/>
  <c r="D368" i="5"/>
  <c r="N367" i="5"/>
  <c r="M367" i="5"/>
  <c r="I367" i="5"/>
  <c r="F367" i="5"/>
  <c r="E367" i="5"/>
  <c r="D367" i="5"/>
  <c r="N366" i="5"/>
  <c r="M366" i="5"/>
  <c r="I366" i="5"/>
  <c r="F366" i="5"/>
  <c r="E366" i="5"/>
  <c r="D366" i="5"/>
  <c r="N365" i="5"/>
  <c r="M365" i="5"/>
  <c r="I365" i="5"/>
  <c r="F365" i="5"/>
  <c r="E365" i="5"/>
  <c r="D365" i="5"/>
  <c r="N364" i="5"/>
  <c r="M364" i="5"/>
  <c r="I364" i="5"/>
  <c r="F364" i="5"/>
  <c r="E364" i="5"/>
  <c r="D364" i="5"/>
  <c r="N363" i="5"/>
  <c r="M363" i="5"/>
  <c r="I363" i="5"/>
  <c r="F363" i="5"/>
  <c r="E363" i="5"/>
  <c r="D363" i="5"/>
  <c r="N362" i="5"/>
  <c r="M362" i="5"/>
  <c r="I362" i="5"/>
  <c r="F362" i="5"/>
  <c r="E362" i="5"/>
  <c r="D362" i="5"/>
  <c r="N361" i="5"/>
  <c r="M361" i="5"/>
  <c r="I361" i="5"/>
  <c r="F361" i="5"/>
  <c r="E361" i="5"/>
  <c r="D361" i="5"/>
  <c r="N360" i="5"/>
  <c r="M360" i="5"/>
  <c r="I360" i="5"/>
  <c r="F360" i="5"/>
  <c r="E360" i="5"/>
  <c r="D360" i="5"/>
  <c r="N359" i="5"/>
  <c r="M359" i="5"/>
  <c r="I359" i="5"/>
  <c r="F359" i="5"/>
  <c r="E359" i="5"/>
  <c r="D359" i="5"/>
  <c r="N358" i="5"/>
  <c r="M358" i="5"/>
  <c r="I358" i="5"/>
  <c r="F358" i="5"/>
  <c r="E358" i="5"/>
  <c r="D358" i="5"/>
  <c r="N357" i="5"/>
  <c r="M357" i="5"/>
  <c r="I357" i="5"/>
  <c r="F357" i="5"/>
  <c r="E357" i="5"/>
  <c r="D357" i="5"/>
  <c r="N356" i="5"/>
  <c r="M356" i="5"/>
  <c r="I356" i="5"/>
  <c r="F356" i="5"/>
  <c r="E356" i="5"/>
  <c r="D356" i="5"/>
  <c r="N355" i="5"/>
  <c r="M355" i="5"/>
  <c r="I355" i="5"/>
  <c r="F355" i="5"/>
  <c r="E355" i="5"/>
  <c r="D355" i="5"/>
  <c r="N354" i="5"/>
  <c r="M354" i="5"/>
  <c r="I354" i="5"/>
  <c r="F354" i="5"/>
  <c r="E354" i="5"/>
  <c r="D354" i="5"/>
  <c r="N353" i="5"/>
  <c r="M353" i="5"/>
  <c r="I353" i="5"/>
  <c r="F353" i="5"/>
  <c r="E353" i="5"/>
  <c r="D353" i="5"/>
  <c r="N352" i="5"/>
  <c r="M352" i="5"/>
  <c r="I352" i="5"/>
  <c r="F352" i="5"/>
  <c r="E352" i="5"/>
  <c r="D352" i="5"/>
  <c r="N351" i="5"/>
  <c r="M351" i="5"/>
  <c r="I351" i="5"/>
  <c r="F351" i="5"/>
  <c r="E351" i="5"/>
  <c r="D351" i="5"/>
  <c r="N350" i="5"/>
  <c r="M350" i="5"/>
  <c r="I350" i="5"/>
  <c r="F350" i="5"/>
  <c r="E350" i="5"/>
  <c r="D350" i="5"/>
  <c r="N349" i="5"/>
  <c r="M349" i="5"/>
  <c r="I349" i="5"/>
  <c r="F349" i="5"/>
  <c r="E349" i="5"/>
  <c r="D349" i="5"/>
  <c r="N348" i="5"/>
  <c r="M348" i="5"/>
  <c r="I348" i="5"/>
  <c r="F348" i="5"/>
  <c r="E348" i="5"/>
  <c r="D348" i="5"/>
  <c r="N347" i="5"/>
  <c r="M347" i="5"/>
  <c r="I347" i="5"/>
  <c r="F347" i="5"/>
  <c r="E347" i="5"/>
  <c r="D347" i="5"/>
  <c r="N346" i="5"/>
  <c r="M346" i="5"/>
  <c r="I346" i="5"/>
  <c r="F346" i="5"/>
  <c r="E346" i="5"/>
  <c r="D346" i="5"/>
  <c r="N345" i="5"/>
  <c r="M345" i="5"/>
  <c r="I345" i="5"/>
  <c r="F345" i="5"/>
  <c r="E345" i="5"/>
  <c r="D345" i="5"/>
  <c r="N344" i="5"/>
  <c r="M344" i="5"/>
  <c r="I344" i="5"/>
  <c r="F344" i="5"/>
  <c r="E344" i="5"/>
  <c r="D344" i="5"/>
  <c r="N343" i="5"/>
  <c r="M343" i="5"/>
  <c r="I343" i="5"/>
  <c r="F343" i="5"/>
  <c r="E343" i="5"/>
  <c r="D343" i="5"/>
  <c r="N342" i="5"/>
  <c r="M342" i="5"/>
  <c r="I342" i="5"/>
  <c r="F342" i="5"/>
  <c r="E342" i="5"/>
  <c r="D342" i="5"/>
  <c r="N341" i="5"/>
  <c r="M341" i="5"/>
  <c r="I341" i="5"/>
  <c r="F341" i="5"/>
  <c r="E341" i="5"/>
  <c r="D341" i="5"/>
  <c r="N340" i="5"/>
  <c r="M340" i="5"/>
  <c r="I340" i="5"/>
  <c r="F340" i="5"/>
  <c r="E340" i="5"/>
  <c r="D340" i="5"/>
  <c r="N339" i="5"/>
  <c r="M339" i="5"/>
  <c r="I339" i="5"/>
  <c r="F339" i="5"/>
  <c r="E339" i="5"/>
  <c r="D339" i="5"/>
  <c r="N338" i="5"/>
  <c r="M338" i="5"/>
  <c r="I338" i="5"/>
  <c r="F338" i="5"/>
  <c r="E338" i="5"/>
  <c r="D338" i="5"/>
  <c r="N337" i="5"/>
  <c r="M337" i="5"/>
  <c r="I337" i="5"/>
  <c r="F337" i="5"/>
  <c r="E337" i="5"/>
  <c r="D337" i="5"/>
  <c r="N336" i="5"/>
  <c r="M336" i="5"/>
  <c r="I336" i="5"/>
  <c r="F336" i="5"/>
  <c r="E336" i="5"/>
  <c r="D336" i="5"/>
  <c r="N335" i="5"/>
  <c r="M335" i="5"/>
  <c r="I335" i="5"/>
  <c r="F335" i="5"/>
  <c r="E335" i="5"/>
  <c r="D335" i="5"/>
  <c r="N334" i="5"/>
  <c r="M334" i="5"/>
  <c r="I334" i="5"/>
  <c r="F334" i="5"/>
  <c r="E334" i="5"/>
  <c r="D334" i="5"/>
  <c r="N333" i="5"/>
  <c r="M333" i="5"/>
  <c r="I333" i="5"/>
  <c r="F333" i="5"/>
  <c r="E333" i="5"/>
  <c r="D333" i="5"/>
  <c r="N332" i="5"/>
  <c r="M332" i="5"/>
  <c r="I332" i="5"/>
  <c r="F332" i="5"/>
  <c r="E332" i="5"/>
  <c r="D332" i="5"/>
  <c r="N331" i="5"/>
  <c r="M331" i="5"/>
  <c r="I331" i="5"/>
  <c r="F331" i="5"/>
  <c r="E331" i="5"/>
  <c r="D331" i="5"/>
  <c r="N330" i="5"/>
  <c r="M330" i="5"/>
  <c r="I330" i="5"/>
  <c r="F330" i="5"/>
  <c r="E330" i="5"/>
  <c r="D330" i="5"/>
  <c r="N329" i="5"/>
  <c r="M329" i="5"/>
  <c r="I329" i="5"/>
  <c r="F329" i="5"/>
  <c r="E329" i="5"/>
  <c r="D329" i="5"/>
  <c r="N328" i="5"/>
  <c r="M328" i="5"/>
  <c r="I328" i="5"/>
  <c r="F328" i="5"/>
  <c r="E328" i="5"/>
  <c r="D328" i="5"/>
  <c r="N327" i="5"/>
  <c r="M327" i="5"/>
  <c r="I327" i="5"/>
  <c r="F327" i="5"/>
  <c r="E327" i="5"/>
  <c r="D327" i="5"/>
  <c r="N326" i="5"/>
  <c r="M326" i="5"/>
  <c r="I326" i="5"/>
  <c r="F326" i="5"/>
  <c r="E326" i="5"/>
  <c r="D326" i="5"/>
  <c r="N325" i="5"/>
  <c r="M325" i="5"/>
  <c r="I325" i="5"/>
  <c r="F325" i="5"/>
  <c r="E325" i="5"/>
  <c r="D325" i="5"/>
  <c r="N324" i="5"/>
  <c r="M324" i="5"/>
  <c r="I324" i="5"/>
  <c r="F324" i="5"/>
  <c r="E324" i="5"/>
  <c r="D324" i="5"/>
  <c r="N323" i="5"/>
  <c r="M323" i="5"/>
  <c r="I323" i="5"/>
  <c r="F323" i="5"/>
  <c r="E323" i="5"/>
  <c r="D323" i="5"/>
  <c r="N322" i="5"/>
  <c r="M322" i="5"/>
  <c r="I322" i="5"/>
  <c r="F322" i="5"/>
  <c r="E322" i="5"/>
  <c r="D322" i="5"/>
  <c r="N321" i="5"/>
  <c r="M321" i="5"/>
  <c r="I321" i="5"/>
  <c r="F321" i="5"/>
  <c r="E321" i="5"/>
  <c r="D321" i="5"/>
  <c r="N320" i="5"/>
  <c r="M320" i="5"/>
  <c r="I320" i="5"/>
  <c r="C7" i="14" s="1"/>
  <c r="F320" i="5"/>
  <c r="E320" i="5"/>
  <c r="D320" i="5"/>
  <c r="N319" i="5"/>
  <c r="M319" i="5"/>
  <c r="I319" i="5"/>
  <c r="B7" i="14" s="1"/>
  <c r="F319" i="5"/>
  <c r="E319" i="5"/>
  <c r="D319" i="5"/>
  <c r="N318" i="5"/>
  <c r="M318" i="5"/>
  <c r="I318" i="5"/>
  <c r="F318" i="5"/>
  <c r="E318" i="5"/>
  <c r="D318" i="5"/>
  <c r="N317" i="5"/>
  <c r="M317" i="5"/>
  <c r="I317" i="5"/>
  <c r="F317" i="5"/>
  <c r="E317" i="5"/>
  <c r="D317" i="5"/>
  <c r="N316" i="5"/>
  <c r="M316" i="5"/>
  <c r="I316" i="5"/>
  <c r="D20" i="9" s="1"/>
  <c r="F316" i="5"/>
  <c r="E316" i="5"/>
  <c r="D316" i="5"/>
  <c r="N315" i="5"/>
  <c r="M315" i="5"/>
  <c r="I315" i="5"/>
  <c r="F315" i="5"/>
  <c r="E315" i="5"/>
  <c r="D315" i="5"/>
  <c r="N314" i="5"/>
  <c r="M314" i="5"/>
  <c r="I314" i="5"/>
  <c r="D23" i="9" s="1"/>
  <c r="F314" i="5"/>
  <c r="E314" i="5"/>
  <c r="D314" i="5"/>
  <c r="N313" i="5"/>
  <c r="M313" i="5"/>
  <c r="I313" i="5"/>
  <c r="F313" i="5"/>
  <c r="E313" i="5"/>
  <c r="D313" i="5"/>
  <c r="N312" i="5"/>
  <c r="M312" i="5"/>
  <c r="I312" i="5"/>
  <c r="D16" i="9" s="1"/>
  <c r="F312" i="5"/>
  <c r="E312" i="5"/>
  <c r="D312" i="5"/>
  <c r="N311" i="5"/>
  <c r="M311" i="5"/>
  <c r="I311" i="5"/>
  <c r="F311" i="5"/>
  <c r="E311" i="5"/>
  <c r="D311" i="5"/>
  <c r="N310" i="5"/>
  <c r="M310" i="5"/>
  <c r="I310" i="5"/>
  <c r="D15" i="9" s="1"/>
  <c r="F310" i="5"/>
  <c r="E310" i="5"/>
  <c r="D310" i="5"/>
  <c r="N309" i="5"/>
  <c r="M309" i="5"/>
  <c r="I309" i="5"/>
  <c r="F309" i="5"/>
  <c r="E309" i="5"/>
  <c r="D309" i="5"/>
  <c r="N308" i="5"/>
  <c r="M308" i="5"/>
  <c r="I308" i="5"/>
  <c r="D13" i="9" s="1"/>
  <c r="F308" i="5"/>
  <c r="E308" i="5"/>
  <c r="D308" i="5"/>
  <c r="N307" i="5"/>
  <c r="M307" i="5"/>
  <c r="I307" i="5"/>
  <c r="F307" i="5"/>
  <c r="E307" i="5"/>
  <c r="D307" i="5"/>
  <c r="N306" i="5"/>
  <c r="M306" i="5"/>
  <c r="I306" i="5"/>
  <c r="D12" i="9" s="1"/>
  <c r="F306" i="5"/>
  <c r="E306" i="5"/>
  <c r="D306" i="5"/>
  <c r="N305" i="5"/>
  <c r="M305" i="5"/>
  <c r="I305" i="5"/>
  <c r="F305" i="5"/>
  <c r="E305" i="5"/>
  <c r="D305" i="5"/>
  <c r="N304" i="5"/>
  <c r="M304" i="5"/>
  <c r="I304" i="5"/>
  <c r="D11" i="9" s="1"/>
  <c r="F304" i="5"/>
  <c r="E304" i="5"/>
  <c r="D304" i="5"/>
  <c r="N303" i="5"/>
  <c r="M303" i="5"/>
  <c r="I303" i="5"/>
  <c r="F303" i="5"/>
  <c r="E303" i="5"/>
  <c r="D303" i="5"/>
  <c r="N302" i="5"/>
  <c r="M302" i="5"/>
  <c r="I302" i="5"/>
  <c r="F302" i="5"/>
  <c r="E302" i="5"/>
  <c r="D302" i="5"/>
  <c r="N301" i="5"/>
  <c r="M301" i="5"/>
  <c r="I301" i="5"/>
  <c r="F301" i="5"/>
  <c r="E301" i="5"/>
  <c r="D301" i="5"/>
  <c r="N300" i="5"/>
  <c r="M300" i="5"/>
  <c r="I300" i="5"/>
  <c r="F300" i="5"/>
  <c r="E300" i="5"/>
  <c r="D300" i="5"/>
  <c r="N299" i="5"/>
  <c r="M299" i="5"/>
  <c r="I299" i="5"/>
  <c r="F299" i="5"/>
  <c r="E299" i="5"/>
  <c r="D299" i="5"/>
  <c r="N298" i="5"/>
  <c r="M298" i="5"/>
  <c r="I298" i="5"/>
  <c r="F298" i="5"/>
  <c r="E298" i="5"/>
  <c r="D298" i="5"/>
  <c r="N297" i="5"/>
  <c r="M297" i="5"/>
  <c r="I297" i="5"/>
  <c r="F297" i="5"/>
  <c r="E297" i="5"/>
  <c r="D297" i="5"/>
  <c r="N296" i="5"/>
  <c r="M296" i="5"/>
  <c r="I296" i="5"/>
  <c r="F296" i="5"/>
  <c r="E296" i="5"/>
  <c r="D296" i="5"/>
  <c r="N295" i="5"/>
  <c r="M295" i="5"/>
  <c r="I295" i="5"/>
  <c r="F295" i="5"/>
  <c r="E295" i="5"/>
  <c r="D295" i="5"/>
  <c r="N294" i="5"/>
  <c r="M294" i="5"/>
  <c r="I294" i="5"/>
  <c r="F294" i="5"/>
  <c r="E294" i="5"/>
  <c r="D294" i="5"/>
  <c r="N293" i="5"/>
  <c r="M293" i="5"/>
  <c r="I293" i="5"/>
  <c r="F293" i="5"/>
  <c r="E293" i="5"/>
  <c r="D293" i="5"/>
  <c r="N292" i="5"/>
  <c r="M292" i="5"/>
  <c r="I292" i="5"/>
  <c r="F292" i="5"/>
  <c r="E292" i="5"/>
  <c r="D292" i="5"/>
  <c r="N291" i="5"/>
  <c r="M291" i="5"/>
  <c r="I291" i="5"/>
  <c r="F291" i="5"/>
  <c r="E291" i="5"/>
  <c r="D291" i="5"/>
  <c r="N290" i="5"/>
  <c r="M290" i="5"/>
  <c r="I290" i="5"/>
  <c r="F290" i="5"/>
  <c r="E290" i="5"/>
  <c r="D290" i="5"/>
  <c r="N289" i="5"/>
  <c r="M289" i="5"/>
  <c r="I289" i="5"/>
  <c r="F289" i="5"/>
  <c r="E289" i="5"/>
  <c r="D289" i="5"/>
  <c r="N288" i="5"/>
  <c r="M288" i="5"/>
  <c r="I288" i="5"/>
  <c r="F288" i="5"/>
  <c r="E288" i="5"/>
  <c r="D288" i="5"/>
  <c r="N287" i="5"/>
  <c r="M287" i="5"/>
  <c r="I287" i="5"/>
  <c r="F287" i="5"/>
  <c r="E287" i="5"/>
  <c r="D287" i="5"/>
  <c r="N286" i="5"/>
  <c r="M286" i="5"/>
  <c r="I286" i="5"/>
  <c r="F286" i="5"/>
  <c r="E286" i="5"/>
  <c r="D286" i="5"/>
  <c r="N285" i="5"/>
  <c r="M285" i="5"/>
  <c r="I285" i="5"/>
  <c r="F285" i="5"/>
  <c r="E285" i="5"/>
  <c r="D285" i="5"/>
  <c r="N284" i="5"/>
  <c r="M284" i="5"/>
  <c r="I284" i="5"/>
  <c r="F284" i="5"/>
  <c r="E284" i="5"/>
  <c r="D284" i="5"/>
  <c r="N283" i="5"/>
  <c r="M283" i="5"/>
  <c r="I283" i="5"/>
  <c r="F283" i="5"/>
  <c r="E283" i="5"/>
  <c r="D283" i="5"/>
  <c r="N282" i="5"/>
  <c r="M282" i="5"/>
  <c r="I282" i="5"/>
  <c r="F282" i="5"/>
  <c r="E282" i="5"/>
  <c r="D282" i="5"/>
  <c r="N281" i="5"/>
  <c r="M281" i="5"/>
  <c r="I281" i="5"/>
  <c r="F281" i="5"/>
  <c r="E281" i="5"/>
  <c r="D281" i="5"/>
  <c r="N280" i="5"/>
  <c r="M280" i="5"/>
  <c r="I280" i="5"/>
  <c r="F280" i="5"/>
  <c r="E280" i="5"/>
  <c r="D280" i="5"/>
  <c r="N279" i="5"/>
  <c r="M279" i="5"/>
  <c r="I279" i="5"/>
  <c r="F279" i="5"/>
  <c r="E279" i="5"/>
  <c r="D279" i="5"/>
  <c r="N278" i="5"/>
  <c r="M278" i="5"/>
  <c r="I278" i="5"/>
  <c r="F278" i="5"/>
  <c r="E278" i="5"/>
  <c r="D278" i="5"/>
  <c r="N277" i="5"/>
  <c r="M277" i="5"/>
  <c r="I277" i="5"/>
  <c r="F277" i="5"/>
  <c r="E277" i="5"/>
  <c r="D277" i="5"/>
  <c r="N276" i="5"/>
  <c r="M276" i="5"/>
  <c r="I276" i="5"/>
  <c r="F276" i="5"/>
  <c r="E276" i="5"/>
  <c r="D276" i="5"/>
  <c r="N275" i="5"/>
  <c r="M275" i="5"/>
  <c r="I275" i="5"/>
  <c r="F275" i="5"/>
  <c r="E275" i="5"/>
  <c r="D275" i="5"/>
  <c r="N274" i="5"/>
  <c r="M274" i="5"/>
  <c r="I274" i="5"/>
  <c r="F274" i="5"/>
  <c r="E274" i="5"/>
  <c r="D274" i="5"/>
  <c r="N273" i="5"/>
  <c r="M273" i="5"/>
  <c r="I273" i="5"/>
  <c r="F273" i="5"/>
  <c r="E273" i="5"/>
  <c r="D273" i="5"/>
  <c r="N272" i="5"/>
  <c r="M272" i="5"/>
  <c r="I272" i="5"/>
  <c r="F272" i="5"/>
  <c r="E272" i="5"/>
  <c r="D272" i="5"/>
  <c r="N271" i="5"/>
  <c r="M271" i="5"/>
  <c r="I271" i="5"/>
  <c r="F271" i="5"/>
  <c r="E271" i="5"/>
  <c r="D271" i="5"/>
  <c r="N270" i="5"/>
  <c r="M270" i="5"/>
  <c r="I270" i="5"/>
  <c r="F270" i="5"/>
  <c r="E270" i="5"/>
  <c r="D270" i="5"/>
  <c r="N269" i="5"/>
  <c r="M269" i="5"/>
  <c r="I269" i="5"/>
  <c r="F269" i="5"/>
  <c r="E269" i="5"/>
  <c r="D269" i="5"/>
  <c r="N268" i="5"/>
  <c r="M268" i="5"/>
  <c r="I268" i="5"/>
  <c r="F268" i="5"/>
  <c r="E268" i="5"/>
  <c r="D268" i="5"/>
  <c r="N267" i="5"/>
  <c r="M267" i="5"/>
  <c r="I267" i="5"/>
  <c r="F267" i="5"/>
  <c r="E267" i="5"/>
  <c r="D267" i="5"/>
  <c r="N266" i="5"/>
  <c r="M266" i="5"/>
  <c r="I266" i="5"/>
  <c r="F266" i="5"/>
  <c r="E266" i="5"/>
  <c r="D266" i="5"/>
  <c r="N265" i="5"/>
  <c r="M265" i="5"/>
  <c r="I265" i="5"/>
  <c r="F265" i="5"/>
  <c r="E265" i="5"/>
  <c r="D265" i="5"/>
  <c r="N264" i="5"/>
  <c r="M264" i="5"/>
  <c r="I264" i="5"/>
  <c r="F264" i="5"/>
  <c r="E264" i="5"/>
  <c r="D264" i="5"/>
  <c r="N263" i="5"/>
  <c r="M263" i="5"/>
  <c r="I263" i="5"/>
  <c r="F263" i="5"/>
  <c r="E263" i="5"/>
  <c r="D263" i="5"/>
  <c r="N262" i="5"/>
  <c r="M262" i="5"/>
  <c r="I262" i="5"/>
  <c r="F262" i="5"/>
  <c r="E262" i="5"/>
  <c r="D262" i="5"/>
  <c r="N261" i="5"/>
  <c r="M261" i="5"/>
  <c r="I261" i="5"/>
  <c r="F261" i="5"/>
  <c r="E261" i="5"/>
  <c r="D261" i="5"/>
  <c r="N260" i="5"/>
  <c r="M260" i="5"/>
  <c r="I260" i="5"/>
  <c r="F260" i="5"/>
  <c r="E260" i="5"/>
  <c r="D260" i="5"/>
  <c r="N259" i="5"/>
  <c r="M259" i="5"/>
  <c r="I259" i="5"/>
  <c r="F259" i="5"/>
  <c r="E259" i="5"/>
  <c r="D259" i="5"/>
  <c r="N258" i="5"/>
  <c r="M258" i="5"/>
  <c r="I258" i="5"/>
  <c r="F258" i="5"/>
  <c r="E258" i="5"/>
  <c r="D258" i="5"/>
  <c r="N257" i="5"/>
  <c r="M257" i="5"/>
  <c r="I257" i="5"/>
  <c r="F257" i="5"/>
  <c r="E257" i="5"/>
  <c r="D257" i="5"/>
  <c r="N256" i="5"/>
  <c r="M256" i="5"/>
  <c r="I256" i="5"/>
  <c r="F256" i="5"/>
  <c r="E256" i="5"/>
  <c r="D256" i="5"/>
  <c r="N255" i="5"/>
  <c r="M255" i="5"/>
  <c r="I255" i="5"/>
  <c r="F255" i="5"/>
  <c r="E255" i="5"/>
  <c r="D255" i="5"/>
  <c r="N254" i="5"/>
  <c r="M254" i="5"/>
  <c r="I254" i="5"/>
  <c r="F254" i="5"/>
  <c r="E254" i="5"/>
  <c r="D254" i="5"/>
  <c r="N253" i="5"/>
  <c r="M253" i="5"/>
  <c r="I253" i="5"/>
  <c r="F253" i="5"/>
  <c r="E253" i="5"/>
  <c r="D253" i="5"/>
  <c r="N252" i="5"/>
  <c r="M252" i="5"/>
  <c r="I252" i="5"/>
  <c r="F252" i="5"/>
  <c r="E252" i="5"/>
  <c r="D252" i="5"/>
  <c r="N251" i="5"/>
  <c r="M251" i="5"/>
  <c r="I251" i="5"/>
  <c r="F251" i="5"/>
  <c r="E251" i="5"/>
  <c r="D251" i="5"/>
  <c r="N250" i="5"/>
  <c r="M250" i="5"/>
  <c r="I250" i="5"/>
  <c r="F250" i="5"/>
  <c r="E250" i="5"/>
  <c r="D250" i="5"/>
  <c r="N249" i="5"/>
  <c r="M249" i="5"/>
  <c r="I249" i="5"/>
  <c r="F249" i="5"/>
  <c r="E249" i="5"/>
  <c r="D249" i="5"/>
  <c r="N248" i="5"/>
  <c r="M248" i="5"/>
  <c r="I248" i="5"/>
  <c r="F248" i="5"/>
  <c r="E248" i="5"/>
  <c r="D248" i="5"/>
  <c r="N247" i="5"/>
  <c r="M247" i="5"/>
  <c r="I247" i="5"/>
  <c r="F247" i="5"/>
  <c r="E247" i="5"/>
  <c r="D247" i="5"/>
  <c r="N246" i="5"/>
  <c r="M246" i="5"/>
  <c r="I246" i="5"/>
  <c r="F246" i="5"/>
  <c r="E246" i="5"/>
  <c r="D246" i="5"/>
  <c r="N245" i="5"/>
  <c r="M245" i="5"/>
  <c r="I245" i="5"/>
  <c r="F245" i="5"/>
  <c r="E245" i="5"/>
  <c r="D245" i="5"/>
  <c r="N244" i="5"/>
  <c r="M244" i="5"/>
  <c r="I244" i="5"/>
  <c r="F244" i="5"/>
  <c r="E244" i="5"/>
  <c r="D244" i="5"/>
  <c r="N243" i="5"/>
  <c r="M243" i="5"/>
  <c r="I243" i="5"/>
  <c r="F243" i="5"/>
  <c r="E243" i="5"/>
  <c r="D243" i="5"/>
  <c r="N242" i="5"/>
  <c r="M242" i="5"/>
  <c r="I242" i="5"/>
  <c r="F242" i="5"/>
  <c r="E242" i="5"/>
  <c r="D242" i="5"/>
  <c r="N241" i="5"/>
  <c r="M241" i="5"/>
  <c r="I241" i="5"/>
  <c r="F241" i="5"/>
  <c r="E241" i="5"/>
  <c r="D241" i="5"/>
  <c r="N240" i="5"/>
  <c r="M240" i="5"/>
  <c r="I240" i="5"/>
  <c r="F240" i="5"/>
  <c r="E240" i="5"/>
  <c r="D240" i="5"/>
  <c r="N239" i="5"/>
  <c r="M239" i="5"/>
  <c r="I239" i="5"/>
  <c r="F239" i="5"/>
  <c r="E239" i="5"/>
  <c r="D239" i="5"/>
  <c r="N238" i="5"/>
  <c r="M238" i="5"/>
  <c r="I238" i="5"/>
  <c r="F238" i="5"/>
  <c r="E238" i="5"/>
  <c r="D238" i="5"/>
  <c r="N237" i="5"/>
  <c r="M237" i="5"/>
  <c r="I237" i="5"/>
  <c r="F237" i="5"/>
  <c r="E237" i="5"/>
  <c r="D237" i="5"/>
  <c r="N236" i="5"/>
  <c r="M236" i="5"/>
  <c r="I236" i="5"/>
  <c r="F236" i="5"/>
  <c r="E236" i="5"/>
  <c r="D236" i="5"/>
  <c r="N235" i="5"/>
  <c r="M235" i="5"/>
  <c r="I235" i="5"/>
  <c r="F235" i="5"/>
  <c r="E235" i="5"/>
  <c r="D235" i="5"/>
  <c r="N234" i="5"/>
  <c r="M234" i="5"/>
  <c r="I234" i="5"/>
  <c r="F234" i="5"/>
  <c r="E234" i="5"/>
  <c r="D234" i="5"/>
  <c r="N233" i="5"/>
  <c r="M233" i="5"/>
  <c r="I233" i="5"/>
  <c r="F233" i="5"/>
  <c r="E233" i="5"/>
  <c r="D233" i="5"/>
  <c r="N232" i="5"/>
  <c r="M232" i="5"/>
  <c r="I232" i="5"/>
  <c r="F232" i="5"/>
  <c r="E232" i="5"/>
  <c r="D232" i="5"/>
  <c r="N231" i="5"/>
  <c r="M231" i="5"/>
  <c r="I231" i="5"/>
  <c r="F231" i="5"/>
  <c r="E231" i="5"/>
  <c r="D231" i="5"/>
  <c r="N230" i="5"/>
  <c r="M230" i="5"/>
  <c r="I230" i="5"/>
  <c r="F230" i="5"/>
  <c r="E230" i="5"/>
  <c r="D230" i="5"/>
  <c r="N229" i="5"/>
  <c r="M229" i="5"/>
  <c r="I229" i="5"/>
  <c r="F229" i="5"/>
  <c r="E229" i="5"/>
  <c r="D229" i="5"/>
  <c r="N228" i="5"/>
  <c r="M228" i="5"/>
  <c r="I228" i="5"/>
  <c r="F228" i="5"/>
  <c r="E228" i="5"/>
  <c r="D228" i="5"/>
  <c r="N227" i="5"/>
  <c r="M227" i="5"/>
  <c r="I227" i="5"/>
  <c r="F227" i="5"/>
  <c r="E227" i="5"/>
  <c r="D227" i="5"/>
  <c r="N226" i="5"/>
  <c r="M226" i="5"/>
  <c r="I226" i="5"/>
  <c r="F226" i="5"/>
  <c r="E226" i="5"/>
  <c r="D226" i="5"/>
  <c r="N225" i="5"/>
  <c r="M225" i="5"/>
  <c r="I225" i="5"/>
  <c r="F225" i="5"/>
  <c r="E225" i="5"/>
  <c r="D225" i="5"/>
  <c r="N224" i="5"/>
  <c r="M224" i="5"/>
  <c r="I224" i="5"/>
  <c r="F224" i="5"/>
  <c r="E224" i="5"/>
  <c r="D224" i="5"/>
  <c r="N223" i="5"/>
  <c r="M223" i="5"/>
  <c r="I223" i="5"/>
  <c r="F223" i="5"/>
  <c r="E223" i="5"/>
  <c r="D223" i="5"/>
  <c r="N222" i="5"/>
  <c r="M222" i="5"/>
  <c r="I222" i="5"/>
  <c r="F222" i="5"/>
  <c r="E222" i="5"/>
  <c r="D222" i="5"/>
  <c r="N221" i="5"/>
  <c r="M221" i="5"/>
  <c r="I221" i="5"/>
  <c r="F221" i="5"/>
  <c r="E221" i="5"/>
  <c r="D221" i="5"/>
  <c r="N220" i="5"/>
  <c r="M220" i="5"/>
  <c r="I220" i="5"/>
  <c r="F220" i="5"/>
  <c r="E220" i="5"/>
  <c r="D220" i="5"/>
  <c r="N219" i="5"/>
  <c r="M219" i="5"/>
  <c r="I219" i="5"/>
  <c r="F219" i="5"/>
  <c r="E219" i="5"/>
  <c r="D219" i="5"/>
  <c r="N218" i="5"/>
  <c r="M218" i="5"/>
  <c r="I218" i="5"/>
  <c r="F218" i="5"/>
  <c r="E218" i="5"/>
  <c r="D218" i="5"/>
  <c r="N217" i="5"/>
  <c r="M217" i="5"/>
  <c r="I217" i="5"/>
  <c r="F217" i="5"/>
  <c r="E217" i="5"/>
  <c r="D217" i="5"/>
  <c r="N216" i="5"/>
  <c r="M216" i="5"/>
  <c r="I216" i="5"/>
  <c r="C6" i="14" s="1"/>
  <c r="F216" i="5"/>
  <c r="E216" i="5"/>
  <c r="D216" i="5"/>
  <c r="N215" i="5"/>
  <c r="M215" i="5"/>
  <c r="I215" i="5"/>
  <c r="B6" i="14" s="1"/>
  <c r="F215" i="5"/>
  <c r="E215" i="5"/>
  <c r="D215" i="5"/>
  <c r="N214" i="5"/>
  <c r="M214" i="5"/>
  <c r="I214" i="5"/>
  <c r="F214" i="5"/>
  <c r="E214" i="5"/>
  <c r="D214" i="5"/>
  <c r="N213" i="5"/>
  <c r="M213" i="5"/>
  <c r="I213" i="5"/>
  <c r="F213" i="5"/>
  <c r="E213" i="5"/>
  <c r="D213" i="5"/>
  <c r="N212" i="5"/>
  <c r="M212" i="5"/>
  <c r="I212" i="5"/>
  <c r="C20" i="9" s="1"/>
  <c r="F212" i="5"/>
  <c r="E212" i="5"/>
  <c r="D212" i="5"/>
  <c r="N211" i="5"/>
  <c r="M211" i="5"/>
  <c r="I211" i="5"/>
  <c r="F211" i="5"/>
  <c r="E211" i="5"/>
  <c r="D211" i="5"/>
  <c r="N210" i="5"/>
  <c r="M210" i="5"/>
  <c r="I210" i="5"/>
  <c r="C23" i="9" s="1"/>
  <c r="F210" i="5"/>
  <c r="E210" i="5"/>
  <c r="D210" i="5"/>
  <c r="N209" i="5"/>
  <c r="M209" i="5"/>
  <c r="I209" i="5"/>
  <c r="F209" i="5"/>
  <c r="E209" i="5"/>
  <c r="D209" i="5"/>
  <c r="N208" i="5"/>
  <c r="M208" i="5"/>
  <c r="I208" i="5"/>
  <c r="C16" i="9" s="1"/>
  <c r="F208" i="5"/>
  <c r="E208" i="5"/>
  <c r="D208" i="5"/>
  <c r="N207" i="5"/>
  <c r="M207" i="5"/>
  <c r="I207" i="5"/>
  <c r="F207" i="5"/>
  <c r="E207" i="5"/>
  <c r="D207" i="5"/>
  <c r="N206" i="5"/>
  <c r="M206" i="5"/>
  <c r="I206" i="5"/>
  <c r="C15" i="9" s="1"/>
  <c r="F206" i="5"/>
  <c r="E206" i="5"/>
  <c r="D206" i="5"/>
  <c r="N205" i="5"/>
  <c r="M205" i="5"/>
  <c r="I205" i="5"/>
  <c r="F205" i="5"/>
  <c r="E205" i="5"/>
  <c r="D205" i="5"/>
  <c r="N204" i="5"/>
  <c r="M204" i="5"/>
  <c r="I204" i="5"/>
  <c r="C13" i="9" s="1"/>
  <c r="F204" i="5"/>
  <c r="E204" i="5"/>
  <c r="D204" i="5"/>
  <c r="N203" i="5"/>
  <c r="M203" i="5"/>
  <c r="I203" i="5"/>
  <c r="F203" i="5"/>
  <c r="E203" i="5"/>
  <c r="D203" i="5"/>
  <c r="N202" i="5"/>
  <c r="M202" i="5"/>
  <c r="I202" i="5"/>
  <c r="C12" i="9" s="1"/>
  <c r="F202" i="5"/>
  <c r="E202" i="5"/>
  <c r="D202" i="5"/>
  <c r="N201" i="5"/>
  <c r="M201" i="5"/>
  <c r="I201" i="5"/>
  <c r="F201" i="5"/>
  <c r="E201" i="5"/>
  <c r="D201" i="5"/>
  <c r="N200" i="5"/>
  <c r="M200" i="5"/>
  <c r="I200" i="5"/>
  <c r="F200" i="5"/>
  <c r="E200" i="5"/>
  <c r="D200" i="5"/>
  <c r="N199" i="5"/>
  <c r="M199" i="5"/>
  <c r="I199" i="5"/>
  <c r="F199" i="5"/>
  <c r="E199" i="5"/>
  <c r="D199" i="5"/>
  <c r="N198" i="5"/>
  <c r="M198" i="5"/>
  <c r="I198" i="5"/>
  <c r="F198" i="5"/>
  <c r="E198" i="5"/>
  <c r="D198" i="5"/>
  <c r="N197" i="5"/>
  <c r="M197" i="5"/>
  <c r="I197" i="5"/>
  <c r="F197" i="5"/>
  <c r="E197" i="5"/>
  <c r="D197" i="5"/>
  <c r="N196" i="5"/>
  <c r="M196" i="5"/>
  <c r="I196" i="5"/>
  <c r="F196" i="5"/>
  <c r="E196" i="5"/>
  <c r="D196" i="5"/>
  <c r="N195" i="5"/>
  <c r="M195" i="5"/>
  <c r="I195" i="5"/>
  <c r="F195" i="5"/>
  <c r="E195" i="5"/>
  <c r="D195" i="5"/>
  <c r="N194" i="5"/>
  <c r="M194" i="5"/>
  <c r="I194" i="5"/>
  <c r="F194" i="5"/>
  <c r="E194" i="5"/>
  <c r="D194" i="5"/>
  <c r="N193" i="5"/>
  <c r="M193" i="5"/>
  <c r="I193" i="5"/>
  <c r="F193" i="5"/>
  <c r="E193" i="5"/>
  <c r="D193" i="5"/>
  <c r="N192" i="5"/>
  <c r="M192" i="5"/>
  <c r="I192" i="5"/>
  <c r="F192" i="5"/>
  <c r="E192" i="5"/>
  <c r="D192" i="5"/>
  <c r="N191" i="5"/>
  <c r="M191" i="5"/>
  <c r="I191" i="5"/>
  <c r="F191" i="5"/>
  <c r="E191" i="5"/>
  <c r="D191" i="5"/>
  <c r="N190" i="5"/>
  <c r="M190" i="5"/>
  <c r="I190" i="5"/>
  <c r="F190" i="5"/>
  <c r="E190" i="5"/>
  <c r="D190" i="5"/>
  <c r="N189" i="5"/>
  <c r="M189" i="5"/>
  <c r="I189" i="5"/>
  <c r="F189" i="5"/>
  <c r="E189" i="5"/>
  <c r="D189" i="5"/>
  <c r="N188" i="5"/>
  <c r="M188" i="5"/>
  <c r="I188" i="5"/>
  <c r="F188" i="5"/>
  <c r="E188" i="5"/>
  <c r="D188" i="5"/>
  <c r="N187" i="5"/>
  <c r="M187" i="5"/>
  <c r="I187" i="5"/>
  <c r="F187" i="5"/>
  <c r="E187" i="5"/>
  <c r="D187" i="5"/>
  <c r="N186" i="5"/>
  <c r="M186" i="5"/>
  <c r="I186" i="5"/>
  <c r="F186" i="5"/>
  <c r="E186" i="5"/>
  <c r="D186" i="5"/>
  <c r="N185" i="5"/>
  <c r="M185" i="5"/>
  <c r="I185" i="5"/>
  <c r="F185" i="5"/>
  <c r="E185" i="5"/>
  <c r="D185" i="5"/>
  <c r="N184" i="5"/>
  <c r="M184" i="5"/>
  <c r="I184" i="5"/>
  <c r="F184" i="5"/>
  <c r="E184" i="5"/>
  <c r="D184" i="5"/>
  <c r="N183" i="5"/>
  <c r="M183" i="5"/>
  <c r="I183" i="5"/>
  <c r="F183" i="5"/>
  <c r="E183" i="5"/>
  <c r="D183" i="5"/>
  <c r="N182" i="5"/>
  <c r="M182" i="5"/>
  <c r="I182" i="5"/>
  <c r="F182" i="5"/>
  <c r="E182" i="5"/>
  <c r="D182" i="5"/>
  <c r="N181" i="5"/>
  <c r="M181" i="5"/>
  <c r="I181" i="5"/>
  <c r="F181" i="5"/>
  <c r="E181" i="5"/>
  <c r="D181" i="5"/>
  <c r="N180" i="5"/>
  <c r="M180" i="5"/>
  <c r="I180" i="5"/>
  <c r="F180" i="5"/>
  <c r="E180" i="5"/>
  <c r="D180" i="5"/>
  <c r="N179" i="5"/>
  <c r="M179" i="5"/>
  <c r="I179" i="5"/>
  <c r="F179" i="5"/>
  <c r="E179" i="5"/>
  <c r="D179" i="5"/>
  <c r="N178" i="5"/>
  <c r="M178" i="5"/>
  <c r="I178" i="5"/>
  <c r="F178" i="5"/>
  <c r="E178" i="5"/>
  <c r="D178" i="5"/>
  <c r="N177" i="5"/>
  <c r="M177" i="5"/>
  <c r="I177" i="5"/>
  <c r="F177" i="5"/>
  <c r="E177" i="5"/>
  <c r="D177" i="5"/>
  <c r="N176" i="5"/>
  <c r="M176" i="5"/>
  <c r="I176" i="5"/>
  <c r="F176" i="5"/>
  <c r="E176" i="5"/>
  <c r="D176" i="5"/>
  <c r="N175" i="5"/>
  <c r="M175" i="5"/>
  <c r="I175" i="5"/>
  <c r="F175" i="5"/>
  <c r="E175" i="5"/>
  <c r="D175" i="5"/>
  <c r="N174" i="5"/>
  <c r="M174" i="5"/>
  <c r="I174" i="5"/>
  <c r="F174" i="5"/>
  <c r="E174" i="5"/>
  <c r="D174" i="5"/>
  <c r="N173" i="5"/>
  <c r="M173" i="5"/>
  <c r="I173" i="5"/>
  <c r="F173" i="5"/>
  <c r="E173" i="5"/>
  <c r="D173" i="5"/>
  <c r="N172" i="5"/>
  <c r="M172" i="5"/>
  <c r="I172" i="5"/>
  <c r="F172" i="5"/>
  <c r="E172" i="5"/>
  <c r="D172" i="5"/>
  <c r="N171" i="5"/>
  <c r="M171" i="5"/>
  <c r="I171" i="5"/>
  <c r="F171" i="5"/>
  <c r="E171" i="5"/>
  <c r="D171" i="5"/>
  <c r="N170" i="5"/>
  <c r="M170" i="5"/>
  <c r="I170" i="5"/>
  <c r="F170" i="5"/>
  <c r="E170" i="5"/>
  <c r="D170" i="5"/>
  <c r="N169" i="5"/>
  <c r="M169" i="5"/>
  <c r="I169" i="5"/>
  <c r="F169" i="5"/>
  <c r="E169" i="5"/>
  <c r="D169" i="5"/>
  <c r="N168" i="5"/>
  <c r="M168" i="5"/>
  <c r="I168" i="5"/>
  <c r="F168" i="5"/>
  <c r="E168" i="5"/>
  <c r="D168" i="5"/>
  <c r="N167" i="5"/>
  <c r="M167" i="5"/>
  <c r="I167" i="5"/>
  <c r="F167" i="5"/>
  <c r="E167" i="5"/>
  <c r="D167" i="5"/>
  <c r="N166" i="5"/>
  <c r="M166" i="5"/>
  <c r="I166" i="5"/>
  <c r="F166" i="5"/>
  <c r="E166" i="5"/>
  <c r="D166" i="5"/>
  <c r="N165" i="5"/>
  <c r="M165" i="5"/>
  <c r="I165" i="5"/>
  <c r="F165" i="5"/>
  <c r="E165" i="5"/>
  <c r="D165" i="5"/>
  <c r="N164" i="5"/>
  <c r="M164" i="5"/>
  <c r="I164" i="5"/>
  <c r="F164" i="5"/>
  <c r="E164" i="5"/>
  <c r="D164" i="5"/>
  <c r="N163" i="5"/>
  <c r="M163" i="5"/>
  <c r="I163" i="5"/>
  <c r="F163" i="5"/>
  <c r="E163" i="5"/>
  <c r="D163" i="5"/>
  <c r="N162" i="5"/>
  <c r="M162" i="5"/>
  <c r="I162" i="5"/>
  <c r="F162" i="5"/>
  <c r="E162" i="5"/>
  <c r="D162" i="5"/>
  <c r="N161" i="5"/>
  <c r="M161" i="5"/>
  <c r="I161" i="5"/>
  <c r="F161" i="5"/>
  <c r="E161" i="5"/>
  <c r="D161" i="5"/>
  <c r="N160" i="5"/>
  <c r="M160" i="5"/>
  <c r="I160" i="5"/>
  <c r="F160" i="5"/>
  <c r="E160" i="5"/>
  <c r="D160" i="5"/>
  <c r="N159" i="5"/>
  <c r="M159" i="5"/>
  <c r="I159" i="5"/>
  <c r="F159" i="5"/>
  <c r="E159" i="5"/>
  <c r="D159" i="5"/>
  <c r="N158" i="5"/>
  <c r="M158" i="5"/>
  <c r="I158" i="5"/>
  <c r="F158" i="5"/>
  <c r="E158" i="5"/>
  <c r="D158" i="5"/>
  <c r="N157" i="5"/>
  <c r="M157" i="5"/>
  <c r="I157" i="5"/>
  <c r="F157" i="5"/>
  <c r="E157" i="5"/>
  <c r="D157" i="5"/>
  <c r="N156" i="5"/>
  <c r="M156" i="5"/>
  <c r="I156" i="5"/>
  <c r="F156" i="5"/>
  <c r="E156" i="5"/>
  <c r="D156" i="5"/>
  <c r="N155" i="5"/>
  <c r="M155" i="5"/>
  <c r="I155" i="5"/>
  <c r="F155" i="5"/>
  <c r="E155" i="5"/>
  <c r="D155" i="5"/>
  <c r="N154" i="5"/>
  <c r="M154" i="5"/>
  <c r="I154" i="5"/>
  <c r="F154" i="5"/>
  <c r="E154" i="5"/>
  <c r="D154" i="5"/>
  <c r="N153" i="5"/>
  <c r="M153" i="5"/>
  <c r="I153" i="5"/>
  <c r="F153" i="5"/>
  <c r="E153" i="5"/>
  <c r="D153" i="5"/>
  <c r="N152" i="5"/>
  <c r="M152" i="5"/>
  <c r="I152" i="5"/>
  <c r="F152" i="5"/>
  <c r="E152" i="5"/>
  <c r="D152" i="5"/>
  <c r="N151" i="5"/>
  <c r="M151" i="5"/>
  <c r="I151" i="5"/>
  <c r="F151" i="5"/>
  <c r="E151" i="5"/>
  <c r="D151" i="5"/>
  <c r="N150" i="5"/>
  <c r="M150" i="5"/>
  <c r="I150" i="5"/>
  <c r="F150" i="5"/>
  <c r="E150" i="5"/>
  <c r="D150" i="5"/>
  <c r="N149" i="5"/>
  <c r="M149" i="5"/>
  <c r="I149" i="5"/>
  <c r="F149" i="5"/>
  <c r="E149" i="5"/>
  <c r="D149" i="5"/>
  <c r="N148" i="5"/>
  <c r="M148" i="5"/>
  <c r="I148" i="5"/>
  <c r="F148" i="5"/>
  <c r="E148" i="5"/>
  <c r="D148" i="5"/>
  <c r="N147" i="5"/>
  <c r="M147" i="5"/>
  <c r="I147" i="5"/>
  <c r="F147" i="5"/>
  <c r="E147" i="5"/>
  <c r="D147" i="5"/>
  <c r="N146" i="5"/>
  <c r="M146" i="5"/>
  <c r="I146" i="5"/>
  <c r="F146" i="5"/>
  <c r="E146" i="5"/>
  <c r="D146" i="5"/>
  <c r="N145" i="5"/>
  <c r="M145" i="5"/>
  <c r="I145" i="5"/>
  <c r="F145" i="5"/>
  <c r="E145" i="5"/>
  <c r="D145" i="5"/>
  <c r="N144" i="5"/>
  <c r="M144" i="5"/>
  <c r="I144" i="5"/>
  <c r="F144" i="5"/>
  <c r="E144" i="5"/>
  <c r="D144" i="5"/>
  <c r="N143" i="5"/>
  <c r="M143" i="5"/>
  <c r="I143" i="5"/>
  <c r="F143" i="5"/>
  <c r="E143" i="5"/>
  <c r="D143" i="5"/>
  <c r="N142" i="5"/>
  <c r="M142" i="5"/>
  <c r="I142" i="5"/>
  <c r="F142" i="5"/>
  <c r="E142" i="5"/>
  <c r="D142" i="5"/>
  <c r="N141" i="5"/>
  <c r="M141" i="5"/>
  <c r="I141" i="5"/>
  <c r="F141" i="5"/>
  <c r="E141" i="5"/>
  <c r="D141" i="5"/>
  <c r="N140" i="5"/>
  <c r="M140" i="5"/>
  <c r="I140" i="5"/>
  <c r="F140" i="5"/>
  <c r="E140" i="5"/>
  <c r="D140" i="5"/>
  <c r="N139" i="5"/>
  <c r="M139" i="5"/>
  <c r="I139" i="5"/>
  <c r="F139" i="5"/>
  <c r="E139" i="5"/>
  <c r="D139" i="5"/>
  <c r="N138" i="5"/>
  <c r="M138" i="5"/>
  <c r="I138" i="5"/>
  <c r="F138" i="5"/>
  <c r="E138" i="5"/>
  <c r="D138" i="5"/>
  <c r="N137" i="5"/>
  <c r="M137" i="5"/>
  <c r="I137" i="5"/>
  <c r="F137" i="5"/>
  <c r="E137" i="5"/>
  <c r="D137" i="5"/>
  <c r="N136" i="5"/>
  <c r="M136" i="5"/>
  <c r="I136" i="5"/>
  <c r="F136" i="5"/>
  <c r="E136" i="5"/>
  <c r="D136" i="5"/>
  <c r="N135" i="5"/>
  <c r="M135" i="5"/>
  <c r="I135" i="5"/>
  <c r="F135" i="5"/>
  <c r="E135" i="5"/>
  <c r="D135" i="5"/>
  <c r="N134" i="5"/>
  <c r="M134" i="5"/>
  <c r="I134" i="5"/>
  <c r="F134" i="5"/>
  <c r="E134" i="5"/>
  <c r="D134" i="5"/>
  <c r="N133" i="5"/>
  <c r="M133" i="5"/>
  <c r="I133" i="5"/>
  <c r="F133" i="5"/>
  <c r="E133" i="5"/>
  <c r="D133" i="5"/>
  <c r="N132" i="5"/>
  <c r="M132" i="5"/>
  <c r="I132" i="5"/>
  <c r="F132" i="5"/>
  <c r="E132" i="5"/>
  <c r="D132" i="5"/>
  <c r="N131" i="5"/>
  <c r="M131" i="5"/>
  <c r="I131" i="5"/>
  <c r="F131" i="5"/>
  <c r="E131" i="5"/>
  <c r="D131" i="5"/>
  <c r="N130" i="5"/>
  <c r="M130" i="5"/>
  <c r="I130" i="5"/>
  <c r="F130" i="5"/>
  <c r="E130" i="5"/>
  <c r="D130" i="5"/>
  <c r="N129" i="5"/>
  <c r="M129" i="5"/>
  <c r="I129" i="5"/>
  <c r="F129" i="5"/>
  <c r="E129" i="5"/>
  <c r="D129" i="5"/>
  <c r="N128" i="5"/>
  <c r="M128" i="5"/>
  <c r="I128" i="5"/>
  <c r="F128" i="5"/>
  <c r="E128" i="5"/>
  <c r="D128" i="5"/>
  <c r="N127" i="5"/>
  <c r="M127" i="5"/>
  <c r="I127" i="5"/>
  <c r="F127" i="5"/>
  <c r="E127" i="5"/>
  <c r="D127" i="5"/>
  <c r="N126" i="5"/>
  <c r="M126" i="5"/>
  <c r="I126" i="5"/>
  <c r="F126" i="5"/>
  <c r="E126" i="5"/>
  <c r="D126" i="5"/>
  <c r="N125" i="5"/>
  <c r="M125" i="5"/>
  <c r="I125" i="5"/>
  <c r="F125" i="5"/>
  <c r="E125" i="5"/>
  <c r="D125" i="5"/>
  <c r="N124" i="5"/>
  <c r="M124" i="5"/>
  <c r="I124" i="5"/>
  <c r="F124" i="5"/>
  <c r="E124" i="5"/>
  <c r="D124" i="5"/>
  <c r="N123" i="5"/>
  <c r="M123" i="5"/>
  <c r="I123" i="5"/>
  <c r="F123" i="5"/>
  <c r="E123" i="5"/>
  <c r="D123" i="5"/>
  <c r="N122" i="5"/>
  <c r="M122" i="5"/>
  <c r="I122" i="5"/>
  <c r="F122" i="5"/>
  <c r="E122" i="5"/>
  <c r="D122" i="5"/>
  <c r="N121" i="5"/>
  <c r="M121" i="5"/>
  <c r="I121" i="5"/>
  <c r="F121" i="5"/>
  <c r="E121" i="5"/>
  <c r="D121" i="5"/>
  <c r="N120" i="5"/>
  <c r="M120" i="5"/>
  <c r="I120" i="5"/>
  <c r="F120" i="5"/>
  <c r="E120" i="5"/>
  <c r="D120" i="5"/>
  <c r="N119" i="5"/>
  <c r="M119" i="5"/>
  <c r="I119" i="5"/>
  <c r="F119" i="5"/>
  <c r="E119" i="5"/>
  <c r="D119" i="5"/>
  <c r="N118" i="5"/>
  <c r="M118" i="5"/>
  <c r="I118" i="5"/>
  <c r="F118" i="5"/>
  <c r="E118" i="5"/>
  <c r="D118" i="5"/>
  <c r="N117" i="5"/>
  <c r="M117" i="5"/>
  <c r="I117" i="5"/>
  <c r="F117" i="5"/>
  <c r="E117" i="5"/>
  <c r="D117" i="5"/>
  <c r="N116" i="5"/>
  <c r="M116" i="5"/>
  <c r="I116" i="5"/>
  <c r="F116" i="5"/>
  <c r="E116" i="5"/>
  <c r="D116" i="5"/>
  <c r="N115" i="5"/>
  <c r="M115" i="5"/>
  <c r="I115" i="5"/>
  <c r="F115" i="5"/>
  <c r="E115" i="5"/>
  <c r="D115" i="5"/>
  <c r="N114" i="5"/>
  <c r="M114" i="5"/>
  <c r="I114" i="5"/>
  <c r="F114" i="5"/>
  <c r="E114" i="5"/>
  <c r="D114" i="5"/>
  <c r="N113" i="5"/>
  <c r="M113" i="5"/>
  <c r="I113" i="5"/>
  <c r="F113" i="5"/>
  <c r="E113" i="5"/>
  <c r="D113" i="5"/>
  <c r="N112" i="5"/>
  <c r="M112" i="5"/>
  <c r="I112" i="5"/>
  <c r="C5" i="14" s="1"/>
  <c r="F112" i="5"/>
  <c r="E112" i="5"/>
  <c r="D112" i="5"/>
  <c r="N111" i="5"/>
  <c r="M111" i="5"/>
  <c r="I111" i="5"/>
  <c r="B5" i="14" s="1"/>
  <c r="F111" i="5"/>
  <c r="E111" i="5"/>
  <c r="D111" i="5"/>
  <c r="N110" i="5"/>
  <c r="M110" i="5"/>
  <c r="I110" i="5"/>
  <c r="F110" i="5"/>
  <c r="E110" i="5"/>
  <c r="D110" i="5"/>
  <c r="N109" i="5"/>
  <c r="M109" i="5"/>
  <c r="I109" i="5"/>
  <c r="F109" i="5"/>
  <c r="E109" i="5"/>
  <c r="D109" i="5"/>
  <c r="N108" i="5"/>
  <c r="M108" i="5"/>
  <c r="I108" i="5"/>
  <c r="F108" i="5"/>
  <c r="E108" i="5"/>
  <c r="D108" i="5"/>
  <c r="N107" i="5"/>
  <c r="M107" i="5"/>
  <c r="I107" i="5"/>
  <c r="F107" i="5"/>
  <c r="E107" i="5"/>
  <c r="D107" i="5"/>
  <c r="N106" i="5"/>
  <c r="M106" i="5"/>
  <c r="I106" i="5"/>
  <c r="B20" i="9" s="1"/>
  <c r="F106" i="5"/>
  <c r="E106" i="5"/>
  <c r="D106" i="5"/>
  <c r="N105" i="5"/>
  <c r="M105" i="5"/>
  <c r="I105" i="5"/>
  <c r="F105" i="5"/>
  <c r="E105" i="5"/>
  <c r="D105" i="5"/>
  <c r="N104" i="5"/>
  <c r="M104" i="5"/>
  <c r="I104" i="5"/>
  <c r="B23" i="9" s="1"/>
  <c r="F104" i="5"/>
  <c r="E104" i="5"/>
  <c r="D104" i="5"/>
  <c r="N103" i="5"/>
  <c r="M103" i="5"/>
  <c r="I103" i="5"/>
  <c r="F103" i="5"/>
  <c r="E103" i="5"/>
  <c r="D103" i="5"/>
  <c r="N102" i="5"/>
  <c r="M102" i="5"/>
  <c r="I102" i="5"/>
  <c r="B16" i="9" s="1"/>
  <c r="F102" i="5"/>
  <c r="E102" i="5"/>
  <c r="D102" i="5"/>
  <c r="N101" i="5"/>
  <c r="M101" i="5"/>
  <c r="I101" i="5"/>
  <c r="F101" i="5"/>
  <c r="E101" i="5"/>
  <c r="D101" i="5"/>
  <c r="N100" i="5"/>
  <c r="M100" i="5"/>
  <c r="I100" i="5"/>
  <c r="B15" i="9" s="1"/>
  <c r="F100" i="5"/>
  <c r="E100" i="5"/>
  <c r="D100" i="5"/>
  <c r="N99" i="5"/>
  <c r="M99" i="5"/>
  <c r="I99" i="5"/>
  <c r="F99" i="5"/>
  <c r="E99" i="5"/>
  <c r="D99" i="5"/>
  <c r="N98" i="5"/>
  <c r="M98" i="5"/>
  <c r="I98" i="5"/>
  <c r="B13" i="9" s="1"/>
  <c r="F98" i="5"/>
  <c r="E98" i="5"/>
  <c r="D98" i="5"/>
  <c r="N97" i="5"/>
  <c r="M97" i="5"/>
  <c r="I97" i="5"/>
  <c r="F97" i="5"/>
  <c r="E97" i="5"/>
  <c r="D97" i="5"/>
  <c r="N96" i="5"/>
  <c r="M96" i="5"/>
  <c r="I96" i="5"/>
  <c r="B12" i="9" s="1"/>
  <c r="F96" i="5"/>
  <c r="E96" i="5"/>
  <c r="D96" i="5"/>
  <c r="N95" i="5"/>
  <c r="M95" i="5"/>
  <c r="I95" i="5"/>
  <c r="F95" i="5"/>
  <c r="E95" i="5"/>
  <c r="D95" i="5"/>
  <c r="N94" i="5"/>
  <c r="M94" i="5"/>
  <c r="I94" i="5"/>
  <c r="F94" i="5"/>
  <c r="E94" i="5"/>
  <c r="D94" i="5"/>
  <c r="N93" i="5"/>
  <c r="M93" i="5"/>
  <c r="I93" i="5"/>
  <c r="F93" i="5"/>
  <c r="E93" i="5"/>
  <c r="D93" i="5"/>
  <c r="N92" i="5"/>
  <c r="M92" i="5"/>
  <c r="I92" i="5"/>
  <c r="F92" i="5"/>
  <c r="E92" i="5"/>
  <c r="D92" i="5"/>
  <c r="N91" i="5"/>
  <c r="M91" i="5"/>
  <c r="I91" i="5"/>
  <c r="F91" i="5"/>
  <c r="E91" i="5"/>
  <c r="D91" i="5"/>
  <c r="N90" i="5"/>
  <c r="M90" i="5"/>
  <c r="I90" i="5"/>
  <c r="F90" i="5"/>
  <c r="E90" i="5"/>
  <c r="D90" i="5"/>
  <c r="N89" i="5"/>
  <c r="M89" i="5"/>
  <c r="I89" i="5"/>
  <c r="F89" i="5"/>
  <c r="E89" i="5"/>
  <c r="D89" i="5"/>
  <c r="N88" i="5"/>
  <c r="M88" i="5"/>
  <c r="I88" i="5"/>
  <c r="F88" i="5"/>
  <c r="E88" i="5"/>
  <c r="D88" i="5"/>
  <c r="N87" i="5"/>
  <c r="M87" i="5"/>
  <c r="I87" i="5"/>
  <c r="F87" i="5"/>
  <c r="E87" i="5"/>
  <c r="D87" i="5"/>
  <c r="N86" i="5"/>
  <c r="M86" i="5"/>
  <c r="I86" i="5"/>
  <c r="F86" i="5"/>
  <c r="E86" i="5"/>
  <c r="D86" i="5"/>
  <c r="N85" i="5"/>
  <c r="M85" i="5"/>
  <c r="I85" i="5"/>
  <c r="F85" i="5"/>
  <c r="E85" i="5"/>
  <c r="D85" i="5"/>
  <c r="N84" i="5"/>
  <c r="M84" i="5"/>
  <c r="I84" i="5"/>
  <c r="F84" i="5"/>
  <c r="E84" i="5"/>
  <c r="D84" i="5"/>
  <c r="N83" i="5"/>
  <c r="M83" i="5"/>
  <c r="I83" i="5"/>
  <c r="F83" i="5"/>
  <c r="E83" i="5"/>
  <c r="D83" i="5"/>
  <c r="N82" i="5"/>
  <c r="M82" i="5"/>
  <c r="I82" i="5"/>
  <c r="F82" i="5"/>
  <c r="E82" i="5"/>
  <c r="D82" i="5"/>
  <c r="N81" i="5"/>
  <c r="M81" i="5"/>
  <c r="I81" i="5"/>
  <c r="F81" i="5"/>
  <c r="E81" i="5"/>
  <c r="D81" i="5"/>
  <c r="N80" i="5"/>
  <c r="M80" i="5"/>
  <c r="I80" i="5"/>
  <c r="F80" i="5"/>
  <c r="E80" i="5"/>
  <c r="D80" i="5"/>
  <c r="N79" i="5"/>
  <c r="M79" i="5"/>
  <c r="I79" i="5"/>
  <c r="F79" i="5"/>
  <c r="E79" i="5"/>
  <c r="D79" i="5"/>
  <c r="N78" i="5"/>
  <c r="M78" i="5"/>
  <c r="I78" i="5"/>
  <c r="F78" i="5"/>
  <c r="E78" i="5"/>
  <c r="D78" i="5"/>
  <c r="N77" i="5"/>
  <c r="M77" i="5"/>
  <c r="I77" i="5"/>
  <c r="F77" i="5"/>
  <c r="E77" i="5"/>
  <c r="D77" i="5"/>
  <c r="N76" i="5"/>
  <c r="M76" i="5"/>
  <c r="I76" i="5"/>
  <c r="F76" i="5"/>
  <c r="E76" i="5"/>
  <c r="D76" i="5"/>
  <c r="N75" i="5"/>
  <c r="M75" i="5"/>
  <c r="I75" i="5"/>
  <c r="F75" i="5"/>
  <c r="E75" i="5"/>
  <c r="D75" i="5"/>
  <c r="N74" i="5"/>
  <c r="M74" i="5"/>
  <c r="I74" i="5"/>
  <c r="F74" i="5"/>
  <c r="E74" i="5"/>
  <c r="D74" i="5"/>
  <c r="N73" i="5"/>
  <c r="M73" i="5"/>
  <c r="I73" i="5"/>
  <c r="F73" i="5"/>
  <c r="E73" i="5"/>
  <c r="D73" i="5"/>
  <c r="N72" i="5"/>
  <c r="M72" i="5"/>
  <c r="I72" i="5"/>
  <c r="F72" i="5"/>
  <c r="E72" i="5"/>
  <c r="D72" i="5"/>
  <c r="N71" i="5"/>
  <c r="M71" i="5"/>
  <c r="I71" i="5"/>
  <c r="F71" i="5"/>
  <c r="E71" i="5"/>
  <c r="D71" i="5"/>
  <c r="N70" i="5"/>
  <c r="M70" i="5"/>
  <c r="I70" i="5"/>
  <c r="F70" i="5"/>
  <c r="E70" i="5"/>
  <c r="D70" i="5"/>
  <c r="N69" i="5"/>
  <c r="M69" i="5"/>
  <c r="I69" i="5"/>
  <c r="F69" i="5"/>
  <c r="E69" i="5"/>
  <c r="D69" i="5"/>
  <c r="N68" i="5"/>
  <c r="M68" i="5"/>
  <c r="I68" i="5"/>
  <c r="F68" i="5"/>
  <c r="E68" i="5"/>
  <c r="D68" i="5"/>
  <c r="N67" i="5"/>
  <c r="M67" i="5"/>
  <c r="I67" i="5"/>
  <c r="F67" i="5"/>
  <c r="E67" i="5"/>
  <c r="D67" i="5"/>
  <c r="N66" i="5"/>
  <c r="M66" i="5"/>
  <c r="I66" i="5"/>
  <c r="F66" i="5"/>
  <c r="E66" i="5"/>
  <c r="D66" i="5"/>
  <c r="N65" i="5"/>
  <c r="M65" i="5"/>
  <c r="I65" i="5"/>
  <c r="F65" i="5"/>
  <c r="E65" i="5"/>
  <c r="D65" i="5"/>
  <c r="N64" i="5"/>
  <c r="M64" i="5"/>
  <c r="I64" i="5"/>
  <c r="F64" i="5"/>
  <c r="E64" i="5"/>
  <c r="D64" i="5"/>
  <c r="N63" i="5"/>
  <c r="M63" i="5"/>
  <c r="I63" i="5"/>
  <c r="F63" i="5"/>
  <c r="E63" i="5"/>
  <c r="D63" i="5"/>
  <c r="N62" i="5"/>
  <c r="M62" i="5"/>
  <c r="I62" i="5"/>
  <c r="F62" i="5"/>
  <c r="E62" i="5"/>
  <c r="D62" i="5"/>
  <c r="N61" i="5"/>
  <c r="M61" i="5"/>
  <c r="I61" i="5"/>
  <c r="F61" i="5"/>
  <c r="E61" i="5"/>
  <c r="D61" i="5"/>
  <c r="N60" i="5"/>
  <c r="M60" i="5"/>
  <c r="I60" i="5"/>
  <c r="F60" i="5"/>
  <c r="E60" i="5"/>
  <c r="D60" i="5"/>
  <c r="N59" i="5"/>
  <c r="M59" i="5"/>
  <c r="I59" i="5"/>
  <c r="F59" i="5"/>
  <c r="E59" i="5"/>
  <c r="D59" i="5"/>
  <c r="N58" i="5"/>
  <c r="M58" i="5"/>
  <c r="I58" i="5"/>
  <c r="F58" i="5"/>
  <c r="E58" i="5"/>
  <c r="D58" i="5"/>
  <c r="N57" i="5"/>
  <c r="M57" i="5"/>
  <c r="I57" i="5"/>
  <c r="F57" i="5"/>
  <c r="E57" i="5"/>
  <c r="D57" i="5"/>
  <c r="N56" i="5"/>
  <c r="M56" i="5"/>
  <c r="I56" i="5"/>
  <c r="F56" i="5"/>
  <c r="E56" i="5"/>
  <c r="D56" i="5"/>
  <c r="N55" i="5"/>
  <c r="M55" i="5"/>
  <c r="I55" i="5"/>
  <c r="F55" i="5"/>
  <c r="E55" i="5"/>
  <c r="D55" i="5"/>
  <c r="N54" i="5"/>
  <c r="M54" i="5"/>
  <c r="I54" i="5"/>
  <c r="F54" i="5"/>
  <c r="E54" i="5"/>
  <c r="D54" i="5"/>
  <c r="N53" i="5"/>
  <c r="M53" i="5"/>
  <c r="I53" i="5"/>
  <c r="F53" i="5"/>
  <c r="E53" i="5"/>
  <c r="D53" i="5"/>
  <c r="N52" i="5"/>
  <c r="M52" i="5"/>
  <c r="I52" i="5"/>
  <c r="F52" i="5"/>
  <c r="E52" i="5"/>
  <c r="D52" i="5"/>
  <c r="N51" i="5"/>
  <c r="M51" i="5"/>
  <c r="I51" i="5"/>
  <c r="F51" i="5"/>
  <c r="E51" i="5"/>
  <c r="D51" i="5"/>
  <c r="N50" i="5"/>
  <c r="M50" i="5"/>
  <c r="I50" i="5"/>
  <c r="F50" i="5"/>
  <c r="E50" i="5"/>
  <c r="D50" i="5"/>
  <c r="N49" i="5"/>
  <c r="M49" i="5"/>
  <c r="I49" i="5"/>
  <c r="F49" i="5"/>
  <c r="E49" i="5"/>
  <c r="D49" i="5"/>
  <c r="N48" i="5"/>
  <c r="M48" i="5"/>
  <c r="I48" i="5"/>
  <c r="F48" i="5"/>
  <c r="E48" i="5"/>
  <c r="D48" i="5"/>
  <c r="N47" i="5"/>
  <c r="M47" i="5"/>
  <c r="I47" i="5"/>
  <c r="F47" i="5"/>
  <c r="E47" i="5"/>
  <c r="D47" i="5"/>
  <c r="N46" i="5"/>
  <c r="M46" i="5"/>
  <c r="I46" i="5"/>
  <c r="F46" i="5"/>
  <c r="E46" i="5"/>
  <c r="D46" i="5"/>
  <c r="N45" i="5"/>
  <c r="M45" i="5"/>
  <c r="I45" i="5"/>
  <c r="F45" i="5"/>
  <c r="E45" i="5"/>
  <c r="D45" i="5"/>
  <c r="N44" i="5"/>
  <c r="M44" i="5"/>
  <c r="I44" i="5"/>
  <c r="F44" i="5"/>
  <c r="E44" i="5"/>
  <c r="D44" i="5"/>
  <c r="N43" i="5"/>
  <c r="M43" i="5"/>
  <c r="I43" i="5"/>
  <c r="F43" i="5"/>
  <c r="E43" i="5"/>
  <c r="D43" i="5"/>
  <c r="N42" i="5"/>
  <c r="M42" i="5"/>
  <c r="I42" i="5"/>
  <c r="F42" i="5"/>
  <c r="E42" i="5"/>
  <c r="D42" i="5"/>
  <c r="N41" i="5"/>
  <c r="M41" i="5"/>
  <c r="I41" i="5"/>
  <c r="F41" i="5"/>
  <c r="E41" i="5"/>
  <c r="D41" i="5"/>
  <c r="N40" i="5"/>
  <c r="M40" i="5"/>
  <c r="I40" i="5"/>
  <c r="F40" i="5"/>
  <c r="E40" i="5"/>
  <c r="D40" i="5"/>
  <c r="N39" i="5"/>
  <c r="M39" i="5"/>
  <c r="I39" i="5"/>
  <c r="F39" i="5"/>
  <c r="E39" i="5"/>
  <c r="D39" i="5"/>
  <c r="N38" i="5"/>
  <c r="M38" i="5"/>
  <c r="I38" i="5"/>
  <c r="F38" i="5"/>
  <c r="E38" i="5"/>
  <c r="D38" i="5"/>
  <c r="N37" i="5"/>
  <c r="M37" i="5"/>
  <c r="I37" i="5"/>
  <c r="F37" i="5"/>
  <c r="E37" i="5"/>
  <c r="D37" i="5"/>
  <c r="N36" i="5"/>
  <c r="M36" i="5"/>
  <c r="I36" i="5"/>
  <c r="F36" i="5"/>
  <c r="E36" i="5"/>
  <c r="D36" i="5"/>
  <c r="N35" i="5"/>
  <c r="M35" i="5"/>
  <c r="I35" i="5"/>
  <c r="F35" i="5"/>
  <c r="E35" i="5"/>
  <c r="D35" i="5"/>
  <c r="N34" i="5"/>
  <c r="M34" i="5"/>
  <c r="I34" i="5"/>
  <c r="F34" i="5"/>
  <c r="E34" i="5"/>
  <c r="D34" i="5"/>
  <c r="N33" i="5"/>
  <c r="M33" i="5"/>
  <c r="I33" i="5"/>
  <c r="F33" i="5"/>
  <c r="E33" i="5"/>
  <c r="D33" i="5"/>
  <c r="N32" i="5"/>
  <c r="M32" i="5"/>
  <c r="I32" i="5"/>
  <c r="F32" i="5"/>
  <c r="E32" i="5"/>
  <c r="D32" i="5"/>
  <c r="N31" i="5"/>
  <c r="M31" i="5"/>
  <c r="I31" i="5"/>
  <c r="F31" i="5"/>
  <c r="E31" i="5"/>
  <c r="D31" i="5"/>
  <c r="N30" i="5"/>
  <c r="M30" i="5"/>
  <c r="I30" i="5"/>
  <c r="F30" i="5"/>
  <c r="E30" i="5"/>
  <c r="D30" i="5"/>
  <c r="N29" i="5"/>
  <c r="M29" i="5"/>
  <c r="I29" i="5"/>
  <c r="F29" i="5"/>
  <c r="E29" i="5"/>
  <c r="D29" i="5"/>
  <c r="N28" i="5"/>
  <c r="M28" i="5"/>
  <c r="I28" i="5"/>
  <c r="F28" i="5"/>
  <c r="E28" i="5"/>
  <c r="D28" i="5"/>
  <c r="N27" i="5"/>
  <c r="M27" i="5"/>
  <c r="I27" i="5"/>
  <c r="F27" i="5"/>
  <c r="E27" i="5"/>
  <c r="D27" i="5"/>
  <c r="N26" i="5"/>
  <c r="M26" i="5"/>
  <c r="I26" i="5"/>
  <c r="F26" i="5"/>
  <c r="E26" i="5"/>
  <c r="D26" i="5"/>
  <c r="N25" i="5"/>
  <c r="M25" i="5"/>
  <c r="I25" i="5"/>
  <c r="F25" i="5"/>
  <c r="E25" i="5"/>
  <c r="D25" i="5"/>
  <c r="N24" i="5"/>
  <c r="M24" i="5"/>
  <c r="I24" i="5"/>
  <c r="F24" i="5"/>
  <c r="E24" i="5"/>
  <c r="D24" i="5"/>
  <c r="N23" i="5"/>
  <c r="M23" i="5"/>
  <c r="I23" i="5"/>
  <c r="F23" i="5"/>
  <c r="E23" i="5"/>
  <c r="D23" i="5"/>
  <c r="N22" i="5"/>
  <c r="M22" i="5"/>
  <c r="I22" i="5"/>
  <c r="F22" i="5"/>
  <c r="E22" i="5"/>
  <c r="D22" i="5"/>
  <c r="N21" i="5"/>
  <c r="M21" i="5"/>
  <c r="I21" i="5"/>
  <c r="F21" i="5"/>
  <c r="E21" i="5"/>
  <c r="D21" i="5"/>
  <c r="N20" i="5"/>
  <c r="M20" i="5"/>
  <c r="I20" i="5"/>
  <c r="F20" i="5"/>
  <c r="E20" i="5"/>
  <c r="D20" i="5"/>
  <c r="N19" i="5"/>
  <c r="M19" i="5"/>
  <c r="I19" i="5"/>
  <c r="F19" i="5"/>
  <c r="E19" i="5"/>
  <c r="D19" i="5"/>
  <c r="N18" i="5"/>
  <c r="M18" i="5"/>
  <c r="I18" i="5"/>
  <c r="F18" i="5"/>
  <c r="E18" i="5"/>
  <c r="D18" i="5"/>
  <c r="N17" i="5"/>
  <c r="M17" i="5"/>
  <c r="I17" i="5"/>
  <c r="F17" i="5"/>
  <c r="E17" i="5"/>
  <c r="D17" i="5"/>
  <c r="N16" i="5"/>
  <c r="M16" i="5"/>
  <c r="I16" i="5"/>
  <c r="F16" i="5"/>
  <c r="E16" i="5"/>
  <c r="D16" i="5"/>
  <c r="N15" i="5"/>
  <c r="M15" i="5"/>
  <c r="I15" i="5"/>
  <c r="F15" i="5"/>
  <c r="E15" i="5"/>
  <c r="D15" i="5"/>
  <c r="N14" i="5"/>
  <c r="M14" i="5"/>
  <c r="I14" i="5"/>
  <c r="F14" i="5"/>
  <c r="E14" i="5"/>
  <c r="D14" i="5"/>
  <c r="N13" i="5"/>
  <c r="M13" i="5"/>
  <c r="I13" i="5"/>
  <c r="F13" i="5"/>
  <c r="E13" i="5"/>
  <c r="D13" i="5"/>
  <c r="N12" i="5"/>
  <c r="M12" i="5"/>
  <c r="I12" i="5"/>
  <c r="F12" i="5"/>
  <c r="E12" i="5"/>
  <c r="D12" i="5"/>
  <c r="N11" i="5"/>
  <c r="M11" i="5"/>
  <c r="I11" i="5"/>
  <c r="F11" i="5"/>
  <c r="E11" i="5"/>
  <c r="D11" i="5"/>
  <c r="N10" i="5"/>
  <c r="M10" i="5"/>
  <c r="I10" i="5"/>
  <c r="F10" i="5"/>
  <c r="E10" i="5"/>
  <c r="D10" i="5"/>
  <c r="N9" i="5"/>
  <c r="M9" i="5"/>
  <c r="I9" i="5"/>
  <c r="F9" i="5"/>
  <c r="E9" i="5"/>
  <c r="D9" i="5"/>
  <c r="N8" i="5"/>
  <c r="M8" i="5"/>
  <c r="I8" i="5"/>
  <c r="F8" i="5"/>
  <c r="E8" i="5"/>
  <c r="D8" i="5"/>
  <c r="N7" i="5"/>
  <c r="M7" i="5"/>
  <c r="I7" i="5"/>
  <c r="F7" i="5"/>
  <c r="E7" i="5"/>
  <c r="D7" i="5"/>
  <c r="N6" i="5"/>
  <c r="M6" i="5"/>
  <c r="I6" i="5"/>
  <c r="C4" i="14" s="1"/>
  <c r="F6" i="5"/>
  <c r="E6" i="5"/>
  <c r="D6" i="5"/>
  <c r="N5" i="5"/>
  <c r="M5" i="5"/>
  <c r="I5" i="5"/>
  <c r="B4" i="14" s="1"/>
  <c r="F5" i="5"/>
  <c r="E5" i="5"/>
  <c r="D5" i="5"/>
  <c r="N4" i="5"/>
  <c r="M4" i="5"/>
  <c r="I4" i="5"/>
  <c r="F4" i="5"/>
  <c r="E4" i="5"/>
  <c r="D4" i="5"/>
  <c r="E32" i="4"/>
  <c r="D32" i="4"/>
  <c r="C32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17" i="9" l="1"/>
  <c r="H17" i="9"/>
  <c r="D17" i="9"/>
  <c r="C17" i="9"/>
  <c r="F5" i="7"/>
  <c r="H5" i="7" s="1"/>
  <c r="F10" i="7"/>
  <c r="E17" i="9"/>
  <c r="F11" i="7"/>
  <c r="I20" i="9"/>
  <c r="F28" i="7"/>
  <c r="F24" i="7"/>
  <c r="I13" i="9"/>
  <c r="F23" i="7"/>
  <c r="I12" i="9"/>
  <c r="I17" i="9" s="1"/>
  <c r="F4" i="7"/>
  <c r="H4" i="7" s="1"/>
  <c r="K5" i="9"/>
  <c r="M5" i="9" s="1"/>
  <c r="N5" i="9" s="1"/>
  <c r="F7" i="14"/>
  <c r="I7" i="14" s="1"/>
  <c r="D39" i="17" s="1"/>
  <c r="F6" i="14"/>
  <c r="I6" i="14" s="1"/>
  <c r="D38" i="17" s="1"/>
  <c r="F5" i="14"/>
  <c r="I5" i="14" s="1"/>
  <c r="D37" i="17" s="1"/>
  <c r="F4" i="14"/>
  <c r="I4" i="14" s="1"/>
  <c r="D36" i="17" s="1"/>
  <c r="E7" i="14"/>
  <c r="H7" i="14" s="1"/>
  <c r="C39" i="17" s="1"/>
  <c r="E6" i="14"/>
  <c r="H6" i="14" s="1"/>
  <c r="C38" i="17" s="1"/>
  <c r="E5" i="14"/>
  <c r="H5" i="14" s="1"/>
  <c r="C37" i="17" s="1"/>
  <c r="E4" i="14"/>
  <c r="H4" i="14" s="1"/>
  <c r="C36" i="17" s="1"/>
  <c r="D7" i="14"/>
  <c r="D6" i="14"/>
  <c r="D5" i="14"/>
  <c r="D4" i="14"/>
  <c r="F8" i="14"/>
  <c r="I8" i="14" s="1"/>
  <c r="D40" i="17" s="1"/>
  <c r="F20" i="7"/>
  <c r="H20" i="7" s="1"/>
  <c r="J9" i="9"/>
  <c r="K9" i="9" s="1"/>
  <c r="M9" i="9" s="1"/>
  <c r="N9" i="9" s="1"/>
  <c r="F17" i="9"/>
  <c r="E9" i="14"/>
  <c r="H9" i="14" s="1"/>
  <c r="C41" i="17" s="1"/>
  <c r="E8" i="14"/>
  <c r="H8" i="14" s="1"/>
  <c r="C40" i="17" s="1"/>
  <c r="D9" i="14"/>
  <c r="G9" i="14" s="1"/>
  <c r="D8" i="14"/>
  <c r="F9" i="14"/>
  <c r="G32" i="4"/>
  <c r="F10" i="14"/>
  <c r="I10" i="14" s="1"/>
  <c r="D42" i="17" s="1"/>
  <c r="E10" i="14"/>
  <c r="H10" i="14" s="1"/>
  <c r="C42" i="17" s="1"/>
  <c r="D10" i="14"/>
  <c r="J11" i="9"/>
  <c r="K11" i="9" s="1"/>
  <c r="M11" i="9" s="1"/>
  <c r="N11" i="9" s="1"/>
  <c r="F22" i="7"/>
  <c r="H22" i="7" s="1"/>
  <c r="J23" i="9"/>
  <c r="K23" i="9" s="1"/>
  <c r="M23" i="9" s="1"/>
  <c r="N23" i="9" s="1"/>
  <c r="F30" i="7"/>
  <c r="H30" i="7" s="1"/>
  <c r="F27" i="7"/>
  <c r="H27" i="7" s="1"/>
  <c r="J16" i="9"/>
  <c r="K16" i="9" s="1"/>
  <c r="M16" i="9" s="1"/>
  <c r="N16" i="9" s="1"/>
  <c r="J15" i="9"/>
  <c r="K15" i="9" s="1"/>
  <c r="M15" i="9" s="1"/>
  <c r="N15" i="9" s="1"/>
  <c r="F26" i="7"/>
  <c r="H26" i="7" s="1"/>
  <c r="H18" i="7"/>
  <c r="H17" i="7"/>
  <c r="H7" i="7"/>
  <c r="H11" i="7"/>
  <c r="H15" i="7"/>
  <c r="H14" i="7"/>
  <c r="H13" i="7"/>
  <c r="H9" i="7"/>
  <c r="H16" i="7"/>
  <c r="J46" i="12"/>
  <c r="G46" i="12"/>
  <c r="H46" i="12" s="1"/>
  <c r="I46" i="12" s="1"/>
  <c r="G34" i="12"/>
  <c r="H34" i="12" s="1"/>
  <c r="I34" i="12" s="1"/>
  <c r="J34" i="12"/>
  <c r="D9" i="15"/>
  <c r="D11" i="15"/>
  <c r="D8" i="15"/>
  <c r="D7" i="15"/>
  <c r="D6" i="15"/>
  <c r="D12" i="15"/>
  <c r="D13" i="15"/>
  <c r="D10" i="15"/>
  <c r="D14" i="15"/>
  <c r="D15" i="15"/>
  <c r="D16" i="15"/>
  <c r="D17" i="15"/>
  <c r="D18" i="15"/>
  <c r="H53" i="13"/>
  <c r="G53" i="13"/>
  <c r="H52" i="13"/>
  <c r="G52" i="13"/>
  <c r="G51" i="13"/>
  <c r="H51" i="13"/>
  <c r="H50" i="13"/>
  <c r="G50" i="13"/>
  <c r="G49" i="13"/>
  <c r="H49" i="13"/>
  <c r="G48" i="13"/>
  <c r="H48" i="13"/>
  <c r="G47" i="13"/>
  <c r="H47" i="13"/>
  <c r="G46" i="13"/>
  <c r="H46" i="13"/>
  <c r="G45" i="13"/>
  <c r="H45" i="13"/>
  <c r="G44" i="13"/>
  <c r="H44" i="13"/>
  <c r="H43" i="13"/>
  <c r="G43" i="13"/>
  <c r="H42" i="13"/>
  <c r="G42" i="13"/>
  <c r="H41" i="13"/>
  <c r="G41" i="13"/>
  <c r="H40" i="13"/>
  <c r="G40" i="13"/>
  <c r="G39" i="13"/>
  <c r="H39" i="13"/>
  <c r="G38" i="13"/>
  <c r="H38" i="13"/>
  <c r="H37" i="13"/>
  <c r="G37" i="13"/>
  <c r="H36" i="13"/>
  <c r="G36" i="13"/>
  <c r="H35" i="13"/>
  <c r="G35" i="13"/>
  <c r="G34" i="13"/>
  <c r="H34" i="13"/>
  <c r="H33" i="13"/>
  <c r="G33" i="13"/>
  <c r="H32" i="13"/>
  <c r="G32" i="13"/>
  <c r="H31" i="13"/>
  <c r="G31" i="13"/>
  <c r="G30" i="13"/>
  <c r="H30" i="13"/>
  <c r="G29" i="13"/>
  <c r="H29" i="13"/>
  <c r="G28" i="13"/>
  <c r="H28" i="13"/>
  <c r="G27" i="13"/>
  <c r="H27" i="13"/>
  <c r="H26" i="13"/>
  <c r="G26" i="13"/>
  <c r="H25" i="13"/>
  <c r="G25" i="13"/>
  <c r="G24" i="13"/>
  <c r="H24" i="13"/>
  <c r="G23" i="13"/>
  <c r="H23" i="13"/>
  <c r="H22" i="13"/>
  <c r="G22" i="13"/>
  <c r="H21" i="13"/>
  <c r="G21" i="13"/>
  <c r="G20" i="13"/>
  <c r="H20" i="13"/>
  <c r="G19" i="13"/>
  <c r="H19" i="13"/>
  <c r="G18" i="13"/>
  <c r="H18" i="13"/>
  <c r="G17" i="13"/>
  <c r="H17" i="13"/>
  <c r="H16" i="13"/>
  <c r="G16" i="13"/>
  <c r="G15" i="13"/>
  <c r="H15" i="13"/>
  <c r="H14" i="13"/>
  <c r="G14" i="13"/>
  <c r="H13" i="13"/>
  <c r="G13" i="13"/>
  <c r="G12" i="13"/>
  <c r="H12" i="13"/>
  <c r="G11" i="13"/>
  <c r="H11" i="13"/>
  <c r="G10" i="13"/>
  <c r="H10" i="13"/>
  <c r="H9" i="13"/>
  <c r="G9" i="13"/>
  <c r="G8" i="13"/>
  <c r="H8" i="13"/>
  <c r="H7" i="13"/>
  <c r="G7" i="13"/>
  <c r="G6" i="13"/>
  <c r="H6" i="13"/>
  <c r="H5" i="13"/>
  <c r="G5" i="13"/>
  <c r="H4" i="13"/>
  <c r="G4" i="13"/>
  <c r="C14" i="15"/>
  <c r="C13" i="15"/>
  <c r="F69" i="12"/>
  <c r="C7" i="15"/>
  <c r="C6" i="15"/>
  <c r="C8" i="15"/>
  <c r="C9" i="15"/>
  <c r="C10" i="15"/>
  <c r="C11" i="15"/>
  <c r="C12" i="15"/>
  <c r="C18" i="15"/>
  <c r="C17" i="15"/>
  <c r="C16" i="15"/>
  <c r="C15" i="15"/>
  <c r="J63" i="12"/>
  <c r="G63" i="12"/>
  <c r="H63" i="12" s="1"/>
  <c r="I63" i="12" s="1"/>
  <c r="G62" i="12"/>
  <c r="H62" i="12" s="1"/>
  <c r="I62" i="12" s="1"/>
  <c r="J62" i="12"/>
  <c r="J61" i="12"/>
  <c r="G61" i="12"/>
  <c r="H61" i="12" s="1"/>
  <c r="I61" i="12" s="1"/>
  <c r="G60" i="12"/>
  <c r="H60" i="12" s="1"/>
  <c r="I60" i="12" s="1"/>
  <c r="J60" i="12"/>
  <c r="G59" i="12"/>
  <c r="H59" i="12" s="1"/>
  <c r="I59" i="12" s="1"/>
  <c r="J59" i="12"/>
  <c r="J58" i="12"/>
  <c r="G58" i="12"/>
  <c r="H58" i="12" s="1"/>
  <c r="I58" i="12" s="1"/>
  <c r="G57" i="12"/>
  <c r="H57" i="12" s="1"/>
  <c r="I57" i="12" s="1"/>
  <c r="J57" i="12"/>
  <c r="J56" i="12"/>
  <c r="G56" i="12"/>
  <c r="H56" i="12" s="1"/>
  <c r="I56" i="12" s="1"/>
  <c r="J55" i="12"/>
  <c r="G55" i="12"/>
  <c r="H55" i="12" s="1"/>
  <c r="I55" i="12" s="1"/>
  <c r="G54" i="12"/>
  <c r="H54" i="12" s="1"/>
  <c r="I54" i="12" s="1"/>
  <c r="J54" i="12"/>
  <c r="G53" i="12"/>
  <c r="H53" i="12" s="1"/>
  <c r="I53" i="12" s="1"/>
  <c r="J53" i="12"/>
  <c r="J52" i="12"/>
  <c r="G52" i="12"/>
  <c r="H52" i="12" s="1"/>
  <c r="I52" i="12" s="1"/>
  <c r="J51" i="12"/>
  <c r="G51" i="12"/>
  <c r="H51" i="12" s="1"/>
  <c r="I51" i="12" s="1"/>
  <c r="J50" i="12"/>
  <c r="G50" i="12"/>
  <c r="H50" i="12" s="1"/>
  <c r="I50" i="12" s="1"/>
  <c r="J49" i="12"/>
  <c r="G49" i="12"/>
  <c r="H49" i="12" s="1"/>
  <c r="I49" i="12" s="1"/>
  <c r="J48" i="12"/>
  <c r="G48" i="12"/>
  <c r="H48" i="12" s="1"/>
  <c r="I48" i="12" s="1"/>
  <c r="J47" i="12"/>
  <c r="G47" i="12"/>
  <c r="H47" i="12" s="1"/>
  <c r="I47" i="12" s="1"/>
  <c r="G45" i="12"/>
  <c r="H45" i="12" s="1"/>
  <c r="I45" i="12" s="1"/>
  <c r="J45" i="12"/>
  <c r="G44" i="12"/>
  <c r="H44" i="12" s="1"/>
  <c r="I44" i="12" s="1"/>
  <c r="J44" i="12"/>
  <c r="G43" i="12"/>
  <c r="H43" i="12" s="1"/>
  <c r="I43" i="12" s="1"/>
  <c r="J43" i="12"/>
  <c r="J42" i="12"/>
  <c r="G42" i="12"/>
  <c r="H42" i="12" s="1"/>
  <c r="I42" i="12" s="1"/>
  <c r="J41" i="12"/>
  <c r="G41" i="12"/>
  <c r="H41" i="12" s="1"/>
  <c r="I41" i="12" s="1"/>
  <c r="G40" i="12"/>
  <c r="H40" i="12" s="1"/>
  <c r="I40" i="12" s="1"/>
  <c r="J40" i="12"/>
  <c r="J39" i="12"/>
  <c r="G39" i="12"/>
  <c r="H39" i="12" s="1"/>
  <c r="I39" i="12" s="1"/>
  <c r="G38" i="12"/>
  <c r="H38" i="12" s="1"/>
  <c r="I38" i="12" s="1"/>
  <c r="J38" i="12"/>
  <c r="G37" i="12"/>
  <c r="H37" i="12" s="1"/>
  <c r="I37" i="12" s="1"/>
  <c r="J37" i="12"/>
  <c r="J36" i="12"/>
  <c r="G36" i="12"/>
  <c r="H36" i="12" s="1"/>
  <c r="I36" i="12" s="1"/>
  <c r="J35" i="12"/>
  <c r="G35" i="12"/>
  <c r="H35" i="12" s="1"/>
  <c r="I35" i="12" s="1"/>
  <c r="G33" i="12"/>
  <c r="H33" i="12" s="1"/>
  <c r="I33" i="12" s="1"/>
  <c r="J33" i="12"/>
  <c r="G32" i="12"/>
  <c r="H32" i="12" s="1"/>
  <c r="I32" i="12" s="1"/>
  <c r="J32" i="12"/>
  <c r="G31" i="12"/>
  <c r="H31" i="12" s="1"/>
  <c r="I31" i="12" s="1"/>
  <c r="J31" i="12"/>
  <c r="J30" i="12"/>
  <c r="G30" i="12"/>
  <c r="H30" i="12" s="1"/>
  <c r="I30" i="12" s="1"/>
  <c r="J29" i="12"/>
  <c r="G29" i="12"/>
  <c r="H29" i="12" s="1"/>
  <c r="I29" i="12" s="1"/>
  <c r="J28" i="12"/>
  <c r="G28" i="12"/>
  <c r="H28" i="12" s="1"/>
  <c r="I28" i="12" s="1"/>
  <c r="G27" i="12"/>
  <c r="H27" i="12" s="1"/>
  <c r="I27" i="12" s="1"/>
  <c r="J27" i="12"/>
  <c r="G26" i="12"/>
  <c r="H26" i="12" s="1"/>
  <c r="I26" i="12" s="1"/>
  <c r="J26" i="12"/>
  <c r="J25" i="12"/>
  <c r="G25" i="12"/>
  <c r="H25" i="12" s="1"/>
  <c r="I25" i="12" s="1"/>
  <c r="J24" i="12"/>
  <c r="G24" i="12"/>
  <c r="H24" i="12" s="1"/>
  <c r="I24" i="12" s="1"/>
  <c r="J23" i="12"/>
  <c r="G23" i="12"/>
  <c r="H23" i="12" s="1"/>
  <c r="I23" i="12" s="1"/>
  <c r="J22" i="12"/>
  <c r="G22" i="12"/>
  <c r="H22" i="12" s="1"/>
  <c r="I22" i="12" s="1"/>
  <c r="J21" i="12"/>
  <c r="G21" i="12"/>
  <c r="H21" i="12" s="1"/>
  <c r="I21" i="12" s="1"/>
  <c r="G20" i="12"/>
  <c r="H20" i="12" s="1"/>
  <c r="I20" i="12" s="1"/>
  <c r="J20" i="12"/>
  <c r="J19" i="12"/>
  <c r="G19" i="12"/>
  <c r="H19" i="12" s="1"/>
  <c r="I19" i="12" s="1"/>
  <c r="J18" i="12"/>
  <c r="G18" i="12"/>
  <c r="H18" i="12" s="1"/>
  <c r="I18" i="12" s="1"/>
  <c r="J17" i="12"/>
  <c r="G17" i="12"/>
  <c r="H17" i="12" s="1"/>
  <c r="I17" i="12" s="1"/>
  <c r="J16" i="12"/>
  <c r="G16" i="12"/>
  <c r="H16" i="12" s="1"/>
  <c r="I16" i="12" s="1"/>
  <c r="G15" i="12"/>
  <c r="H15" i="12" s="1"/>
  <c r="I15" i="12" s="1"/>
  <c r="J15" i="12"/>
  <c r="G14" i="12"/>
  <c r="H14" i="12" s="1"/>
  <c r="I14" i="12" s="1"/>
  <c r="J14" i="12"/>
  <c r="J13" i="12"/>
  <c r="G13" i="12"/>
  <c r="H13" i="12" s="1"/>
  <c r="I13" i="12" s="1"/>
  <c r="J12" i="12"/>
  <c r="G12" i="12"/>
  <c r="H12" i="12" s="1"/>
  <c r="I12" i="12" s="1"/>
  <c r="J11" i="12"/>
  <c r="G11" i="12"/>
  <c r="H11" i="12" s="1"/>
  <c r="I11" i="12" s="1"/>
  <c r="J10" i="12"/>
  <c r="G10" i="12"/>
  <c r="H10" i="12" s="1"/>
  <c r="I10" i="12" s="1"/>
  <c r="J9" i="12"/>
  <c r="G9" i="12"/>
  <c r="H9" i="12" s="1"/>
  <c r="I9" i="12" s="1"/>
  <c r="J8" i="12"/>
  <c r="G8" i="12"/>
  <c r="H8" i="12" s="1"/>
  <c r="I8" i="12" s="1"/>
  <c r="G7" i="12"/>
  <c r="H7" i="12" s="1"/>
  <c r="I7" i="12" s="1"/>
  <c r="J7" i="12"/>
  <c r="G6" i="12"/>
  <c r="H6" i="12" s="1"/>
  <c r="I6" i="12" s="1"/>
  <c r="J6" i="12"/>
  <c r="J5" i="12"/>
  <c r="G5" i="12"/>
  <c r="H5" i="12" s="1"/>
  <c r="I5" i="12" s="1"/>
  <c r="J4" i="12"/>
  <c r="G4" i="12"/>
  <c r="L7" i="9"/>
  <c r="L18" i="9"/>
  <c r="J6" i="9"/>
  <c r="B24" i="17"/>
  <c r="B23" i="17"/>
  <c r="I6" i="9"/>
  <c r="B22" i="17"/>
  <c r="H6" i="9"/>
  <c r="G6" i="9"/>
  <c r="B21" i="17"/>
  <c r="B20" i="17"/>
  <c r="F6" i="9"/>
  <c r="B19" i="17"/>
  <c r="E6" i="9"/>
  <c r="D6" i="9"/>
  <c r="B18" i="17"/>
  <c r="C6" i="9"/>
  <c r="B17" i="17"/>
  <c r="B16" i="17"/>
  <c r="K4" i="9"/>
  <c r="B6" i="9"/>
  <c r="E32" i="7"/>
  <c r="G21" i="7"/>
  <c r="H21" i="7" s="1"/>
  <c r="J10" i="9"/>
  <c r="K10" i="9" s="1"/>
  <c r="M10" i="9" s="1"/>
  <c r="N10" i="9" s="1"/>
  <c r="G29" i="7"/>
  <c r="H29" i="7" s="1"/>
  <c r="J21" i="9"/>
  <c r="K21" i="9" s="1"/>
  <c r="M21" i="9" s="1"/>
  <c r="N21" i="9" s="1"/>
  <c r="J14" i="9"/>
  <c r="G25" i="7"/>
  <c r="G28" i="7"/>
  <c r="J20" i="9"/>
  <c r="G19" i="7"/>
  <c r="H19" i="7" s="1"/>
  <c r="J8" i="9"/>
  <c r="G24" i="7"/>
  <c r="J13" i="9"/>
  <c r="G23" i="7"/>
  <c r="J12" i="9"/>
  <c r="F25" i="7"/>
  <c r="B14" i="9"/>
  <c r="F12" i="14"/>
  <c r="I12" i="14" s="1"/>
  <c r="F11" i="14"/>
  <c r="I11" i="14" s="1"/>
  <c r="D43" i="17" s="1"/>
  <c r="E12" i="14"/>
  <c r="H12" i="14" s="1"/>
  <c r="E11" i="14"/>
  <c r="H11" i="14" s="1"/>
  <c r="C43" i="17" s="1"/>
  <c r="D12" i="14"/>
  <c r="D11" i="14"/>
  <c r="H12" i="7"/>
  <c r="H6" i="7"/>
  <c r="G32" i="7"/>
  <c r="H10" i="7"/>
  <c r="H8" i="7"/>
  <c r="K13" i="9" l="1"/>
  <c r="M13" i="9" s="1"/>
  <c r="N13" i="9" s="1"/>
  <c r="H28" i="7"/>
  <c r="K20" i="9"/>
  <c r="M20" i="9" s="1"/>
  <c r="N20" i="9" s="1"/>
  <c r="H24" i="7"/>
  <c r="G6" i="14"/>
  <c r="K6" i="14"/>
  <c r="K12" i="9"/>
  <c r="M12" i="9" s="1"/>
  <c r="N12" i="9" s="1"/>
  <c r="H23" i="7"/>
  <c r="K7" i="14"/>
  <c r="L7" i="14" s="1"/>
  <c r="G7" i="14"/>
  <c r="G5" i="14"/>
  <c r="K5" i="14"/>
  <c r="G4" i="14"/>
  <c r="K4" i="14"/>
  <c r="G8" i="14"/>
  <c r="K8" i="14"/>
  <c r="I9" i="14"/>
  <c r="K9" i="14"/>
  <c r="L9" i="14" s="1"/>
  <c r="K10" i="14"/>
  <c r="L10" i="14" s="1"/>
  <c r="G10" i="14"/>
  <c r="J26" i="7"/>
  <c r="I26" i="7"/>
  <c r="I30" i="7"/>
  <c r="J30" i="7"/>
  <c r="J27" i="7"/>
  <c r="I27" i="7"/>
  <c r="J18" i="7"/>
  <c r="I18" i="7"/>
  <c r="I17" i="7"/>
  <c r="J17" i="7"/>
  <c r="I7" i="7"/>
  <c r="C7" i="10"/>
  <c r="D7" i="10" s="1"/>
  <c r="J7" i="7"/>
  <c r="C11" i="10"/>
  <c r="D11" i="10" s="1"/>
  <c r="F60" i="13"/>
  <c r="F61" i="13" s="1"/>
  <c r="J11" i="7"/>
  <c r="I11" i="7"/>
  <c r="J20" i="7"/>
  <c r="I20" i="7"/>
  <c r="I15" i="7"/>
  <c r="J15" i="7"/>
  <c r="C15" i="10"/>
  <c r="D15" i="10" s="1"/>
  <c r="I14" i="7"/>
  <c r="C14" i="10"/>
  <c r="D14" i="10" s="1"/>
  <c r="J14" i="7"/>
  <c r="J13" i="7"/>
  <c r="I13" i="7"/>
  <c r="C13" i="10"/>
  <c r="D13" i="10" s="1"/>
  <c r="I9" i="7"/>
  <c r="J9" i="7"/>
  <c r="C9" i="10"/>
  <c r="D9" i="10" s="1"/>
  <c r="I16" i="7"/>
  <c r="J16" i="7"/>
  <c r="C16" i="10"/>
  <c r="D16" i="10" s="1"/>
  <c r="C5" i="10"/>
  <c r="D5" i="10" s="1"/>
  <c r="I5" i="7"/>
  <c r="J5" i="7"/>
  <c r="F70" i="12"/>
  <c r="F71" i="12" s="1"/>
  <c r="J14" i="15"/>
  <c r="J13" i="15"/>
  <c r="J7" i="15"/>
  <c r="J6" i="15"/>
  <c r="J8" i="15"/>
  <c r="J9" i="15"/>
  <c r="J10" i="15"/>
  <c r="J11" i="15"/>
  <c r="J12" i="15"/>
  <c r="J18" i="15"/>
  <c r="J17" i="15"/>
  <c r="J16" i="15"/>
  <c r="J15" i="15"/>
  <c r="I22" i="7"/>
  <c r="J22" i="7"/>
  <c r="B41" i="17"/>
  <c r="B60" i="13"/>
  <c r="C60" i="13" s="1"/>
  <c r="B62" i="13"/>
  <c r="C62" i="13" s="1"/>
  <c r="B59" i="13"/>
  <c r="C59" i="13" s="1"/>
  <c r="B61" i="13"/>
  <c r="C61" i="13" s="1"/>
  <c r="B63" i="13"/>
  <c r="C63" i="13" s="1"/>
  <c r="H4" i="12"/>
  <c r="I4" i="12" s="1"/>
  <c r="F72" i="12" s="1"/>
  <c r="B72" i="12"/>
  <c r="C72" i="12" s="1"/>
  <c r="B70" i="12"/>
  <c r="C70" i="12" s="1"/>
  <c r="B73" i="12"/>
  <c r="C73" i="12" s="1"/>
  <c r="B22" i="14" s="1"/>
  <c r="A10" i="17" s="1"/>
  <c r="B69" i="12"/>
  <c r="C69" i="12" s="1"/>
  <c r="B71" i="12"/>
  <c r="C71" i="12" s="1"/>
  <c r="L19" i="9"/>
  <c r="L22" i="9"/>
  <c r="L24" i="9" s="1"/>
  <c r="J7" i="9"/>
  <c r="I7" i="9"/>
  <c r="I18" i="9"/>
  <c r="H7" i="9"/>
  <c r="H18" i="9"/>
  <c r="G18" i="9"/>
  <c r="G7" i="9"/>
  <c r="F7" i="9"/>
  <c r="F18" i="9"/>
  <c r="E18" i="9"/>
  <c r="E7" i="9"/>
  <c r="D7" i="9"/>
  <c r="D18" i="9"/>
  <c r="C18" i="9"/>
  <c r="C7" i="9"/>
  <c r="M4" i="9"/>
  <c r="N4" i="9" s="1"/>
  <c r="A6" i="17"/>
  <c r="B7" i="9"/>
  <c r="K6" i="9"/>
  <c r="I4" i="7"/>
  <c r="J4" i="7"/>
  <c r="C4" i="10"/>
  <c r="B16" i="11"/>
  <c r="B17" i="11" s="1"/>
  <c r="D10" i="17" s="1"/>
  <c r="K6" i="15"/>
  <c r="J21" i="7"/>
  <c r="I21" i="7"/>
  <c r="J29" i="7"/>
  <c r="I29" i="7"/>
  <c r="J19" i="7"/>
  <c r="I19" i="7"/>
  <c r="H25" i="7"/>
  <c r="F32" i="7"/>
  <c r="B19" i="14"/>
  <c r="D44" i="17"/>
  <c r="B18" i="14"/>
  <c r="C44" i="17"/>
  <c r="G12" i="14"/>
  <c r="K12" i="14"/>
  <c r="G11" i="14"/>
  <c r="K11" i="14"/>
  <c r="C12" i="10"/>
  <c r="J12" i="7"/>
  <c r="I12" i="7"/>
  <c r="C6" i="10"/>
  <c r="D6" i="10" s="1"/>
  <c r="J6" i="7"/>
  <c r="I6" i="7"/>
  <c r="C10" i="10"/>
  <c r="J10" i="7"/>
  <c r="I10" i="7"/>
  <c r="J8" i="7"/>
  <c r="I8" i="7"/>
  <c r="C8" i="10"/>
  <c r="D8" i="10" s="1"/>
  <c r="J17" i="9"/>
  <c r="J18" i="9" s="1"/>
  <c r="K8" i="9"/>
  <c r="M8" i="9" s="1"/>
  <c r="N8" i="9" s="1"/>
  <c r="K14" i="9"/>
  <c r="M14" i="9" s="1"/>
  <c r="N14" i="9" s="1"/>
  <c r="B17" i="9"/>
  <c r="B38" i="17" l="1"/>
  <c r="J6" i="14"/>
  <c r="M6" i="14" s="1"/>
  <c r="J28" i="7"/>
  <c r="I28" i="7"/>
  <c r="H32" i="7"/>
  <c r="L8" i="14"/>
  <c r="J24" i="7"/>
  <c r="I24" i="7"/>
  <c r="J23" i="7"/>
  <c r="I23" i="7"/>
  <c r="J7" i="14"/>
  <c r="M7" i="14" s="1"/>
  <c r="B39" i="17"/>
  <c r="J5" i="14"/>
  <c r="M5" i="14" s="1"/>
  <c r="B37" i="17"/>
  <c r="L6" i="14"/>
  <c r="L5" i="14"/>
  <c r="J4" i="14"/>
  <c r="M4" i="14" s="1"/>
  <c r="B36" i="17"/>
  <c r="J8" i="14"/>
  <c r="M8" i="14" s="1"/>
  <c r="B40" i="17"/>
  <c r="D41" i="17"/>
  <c r="J9" i="14"/>
  <c r="M9" i="14" s="1"/>
  <c r="L11" i="14"/>
  <c r="J10" i="14"/>
  <c r="M10" i="14" s="1"/>
  <c r="B42" i="17"/>
  <c r="D12" i="10"/>
  <c r="B24" i="10"/>
  <c r="K17" i="9"/>
  <c r="M17" i="9" s="1"/>
  <c r="N17" i="9" s="1"/>
  <c r="B18" i="9"/>
  <c r="J19" i="9"/>
  <c r="J22" i="9"/>
  <c r="J24" i="9" s="1"/>
  <c r="C24" i="17"/>
  <c r="I19" i="9"/>
  <c r="I22" i="9"/>
  <c r="I24" i="9" s="1"/>
  <c r="C23" i="17"/>
  <c r="H19" i="9"/>
  <c r="H22" i="9"/>
  <c r="H24" i="9" s="1"/>
  <c r="C22" i="17"/>
  <c r="G19" i="9"/>
  <c r="G22" i="9"/>
  <c r="G24" i="9" s="1"/>
  <c r="C21" i="17"/>
  <c r="F19" i="9"/>
  <c r="F22" i="9"/>
  <c r="F24" i="9" s="1"/>
  <c r="C20" i="17"/>
  <c r="E19" i="9"/>
  <c r="E22" i="9"/>
  <c r="E24" i="9" s="1"/>
  <c r="C19" i="17"/>
  <c r="D19" i="9"/>
  <c r="D22" i="9"/>
  <c r="D24" i="9" s="1"/>
  <c r="C18" i="17"/>
  <c r="C19" i="9"/>
  <c r="C22" i="9"/>
  <c r="C24" i="9" s="1"/>
  <c r="C17" i="17"/>
  <c r="M6" i="9"/>
  <c r="N6" i="9" s="1"/>
  <c r="K7" i="9"/>
  <c r="M7" i="9" s="1"/>
  <c r="D4" i="10"/>
  <c r="B21" i="10"/>
  <c r="G6" i="17"/>
  <c r="L6" i="15"/>
  <c r="B23" i="15"/>
  <c r="J25" i="7"/>
  <c r="I25" i="7"/>
  <c r="J12" i="14"/>
  <c r="B17" i="14"/>
  <c r="B44" i="17"/>
  <c r="L12" i="14"/>
  <c r="B21" i="14"/>
  <c r="J11" i="14"/>
  <c r="M11" i="14" s="1"/>
  <c r="B43" i="17"/>
  <c r="C64" i="13"/>
  <c r="C74" i="12"/>
  <c r="D10" i="10"/>
  <c r="B22" i="10"/>
  <c r="J32" i="7" l="1"/>
  <c r="I32" i="7"/>
  <c r="K18" i="9"/>
  <c r="D6" i="17" s="1"/>
  <c r="B19" i="9"/>
  <c r="B22" i="9"/>
  <c r="C16" i="17"/>
  <c r="N6" i="15"/>
  <c r="R6" i="15"/>
  <c r="K7" i="15"/>
  <c r="L7" i="15" s="1"/>
  <c r="M12" i="14"/>
  <c r="B20" i="14"/>
  <c r="J6" i="17" s="1"/>
  <c r="B23" i="10"/>
  <c r="K22" i="9" l="1"/>
  <c r="M22" i="9" s="1"/>
  <c r="N22" i="9" s="1"/>
  <c r="B24" i="9"/>
  <c r="K24" i="9" s="1"/>
  <c r="M18" i="9"/>
  <c r="N18" i="9" s="1"/>
  <c r="K19" i="9"/>
  <c r="M19" i="9" s="1"/>
  <c r="O6" i="15"/>
  <c r="N7" i="15"/>
  <c r="R7" i="15"/>
  <c r="K8" i="15"/>
  <c r="L8" i="15" s="1"/>
  <c r="M24" i="9" l="1"/>
  <c r="N24" i="9" s="1"/>
  <c r="B25" i="10"/>
  <c r="B26" i="10" s="1"/>
  <c r="B27" i="10" s="1"/>
  <c r="N8" i="15"/>
  <c r="R8" i="15"/>
  <c r="K9" i="15"/>
  <c r="L9" i="15" s="1"/>
  <c r="O7" i="15"/>
  <c r="N9" i="15" l="1"/>
  <c r="R9" i="15"/>
  <c r="K10" i="15"/>
  <c r="L10" i="15" s="1"/>
  <c r="O8" i="15"/>
  <c r="N10" i="15" l="1"/>
  <c r="O10" i="15" s="1"/>
  <c r="R10" i="15"/>
  <c r="K11" i="15"/>
  <c r="L11" i="15" s="1"/>
  <c r="O9" i="15"/>
  <c r="N11" i="15" l="1"/>
  <c r="O11" i="15" s="1"/>
  <c r="R11" i="15"/>
  <c r="K12" i="15"/>
  <c r="L12" i="15" s="1"/>
  <c r="N12" i="15" l="1"/>
  <c r="O12" i="15" s="1"/>
  <c r="R12" i="15"/>
  <c r="K13" i="15"/>
  <c r="L13" i="15" s="1"/>
  <c r="N13" i="15" l="1"/>
  <c r="O13" i="15" s="1"/>
  <c r="R13" i="15"/>
  <c r="K14" i="15"/>
  <c r="L14" i="15" s="1"/>
  <c r="N14" i="15" l="1"/>
  <c r="O14" i="15" s="1"/>
  <c r="R14" i="15"/>
  <c r="K15" i="15"/>
  <c r="L15" i="15" s="1"/>
  <c r="N15" i="15" l="1"/>
  <c r="O15" i="15" s="1"/>
  <c r="R15" i="15"/>
  <c r="K16" i="15"/>
  <c r="L16" i="15" s="1"/>
  <c r="N16" i="15" l="1"/>
  <c r="O16" i="15" s="1"/>
  <c r="R16" i="15"/>
  <c r="K17" i="15"/>
  <c r="L17" i="15" s="1"/>
  <c r="N17" i="15" l="1"/>
  <c r="O17" i="15" s="1"/>
  <c r="R17" i="15"/>
  <c r="K18" i="15"/>
  <c r="L18" i="15" s="1"/>
  <c r="B24" i="15" l="1"/>
  <c r="N18" i="15"/>
  <c r="R18" i="15"/>
  <c r="B25" i="15"/>
  <c r="G10" i="17" s="1"/>
  <c r="B26" i="15" l="1"/>
  <c r="O18" i="15"/>
</calcChain>
</file>

<file path=xl/sharedStrings.xml><?xml version="1.0" encoding="utf-8"?>
<sst xmlns="http://schemas.openxmlformats.org/spreadsheetml/2006/main" count="6013" uniqueCount="1347">
  <si>
    <t>Aster &amp; Vale Consumer Products Ltd — Month-End Management Accounts, Working Capital &amp; 13-Week Cash Forecast</t>
  </si>
  <si>
    <t>Project 3 | Finance operations &amp; management accounting flagship | V1 foundation</t>
  </si>
  <si>
    <t>Business case</t>
  </si>
  <si>
    <t>Aster &amp; Vale Consumer Products Ltd is a fictional UK consumer-goods business. The September 2026 month-end requires Finance to close the ledger, post adjustments, reconcile balance-sheet accounts, produce management accounts, assess working capital and maintain a 13-week cash forecast.</t>
  </si>
  <si>
    <t>V1 workflow</t>
  </si>
  <si>
    <t>Load opening TB and ERP-style GL extract</t>
  </si>
  <si>
    <t>Map accounts to management-reporting lines</t>
  </si>
  <si>
    <t>Post accruals, prepayments, depreciation and bad-debt adjustments</t>
  </si>
  <si>
    <t>Produce adjusted trial balance with controls</t>
  </si>
  <si>
    <t>Build management P&amp;L and balance sheet</t>
  </si>
  <si>
    <t>Reconcile bank, AR and AP</t>
  </si>
  <si>
    <t>Calculate DSO, DPO, inventory days and CCC</t>
  </si>
  <si>
    <t>Forecast 13 weeks of liquidity</t>
  </si>
  <si>
    <t>Track month-end close tasks and unresolved items</t>
  </si>
  <si>
    <t>Portfolio integrity</t>
  </si>
  <si>
    <t>All transactions, balances, customer/supplier invoices and assumptions are synthetic. This is an independent portfolio case study and not work completed for a real employer.</t>
  </si>
  <si>
    <t>Close, Working Capital &amp; Cash Forecast Assumptions</t>
  </si>
  <si>
    <t>Cash forecast assumptions</t>
  </si>
  <si>
    <t>Assumption</t>
  </si>
  <si>
    <t>Value</t>
  </si>
  <si>
    <t>Use</t>
  </si>
  <si>
    <t>Source</t>
  </si>
  <si>
    <t>Base Weekly Sales (£)</t>
  </si>
  <si>
    <t>Average forecast sales run-rate</t>
  </si>
  <si>
    <t>Synthetic management assumption</t>
  </si>
  <si>
    <t>Collection Rate</t>
  </si>
  <si>
    <t>Share of sales converted to cash in near-term</t>
  </si>
  <si>
    <t>Base Weekly COGS (£)</t>
  </si>
  <si>
    <t>Purchasing / supplier cash run-rate</t>
  </si>
  <si>
    <t>Supplier Payment Factor</t>
  </si>
  <si>
    <t>Cash payments vs weekly purchasing</t>
  </si>
  <si>
    <t>Monthly Payroll Cash (£)</t>
  </si>
  <si>
    <t>Paid in weeks 4, 8 and 13</t>
  </si>
  <si>
    <t>Monthly Rent (£)</t>
  </si>
  <si>
    <t>Paid in weeks 1, 5, 9 and 13</t>
  </si>
  <si>
    <t>Weekly Other Opex (£)</t>
  </si>
  <si>
    <t>Software, marketing, utilities, travel</t>
  </si>
  <si>
    <t>Minimum Cash Policy (£)</t>
  </si>
  <si>
    <t>Liquidity floor</t>
  </si>
  <si>
    <t>Synthetic treasury assumption</t>
  </si>
  <si>
    <t>Q4 Capex (£)</t>
  </si>
  <si>
    <t>Split across weeks 6 and 11</t>
  </si>
  <si>
    <t>Synthetic capex plan</t>
  </si>
  <si>
    <t>Q4 Tax / Interest (£)</t>
  </si>
  <si>
    <t>Paid in week 10</t>
  </si>
  <si>
    <t>Chart of Accounts</t>
  </si>
  <si>
    <t>Account Code</t>
  </si>
  <si>
    <t>Account Name</t>
  </si>
  <si>
    <t>Account Type</t>
  </si>
  <si>
    <t>Management Line</t>
  </si>
  <si>
    <t>Statement</t>
  </si>
  <si>
    <t>Normal Balance</t>
  </si>
  <si>
    <t>1000</t>
  </si>
  <si>
    <t>Bank</t>
  </si>
  <si>
    <t>Asset</t>
  </si>
  <si>
    <t>Cash</t>
  </si>
  <si>
    <t>BS</t>
  </si>
  <si>
    <t>Debit</t>
  </si>
  <si>
    <t>1100</t>
  </si>
  <si>
    <t>Trade Receivables</t>
  </si>
  <si>
    <t>1150</t>
  </si>
  <si>
    <t>Allowance for Doubtful Debts</t>
  </si>
  <si>
    <t>Credit</t>
  </si>
  <si>
    <t>1200</t>
  </si>
  <si>
    <t>Inventory</t>
  </si>
  <si>
    <t>1300</t>
  </si>
  <si>
    <t>Prepayments</t>
  </si>
  <si>
    <t>1400</t>
  </si>
  <si>
    <t>Property, Plant &amp; Equipment</t>
  </si>
  <si>
    <t>1450</t>
  </si>
  <si>
    <t>Accumulated Depreciation</t>
  </si>
  <si>
    <t>2000</t>
  </si>
  <si>
    <t>Trade Payables</t>
  </si>
  <si>
    <t>Liability</t>
  </si>
  <si>
    <t>2100</t>
  </si>
  <si>
    <t>Accrued Expenses</t>
  </si>
  <si>
    <t>2200</t>
  </si>
  <si>
    <t>Payroll Liabilities</t>
  </si>
  <si>
    <t>2300</t>
  </si>
  <si>
    <t>VAT / Tax Payable</t>
  </si>
  <si>
    <t>Tax Payable</t>
  </si>
  <si>
    <t>3000</t>
  </si>
  <si>
    <t>Share Capital</t>
  </si>
  <si>
    <t>Equity</t>
  </si>
  <si>
    <t>3100</t>
  </si>
  <si>
    <t>Retained Earnings</t>
  </si>
  <si>
    <t>4000</t>
  </si>
  <si>
    <t>Product Sales</t>
  </si>
  <si>
    <t>Revenue</t>
  </si>
  <si>
    <t>PL</t>
  </si>
  <si>
    <t>5000</t>
  </si>
  <si>
    <t>Cost of Goods Sold</t>
  </si>
  <si>
    <t>Expense</t>
  </si>
  <si>
    <t>COGS</t>
  </si>
  <si>
    <t>6000</t>
  </si>
  <si>
    <t>Salaries &amp; Wages</t>
  </si>
  <si>
    <t>Salaries</t>
  </si>
  <si>
    <t>6100</t>
  </si>
  <si>
    <t>Employer NI &amp; Pension</t>
  </si>
  <si>
    <t>Employer Costs</t>
  </si>
  <si>
    <t>6200</t>
  </si>
  <si>
    <t>Marketing</t>
  </si>
  <si>
    <t>6300</t>
  </si>
  <si>
    <t>Rent</t>
  </si>
  <si>
    <t>6400</t>
  </si>
  <si>
    <t>Utilities</t>
  </si>
  <si>
    <t>6500</t>
  </si>
  <si>
    <t>Professional Fees</t>
  </si>
  <si>
    <t>6550</t>
  </si>
  <si>
    <t>Insurance</t>
  </si>
  <si>
    <t>6600</t>
  </si>
  <si>
    <t>Software &amp; IT</t>
  </si>
  <si>
    <t>6700</t>
  </si>
  <si>
    <t>Travel &amp; Entertainment</t>
  </si>
  <si>
    <t>Travel</t>
  </si>
  <si>
    <t>6800</t>
  </si>
  <si>
    <t>Depreciation</t>
  </si>
  <si>
    <t>6900</t>
  </si>
  <si>
    <t>Bad Debt Expense</t>
  </si>
  <si>
    <t>Bad Debt</t>
  </si>
  <si>
    <t>7000</t>
  </si>
  <si>
    <t>Interest Expense</t>
  </si>
  <si>
    <t>Interest</t>
  </si>
  <si>
    <t>Opening Trial Balance — 31 Dec 2025</t>
  </si>
  <si>
    <t>Opening Balance (£)</t>
  </si>
  <si>
    <t>Debit (£)</t>
  </si>
  <si>
    <t>Credit (£)</t>
  </si>
  <si>
    <t>Control</t>
  </si>
  <si>
    <t>Synthetic opening balance</t>
  </si>
  <si>
    <t>TOTAL</t>
  </si>
  <si>
    <t>ERP General Ledger Extract — Jan to Sep 2026</t>
  </si>
  <si>
    <t>Journal ID</t>
  </si>
  <si>
    <t>Date</t>
  </si>
  <si>
    <t>Net Amount (£)</t>
  </si>
  <si>
    <t>Reference</t>
  </si>
  <si>
    <t>Description</t>
  </si>
  <si>
    <t>Month</t>
  </si>
  <si>
    <t>JE00001</t>
  </si>
  <si>
    <t>SI-01-001</t>
  </si>
  <si>
    <t>Sales invoice — Customer 29</t>
  </si>
  <si>
    <t>Sales Ledger</t>
  </si>
  <si>
    <t>JE00002</t>
  </si>
  <si>
    <t>SI-01-002</t>
  </si>
  <si>
    <t>Sales invoice — Customer 27</t>
  </si>
  <si>
    <t>JE00003</t>
  </si>
  <si>
    <t>SI-01-003</t>
  </si>
  <si>
    <t>Sales invoice — Customer 17</t>
  </si>
  <si>
    <t>JE00004</t>
  </si>
  <si>
    <t>SI-01-004</t>
  </si>
  <si>
    <t>Sales invoice — Customer 22</t>
  </si>
  <si>
    <t>JE00005</t>
  </si>
  <si>
    <t>SI-01-005</t>
  </si>
  <si>
    <t>Sales invoice — Customer 18</t>
  </si>
  <si>
    <t>JE00006</t>
  </si>
  <si>
    <t>SI-01-006</t>
  </si>
  <si>
    <t>Sales invoice — Customer 05</t>
  </si>
  <si>
    <t>JE00007</t>
  </si>
  <si>
    <t>SI-01-007</t>
  </si>
  <si>
    <t>Sales invoice — Customer 10</t>
  </si>
  <si>
    <t>JE00008</t>
  </si>
  <si>
    <t>SI-01-008</t>
  </si>
  <si>
    <t>Sales invoice — Customer 21</t>
  </si>
  <si>
    <t>JE00009</t>
  </si>
  <si>
    <t>SI-01-009</t>
  </si>
  <si>
    <t>Sales invoice — Customer 02</t>
  </si>
  <si>
    <t>JE00010</t>
  </si>
  <si>
    <t>SI-01-010</t>
  </si>
  <si>
    <t>Sales invoice — Customer 06</t>
  </si>
  <si>
    <t>JE00011</t>
  </si>
  <si>
    <t>SI-01-011</t>
  </si>
  <si>
    <t>JE00012</t>
  </si>
  <si>
    <t>SI-01-012</t>
  </si>
  <si>
    <t>Sales invoice — Customer 24</t>
  </si>
  <si>
    <t>JE00013</t>
  </si>
  <si>
    <t>CR-01-001</t>
  </si>
  <si>
    <t>Customer receipts</t>
  </si>
  <si>
    <t>Bank / AR</t>
  </si>
  <si>
    <t>JE00014</t>
  </si>
  <si>
    <t>CR-01-002</t>
  </si>
  <si>
    <t>JE00015</t>
  </si>
  <si>
    <t>CR-01-003</t>
  </si>
  <si>
    <t>JE00016</t>
  </si>
  <si>
    <t>CR-01-004</t>
  </si>
  <si>
    <t>JE00017</t>
  </si>
  <si>
    <t>CR-01-005</t>
  </si>
  <si>
    <t>JE00018</t>
  </si>
  <si>
    <t>CR-01-006</t>
  </si>
  <si>
    <t>JE00019</t>
  </si>
  <si>
    <t>PI-01-001</t>
  </si>
  <si>
    <t>Inventory purchase — Supplier 17</t>
  </si>
  <si>
    <t>Purchase Ledger</t>
  </si>
  <si>
    <t>JE00020</t>
  </si>
  <si>
    <t>PI-01-002</t>
  </si>
  <si>
    <t>Inventory purchase — Supplier 02</t>
  </si>
  <si>
    <t>JE00021</t>
  </si>
  <si>
    <t>PI-01-003</t>
  </si>
  <si>
    <t>Inventory purchase — Supplier 03</t>
  </si>
  <si>
    <t>JE00022</t>
  </si>
  <si>
    <t>PI-01-004</t>
  </si>
  <si>
    <t>Inventory purchase — Supplier 06</t>
  </si>
  <si>
    <t>JE00023</t>
  </si>
  <si>
    <t>PI-01-005</t>
  </si>
  <si>
    <t>Inventory purchase — Supplier 01</t>
  </si>
  <si>
    <t>JE00024</t>
  </si>
  <si>
    <t>PI-01-006</t>
  </si>
  <si>
    <t>JE00025</t>
  </si>
  <si>
    <t>SP-01-001</t>
  </si>
  <si>
    <t>Supplier payment</t>
  </si>
  <si>
    <t>Bank / AP</t>
  </si>
  <si>
    <t>JE00026</t>
  </si>
  <si>
    <t>SP-01-002</t>
  </si>
  <si>
    <t>JE00027</t>
  </si>
  <si>
    <t>SP-01-003</t>
  </si>
  <si>
    <t>JE00028</t>
  </si>
  <si>
    <t>SP-01-004</t>
  </si>
  <si>
    <t>JE00029</t>
  </si>
  <si>
    <t>SP-01-005</t>
  </si>
  <si>
    <t>JE00030</t>
  </si>
  <si>
    <t>PAY-01</t>
  </si>
  <si>
    <t>Monthly payroll</t>
  </si>
  <si>
    <t>Payroll</t>
  </si>
  <si>
    <t>JE00031</t>
  </si>
  <si>
    <t>PAYL-01</t>
  </si>
  <si>
    <t>Payroll liability settlement</t>
  </si>
  <si>
    <t>JE00032</t>
  </si>
  <si>
    <t>MKT-01</t>
  </si>
  <si>
    <t>Marketing services</t>
  </si>
  <si>
    <t>JE00033</t>
  </si>
  <si>
    <t>RENT-01</t>
  </si>
  <si>
    <t>Office and warehouse rent</t>
  </si>
  <si>
    <t>JE00034</t>
  </si>
  <si>
    <t>UTIL-01</t>
  </si>
  <si>
    <t>Utilities invoice</t>
  </si>
  <si>
    <t>JE00035</t>
  </si>
  <si>
    <t>PROF-01</t>
  </si>
  <si>
    <t>Professional services</t>
  </si>
  <si>
    <t>JE00036</t>
  </si>
  <si>
    <t>SW-01</t>
  </si>
  <si>
    <t>Software subscriptions</t>
  </si>
  <si>
    <t>JE00037</t>
  </si>
  <si>
    <t>TRV-01</t>
  </si>
  <si>
    <t>Travel and entertainment</t>
  </si>
  <si>
    <t>JE00038</t>
  </si>
  <si>
    <t>INT-01</t>
  </si>
  <si>
    <t>Interest charge</t>
  </si>
  <si>
    <t>JE00039</t>
  </si>
  <si>
    <t>DEP-01</t>
  </si>
  <si>
    <t>Monthly depreciation</t>
  </si>
  <si>
    <t>Fixed Assets</t>
  </si>
  <si>
    <t>JE00040</t>
  </si>
  <si>
    <t>CAPEX-01</t>
  </si>
  <si>
    <t>Capital expenditure</t>
  </si>
  <si>
    <t>JE00041</t>
  </si>
  <si>
    <t>SI-02-001</t>
  </si>
  <si>
    <t>JE00042</t>
  </si>
  <si>
    <t>SI-02-002</t>
  </si>
  <si>
    <t>Sales invoice — Customer 03</t>
  </si>
  <si>
    <t>JE00043</t>
  </si>
  <si>
    <t>SI-02-003</t>
  </si>
  <si>
    <t>Sales invoice — Customer 23</t>
  </si>
  <si>
    <t>JE00044</t>
  </si>
  <si>
    <t>SI-02-004</t>
  </si>
  <si>
    <t>JE00045</t>
  </si>
  <si>
    <t>SI-02-005</t>
  </si>
  <si>
    <t>JE00046</t>
  </si>
  <si>
    <t>SI-02-006</t>
  </si>
  <si>
    <t>JE00047</t>
  </si>
  <si>
    <t>SI-02-007</t>
  </si>
  <si>
    <t>Sales invoice — Customer 16</t>
  </si>
  <si>
    <t>JE00048</t>
  </si>
  <si>
    <t>SI-02-008</t>
  </si>
  <si>
    <t>JE00049</t>
  </si>
  <si>
    <t>SI-02-009</t>
  </si>
  <si>
    <t>JE00050</t>
  </si>
  <si>
    <t>SI-02-010</t>
  </si>
  <si>
    <t>JE00051</t>
  </si>
  <si>
    <t>SI-02-011</t>
  </si>
  <si>
    <t>Sales invoice — Customer 11</t>
  </si>
  <si>
    <t>JE00052</t>
  </si>
  <si>
    <t>SI-02-012</t>
  </si>
  <si>
    <t>JE00053</t>
  </si>
  <si>
    <t>CR-02-001</t>
  </si>
  <si>
    <t>JE00054</t>
  </si>
  <si>
    <t>CR-02-002</t>
  </si>
  <si>
    <t>JE00055</t>
  </si>
  <si>
    <t>CR-02-003</t>
  </si>
  <si>
    <t>JE00056</t>
  </si>
  <si>
    <t>CR-02-004</t>
  </si>
  <si>
    <t>JE00057</t>
  </si>
  <si>
    <t>CR-02-005</t>
  </si>
  <si>
    <t>JE00058</t>
  </si>
  <si>
    <t>CR-02-006</t>
  </si>
  <si>
    <t>JE00059</t>
  </si>
  <si>
    <t>PI-02-001</t>
  </si>
  <si>
    <t>JE00060</t>
  </si>
  <si>
    <t>PI-02-002</t>
  </si>
  <si>
    <t>Inventory purchase — Supplier 10</t>
  </si>
  <si>
    <t>JE00061</t>
  </si>
  <si>
    <t>PI-02-003</t>
  </si>
  <si>
    <t>JE00062</t>
  </si>
  <si>
    <t>PI-02-004</t>
  </si>
  <si>
    <t>Inventory purchase — Supplier 04</t>
  </si>
  <si>
    <t>JE00063</t>
  </si>
  <si>
    <t>PI-02-005</t>
  </si>
  <si>
    <t>Inventory purchase — Supplier 18</t>
  </si>
  <si>
    <t>JE00064</t>
  </si>
  <si>
    <t>PI-02-006</t>
  </si>
  <si>
    <t>Inventory purchase — Supplier 15</t>
  </si>
  <si>
    <t>JE00065</t>
  </si>
  <si>
    <t>SP-02-001</t>
  </si>
  <si>
    <t>JE00066</t>
  </si>
  <si>
    <t>SP-02-002</t>
  </si>
  <si>
    <t>JE00067</t>
  </si>
  <si>
    <t>SP-02-003</t>
  </si>
  <si>
    <t>JE00068</t>
  </si>
  <si>
    <t>SP-02-004</t>
  </si>
  <si>
    <t>JE00069</t>
  </si>
  <si>
    <t>SP-02-005</t>
  </si>
  <si>
    <t>JE00070</t>
  </si>
  <si>
    <t>PAY-02</t>
  </si>
  <si>
    <t>JE00071</t>
  </si>
  <si>
    <t>PAYL-02</t>
  </si>
  <si>
    <t>JE00072</t>
  </si>
  <si>
    <t>MKT-02</t>
  </si>
  <si>
    <t>JE00073</t>
  </si>
  <si>
    <t>RENT-02</t>
  </si>
  <si>
    <t>JE00074</t>
  </si>
  <si>
    <t>UTIL-02</t>
  </si>
  <si>
    <t>JE00075</t>
  </si>
  <si>
    <t>PROF-02</t>
  </si>
  <si>
    <t>JE00076</t>
  </si>
  <si>
    <t>SW-02</t>
  </si>
  <si>
    <t>JE00077</t>
  </si>
  <si>
    <t>TRV-02</t>
  </si>
  <si>
    <t>JE00078</t>
  </si>
  <si>
    <t>INT-02</t>
  </si>
  <si>
    <t>JE00079</t>
  </si>
  <si>
    <t>DEP-02</t>
  </si>
  <si>
    <t>JE00080</t>
  </si>
  <si>
    <t>SI-03-001</t>
  </si>
  <si>
    <t>JE00081</t>
  </si>
  <si>
    <t>SI-03-002</t>
  </si>
  <si>
    <t>JE00082</t>
  </si>
  <si>
    <t>SI-03-003</t>
  </si>
  <si>
    <t>Sales invoice — Customer 20</t>
  </si>
  <si>
    <t>JE00083</t>
  </si>
  <si>
    <t>SI-03-004</t>
  </si>
  <si>
    <t>Sales invoice — Customer 09</t>
  </si>
  <si>
    <t>JE00084</t>
  </si>
  <si>
    <t>SI-03-005</t>
  </si>
  <si>
    <t>Sales invoice — Customer 14</t>
  </si>
  <si>
    <t>JE00085</t>
  </si>
  <si>
    <t>SI-03-006</t>
  </si>
  <si>
    <t>JE00086</t>
  </si>
  <si>
    <t>SI-03-007</t>
  </si>
  <si>
    <t>JE00087</t>
  </si>
  <si>
    <t>SI-03-008</t>
  </si>
  <si>
    <t>JE00088</t>
  </si>
  <si>
    <t>SI-03-009</t>
  </si>
  <si>
    <t>Sales invoice — Customer 07</t>
  </si>
  <si>
    <t>JE00089</t>
  </si>
  <si>
    <t>SI-03-010</t>
  </si>
  <si>
    <t>JE00090</t>
  </si>
  <si>
    <t>SI-03-011</t>
  </si>
  <si>
    <t>JE00091</t>
  </si>
  <si>
    <t>SI-03-012</t>
  </si>
  <si>
    <t>JE00092</t>
  </si>
  <si>
    <t>CR-03-001</t>
  </si>
  <si>
    <t>JE00093</t>
  </si>
  <si>
    <t>CR-03-002</t>
  </si>
  <si>
    <t>JE00094</t>
  </si>
  <si>
    <t>CR-03-003</t>
  </si>
  <si>
    <t>JE00095</t>
  </si>
  <si>
    <t>CR-03-004</t>
  </si>
  <si>
    <t>JE00096</t>
  </si>
  <si>
    <t>CR-03-005</t>
  </si>
  <si>
    <t>JE00097</t>
  </si>
  <si>
    <t>CR-03-006</t>
  </si>
  <si>
    <t>JE00098</t>
  </si>
  <si>
    <t>PI-03-001</t>
  </si>
  <si>
    <t>Inventory purchase — Supplier 08</t>
  </si>
  <si>
    <t>JE00099</t>
  </si>
  <si>
    <t>PI-03-002</t>
  </si>
  <si>
    <t>Inventory purchase — Supplier 09</t>
  </si>
  <si>
    <t>JE00100</t>
  </si>
  <si>
    <t>PI-03-003</t>
  </si>
  <si>
    <t>Inventory purchase — Supplier 05</t>
  </si>
  <si>
    <t>JE00101</t>
  </si>
  <si>
    <t>PI-03-004</t>
  </si>
  <si>
    <t>Inventory purchase — Supplier 16</t>
  </si>
  <si>
    <t>JE00102</t>
  </si>
  <si>
    <t>PI-03-005</t>
  </si>
  <si>
    <t>JE00103</t>
  </si>
  <si>
    <t>PI-03-006</t>
  </si>
  <si>
    <t>JE00104</t>
  </si>
  <si>
    <t>SP-03-001</t>
  </si>
  <si>
    <t>JE00105</t>
  </si>
  <si>
    <t>SP-03-002</t>
  </si>
  <si>
    <t>JE00106</t>
  </si>
  <si>
    <t>SP-03-003</t>
  </si>
  <si>
    <t>JE00107</t>
  </si>
  <si>
    <t>SP-03-004</t>
  </si>
  <si>
    <t>JE00108</t>
  </si>
  <si>
    <t>SP-03-005</t>
  </si>
  <si>
    <t>JE00109</t>
  </si>
  <si>
    <t>PAY-03</t>
  </si>
  <si>
    <t>JE00110</t>
  </si>
  <si>
    <t>PAYL-03</t>
  </si>
  <si>
    <t>JE00111</t>
  </si>
  <si>
    <t>MKT-03</t>
  </si>
  <si>
    <t>JE00112</t>
  </si>
  <si>
    <t>RENT-03</t>
  </si>
  <si>
    <t>JE00113</t>
  </si>
  <si>
    <t>UTIL-03</t>
  </si>
  <si>
    <t>JE00114</t>
  </si>
  <si>
    <t>PROF-03</t>
  </si>
  <si>
    <t>JE00115</t>
  </si>
  <si>
    <t>SW-03</t>
  </si>
  <si>
    <t>JE00116</t>
  </si>
  <si>
    <t>TRV-03</t>
  </si>
  <si>
    <t>JE00117</t>
  </si>
  <si>
    <t>INT-03</t>
  </si>
  <si>
    <t>JE00118</t>
  </si>
  <si>
    <t>DEP-03</t>
  </si>
  <si>
    <t>JE00119</t>
  </si>
  <si>
    <t>SI-04-001</t>
  </si>
  <si>
    <t>JE00120</t>
  </si>
  <si>
    <t>SI-04-002</t>
  </si>
  <si>
    <t>Sales invoice — Customer 19</t>
  </si>
  <si>
    <t>JE00121</t>
  </si>
  <si>
    <t>SI-04-003</t>
  </si>
  <si>
    <t>JE00122</t>
  </si>
  <si>
    <t>SI-04-004</t>
  </si>
  <si>
    <t>JE00123</t>
  </si>
  <si>
    <t>SI-04-005</t>
  </si>
  <si>
    <t>JE00124</t>
  </si>
  <si>
    <t>SI-04-006</t>
  </si>
  <si>
    <t>JE00125</t>
  </si>
  <si>
    <t>SI-04-007</t>
  </si>
  <si>
    <t>Sales invoice — Customer 04</t>
  </si>
  <si>
    <t>JE00126</t>
  </si>
  <si>
    <t>SI-04-008</t>
  </si>
  <si>
    <t>Sales invoice — Customer 25</t>
  </si>
  <si>
    <t>JE00127</t>
  </si>
  <si>
    <t>SI-04-009</t>
  </si>
  <si>
    <t>JE00128</t>
  </si>
  <si>
    <t>SI-04-010</t>
  </si>
  <si>
    <t>Sales invoice — Customer 28</t>
  </si>
  <si>
    <t>JE00129</t>
  </si>
  <si>
    <t>SI-04-011</t>
  </si>
  <si>
    <t>Sales invoice — Customer 08</t>
  </si>
  <si>
    <t>JE00130</t>
  </si>
  <si>
    <t>SI-04-012</t>
  </si>
  <si>
    <t>JE00131</t>
  </si>
  <si>
    <t>CR-04-001</t>
  </si>
  <si>
    <t>JE00132</t>
  </si>
  <si>
    <t>CR-04-002</t>
  </si>
  <si>
    <t>JE00133</t>
  </si>
  <si>
    <t>CR-04-003</t>
  </si>
  <si>
    <t>JE00134</t>
  </si>
  <si>
    <t>CR-04-004</t>
  </si>
  <si>
    <t>JE00135</t>
  </si>
  <si>
    <t>CR-04-005</t>
  </si>
  <si>
    <t>JE00136</t>
  </si>
  <si>
    <t>CR-04-006</t>
  </si>
  <si>
    <t>JE00137</t>
  </si>
  <si>
    <t>PI-04-001</t>
  </si>
  <si>
    <t>JE00138</t>
  </si>
  <si>
    <t>PI-04-002</t>
  </si>
  <si>
    <t>JE00139</t>
  </si>
  <si>
    <t>PI-04-003</t>
  </si>
  <si>
    <t>Inventory purchase — Supplier 12</t>
  </si>
  <si>
    <t>JE00140</t>
  </si>
  <si>
    <t>PI-04-004</t>
  </si>
  <si>
    <t>JE00141</t>
  </si>
  <si>
    <t>PI-04-005</t>
  </si>
  <si>
    <t>JE00142</t>
  </si>
  <si>
    <t>PI-04-006</t>
  </si>
  <si>
    <t>JE00143</t>
  </si>
  <si>
    <t>SP-04-001</t>
  </si>
  <si>
    <t>JE00144</t>
  </si>
  <si>
    <t>SP-04-002</t>
  </si>
  <si>
    <t>JE00145</t>
  </si>
  <si>
    <t>SP-04-003</t>
  </si>
  <si>
    <t>JE00146</t>
  </si>
  <si>
    <t>SP-04-004</t>
  </si>
  <si>
    <t>JE00147</t>
  </si>
  <si>
    <t>SP-04-005</t>
  </si>
  <si>
    <t>JE00148</t>
  </si>
  <si>
    <t>PAY-04</t>
  </si>
  <si>
    <t>JE00149</t>
  </si>
  <si>
    <t>PAYL-04</t>
  </si>
  <si>
    <t>JE00150</t>
  </si>
  <si>
    <t>MKT-04</t>
  </si>
  <si>
    <t>JE00151</t>
  </si>
  <si>
    <t>RENT-04</t>
  </si>
  <si>
    <t>JE00152</t>
  </si>
  <si>
    <t>UTIL-04</t>
  </si>
  <si>
    <t>JE00153</t>
  </si>
  <si>
    <t>PROF-04</t>
  </si>
  <si>
    <t>JE00154</t>
  </si>
  <si>
    <t>SW-04</t>
  </si>
  <si>
    <t>JE00155</t>
  </si>
  <si>
    <t>TRV-04</t>
  </si>
  <si>
    <t>JE00156</t>
  </si>
  <si>
    <t>INT-04</t>
  </si>
  <si>
    <t>JE00157</t>
  </si>
  <si>
    <t>DEP-04</t>
  </si>
  <si>
    <t>JE00158</t>
  </si>
  <si>
    <t>CAPEX-04</t>
  </si>
  <si>
    <t>JE00159</t>
  </si>
  <si>
    <t>SI-05-001</t>
  </si>
  <si>
    <t>JE00160</t>
  </si>
  <si>
    <t>SI-05-002</t>
  </si>
  <si>
    <t>JE00161</t>
  </si>
  <si>
    <t>SI-05-003</t>
  </si>
  <si>
    <t>JE00162</t>
  </si>
  <si>
    <t>SI-05-004</t>
  </si>
  <si>
    <t>JE00163</t>
  </si>
  <si>
    <t>SI-05-005</t>
  </si>
  <si>
    <t>JE00164</t>
  </si>
  <si>
    <t>SI-05-006</t>
  </si>
  <si>
    <t>Sales invoice — Customer 13</t>
  </si>
  <si>
    <t>JE00165</t>
  </si>
  <si>
    <t>SI-05-007</t>
  </si>
  <si>
    <t>JE00166</t>
  </si>
  <si>
    <t>SI-05-008</t>
  </si>
  <si>
    <t>JE00167</t>
  </si>
  <si>
    <t>SI-05-009</t>
  </si>
  <si>
    <t>JE00168</t>
  </si>
  <si>
    <t>SI-05-010</t>
  </si>
  <si>
    <t>JE00169</t>
  </si>
  <si>
    <t>SI-05-011</t>
  </si>
  <si>
    <t>JE00170</t>
  </si>
  <si>
    <t>SI-05-012</t>
  </si>
  <si>
    <t>JE00171</t>
  </si>
  <si>
    <t>CR-05-001</t>
  </si>
  <si>
    <t>JE00172</t>
  </si>
  <si>
    <t>CR-05-002</t>
  </si>
  <si>
    <t>JE00173</t>
  </si>
  <si>
    <t>CR-05-003</t>
  </si>
  <si>
    <t>JE00174</t>
  </si>
  <si>
    <t>CR-05-004</t>
  </si>
  <si>
    <t>JE00175</t>
  </si>
  <si>
    <t>CR-05-005</t>
  </si>
  <si>
    <t>JE00176</t>
  </si>
  <si>
    <t>CR-05-006</t>
  </si>
  <si>
    <t>JE00177</t>
  </si>
  <si>
    <t>PI-05-001</t>
  </si>
  <si>
    <t>Inventory purchase — Supplier 11</t>
  </si>
  <si>
    <t>JE00178</t>
  </si>
  <si>
    <t>PI-05-002</t>
  </si>
  <si>
    <t>JE00179</t>
  </si>
  <si>
    <t>PI-05-003</t>
  </si>
  <si>
    <t>JE00180</t>
  </si>
  <si>
    <t>PI-05-004</t>
  </si>
  <si>
    <t>Inventory purchase — Supplier 20</t>
  </si>
  <si>
    <t>JE00181</t>
  </si>
  <si>
    <t>PI-05-005</t>
  </si>
  <si>
    <t>JE00182</t>
  </si>
  <si>
    <t>PI-05-006</t>
  </si>
  <si>
    <t>JE00183</t>
  </si>
  <si>
    <t>SP-05-001</t>
  </si>
  <si>
    <t>JE00184</t>
  </si>
  <si>
    <t>SP-05-002</t>
  </si>
  <si>
    <t>JE00185</t>
  </si>
  <si>
    <t>SP-05-003</t>
  </si>
  <si>
    <t>JE00186</t>
  </si>
  <si>
    <t>SP-05-004</t>
  </si>
  <si>
    <t>JE00187</t>
  </si>
  <si>
    <t>SP-05-005</t>
  </si>
  <si>
    <t>JE00188</t>
  </si>
  <si>
    <t>PAY-05</t>
  </si>
  <si>
    <t>JE00189</t>
  </si>
  <si>
    <t>PAYL-05</t>
  </si>
  <si>
    <t>JE00190</t>
  </si>
  <si>
    <t>MKT-05</t>
  </si>
  <si>
    <t>JE00191</t>
  </si>
  <si>
    <t>RENT-05</t>
  </si>
  <si>
    <t>JE00192</t>
  </si>
  <si>
    <t>UTIL-05</t>
  </si>
  <si>
    <t>JE00193</t>
  </si>
  <si>
    <t>PROF-05</t>
  </si>
  <si>
    <t>JE00194</t>
  </si>
  <si>
    <t>SW-05</t>
  </si>
  <si>
    <t>JE00195</t>
  </si>
  <si>
    <t>TRV-05</t>
  </si>
  <si>
    <t>JE00196</t>
  </si>
  <si>
    <t>INT-05</t>
  </si>
  <si>
    <t>JE00197</t>
  </si>
  <si>
    <t>DEP-05</t>
  </si>
  <si>
    <t>JE00198</t>
  </si>
  <si>
    <t>SI-06-001</t>
  </si>
  <si>
    <t>JE00199</t>
  </si>
  <si>
    <t>SI-06-002</t>
  </si>
  <si>
    <t>Sales invoice — Customer 01</t>
  </si>
  <si>
    <t>JE00200</t>
  </si>
  <si>
    <t>SI-06-003</t>
  </si>
  <si>
    <t>JE00201</t>
  </si>
  <si>
    <t>SI-06-004</t>
  </si>
  <si>
    <t>JE00202</t>
  </si>
  <si>
    <t>SI-06-005</t>
  </si>
  <si>
    <t>Sales invoice — Customer 12</t>
  </si>
  <si>
    <t>JE00203</t>
  </si>
  <si>
    <t>SI-06-006</t>
  </si>
  <si>
    <t>JE00204</t>
  </si>
  <si>
    <t>SI-06-007</t>
  </si>
  <si>
    <t>JE00205</t>
  </si>
  <si>
    <t>SI-06-008</t>
  </si>
  <si>
    <t>JE00206</t>
  </si>
  <si>
    <t>SI-06-009</t>
  </si>
  <si>
    <t>JE00207</t>
  </si>
  <si>
    <t>SI-06-010</t>
  </si>
  <si>
    <t>JE00208</t>
  </si>
  <si>
    <t>SI-06-011</t>
  </si>
  <si>
    <t>JE00209</t>
  </si>
  <si>
    <t>SI-06-012</t>
  </si>
  <si>
    <t>JE00210</t>
  </si>
  <si>
    <t>CR-06-001</t>
  </si>
  <si>
    <t>JE00211</t>
  </si>
  <si>
    <t>CR-06-002</t>
  </si>
  <si>
    <t>JE00212</t>
  </si>
  <si>
    <t>CR-06-003</t>
  </si>
  <si>
    <t>JE00213</t>
  </si>
  <si>
    <t>CR-06-004</t>
  </si>
  <si>
    <t>JE00214</t>
  </si>
  <si>
    <t>CR-06-005</t>
  </si>
  <si>
    <t>JE00215</t>
  </si>
  <si>
    <t>CR-06-006</t>
  </si>
  <si>
    <t>JE00216</t>
  </si>
  <si>
    <t>PI-06-001</t>
  </si>
  <si>
    <t>JE00217</t>
  </si>
  <si>
    <t>PI-06-002</t>
  </si>
  <si>
    <t>Inventory purchase — Supplier 14</t>
  </si>
  <si>
    <t>JE00218</t>
  </si>
  <si>
    <t>PI-06-003</t>
  </si>
  <si>
    <t>JE00219</t>
  </si>
  <si>
    <t>PI-06-004</t>
  </si>
  <si>
    <t>JE00220</t>
  </si>
  <si>
    <t>PI-06-005</t>
  </si>
  <si>
    <t>JE00221</t>
  </si>
  <si>
    <t>PI-06-006</t>
  </si>
  <si>
    <t>Inventory purchase — Supplier 19</t>
  </si>
  <si>
    <t>JE00222</t>
  </si>
  <si>
    <t>SP-06-001</t>
  </si>
  <si>
    <t>JE00223</t>
  </si>
  <si>
    <t>SP-06-002</t>
  </si>
  <si>
    <t>JE00224</t>
  </si>
  <si>
    <t>SP-06-003</t>
  </si>
  <si>
    <t>JE00225</t>
  </si>
  <si>
    <t>SP-06-004</t>
  </si>
  <si>
    <t>JE00226</t>
  </si>
  <si>
    <t>SP-06-005</t>
  </si>
  <si>
    <t>JE00227</t>
  </si>
  <si>
    <t>PAY-06</t>
  </si>
  <si>
    <t>JE00228</t>
  </si>
  <si>
    <t>PAYL-06</t>
  </si>
  <si>
    <t>JE00229</t>
  </si>
  <si>
    <t>MKT-06</t>
  </si>
  <si>
    <t>JE00230</t>
  </si>
  <si>
    <t>RENT-06</t>
  </si>
  <si>
    <t>JE00231</t>
  </si>
  <si>
    <t>UTIL-06</t>
  </si>
  <si>
    <t>JE00232</t>
  </si>
  <si>
    <t>PROF-06</t>
  </si>
  <si>
    <t>JE00233</t>
  </si>
  <si>
    <t>SW-06</t>
  </si>
  <si>
    <t>JE00234</t>
  </si>
  <si>
    <t>TRV-06</t>
  </si>
  <si>
    <t>JE00235</t>
  </si>
  <si>
    <t>INT-06</t>
  </si>
  <si>
    <t>JE00236</t>
  </si>
  <si>
    <t>DEP-06</t>
  </si>
  <si>
    <t>JE00237</t>
  </si>
  <si>
    <t>SI-07-001</t>
  </si>
  <si>
    <t>JE00238</t>
  </si>
  <si>
    <t>SI-07-002</t>
  </si>
  <si>
    <t>JE00239</t>
  </si>
  <si>
    <t>SI-07-003</t>
  </si>
  <si>
    <t>JE00240</t>
  </si>
  <si>
    <t>SI-07-004</t>
  </si>
  <si>
    <t>Sales invoice — Customer 30</t>
  </si>
  <si>
    <t>JE00241</t>
  </si>
  <si>
    <t>SI-07-005</t>
  </si>
  <si>
    <t>JE00242</t>
  </si>
  <si>
    <t>SI-07-006</t>
  </si>
  <si>
    <t>JE00243</t>
  </si>
  <si>
    <t>SI-07-007</t>
  </si>
  <si>
    <t>JE00244</t>
  </si>
  <si>
    <t>SI-07-008</t>
  </si>
  <si>
    <t>JE00245</t>
  </si>
  <si>
    <t>SI-07-009</t>
  </si>
  <si>
    <t>JE00246</t>
  </si>
  <si>
    <t>SI-07-010</t>
  </si>
  <si>
    <t>JE00247</t>
  </si>
  <si>
    <t>SI-07-011</t>
  </si>
  <si>
    <t>JE00248</t>
  </si>
  <si>
    <t>SI-07-012</t>
  </si>
  <si>
    <t>JE00249</t>
  </si>
  <si>
    <t>CR-07-001</t>
  </si>
  <si>
    <t>JE00250</t>
  </si>
  <si>
    <t>CR-07-002</t>
  </si>
  <si>
    <t>JE00251</t>
  </si>
  <si>
    <t>CR-07-003</t>
  </si>
  <si>
    <t>JE00252</t>
  </si>
  <si>
    <t>CR-07-004</t>
  </si>
  <si>
    <t>JE00253</t>
  </si>
  <si>
    <t>CR-07-005</t>
  </si>
  <si>
    <t>JE00254</t>
  </si>
  <si>
    <t>CR-07-006</t>
  </si>
  <si>
    <t>JE00255</t>
  </si>
  <si>
    <t>PI-07-001</t>
  </si>
  <si>
    <t>JE00256</t>
  </si>
  <si>
    <t>PI-07-002</t>
  </si>
  <si>
    <t>JE00257</t>
  </si>
  <si>
    <t>PI-07-003</t>
  </si>
  <si>
    <t>JE00258</t>
  </si>
  <si>
    <t>PI-07-004</t>
  </si>
  <si>
    <t>JE00259</t>
  </si>
  <si>
    <t>PI-07-005</t>
  </si>
  <si>
    <t>JE00260</t>
  </si>
  <si>
    <t>PI-07-006</t>
  </si>
  <si>
    <t>JE00261</t>
  </si>
  <si>
    <t>SP-07-001</t>
  </si>
  <si>
    <t>JE00262</t>
  </si>
  <si>
    <t>SP-07-002</t>
  </si>
  <si>
    <t>JE00263</t>
  </si>
  <si>
    <t>SP-07-003</t>
  </si>
  <si>
    <t>JE00264</t>
  </si>
  <si>
    <t>SP-07-004</t>
  </si>
  <si>
    <t>JE00265</t>
  </si>
  <si>
    <t>SP-07-005</t>
  </si>
  <si>
    <t>JE00266</t>
  </si>
  <si>
    <t>PAY-07</t>
  </si>
  <si>
    <t>JE00267</t>
  </si>
  <si>
    <t>PAYL-07</t>
  </si>
  <si>
    <t>JE00268</t>
  </si>
  <si>
    <t>MKT-07</t>
  </si>
  <si>
    <t>JE00269</t>
  </si>
  <si>
    <t>RENT-07</t>
  </si>
  <si>
    <t>JE00270</t>
  </si>
  <si>
    <t>UTIL-07</t>
  </si>
  <si>
    <t>JE00271</t>
  </si>
  <si>
    <t>PROF-07</t>
  </si>
  <si>
    <t>JE00272</t>
  </si>
  <si>
    <t>SW-07</t>
  </si>
  <si>
    <t>JE00273</t>
  </si>
  <si>
    <t>TRV-07</t>
  </si>
  <si>
    <t>JE00274</t>
  </si>
  <si>
    <t>INT-07</t>
  </si>
  <si>
    <t>JE00275</t>
  </si>
  <si>
    <t>DEP-07</t>
  </si>
  <si>
    <t>JE00276</t>
  </si>
  <si>
    <t>CAPEX-07</t>
  </si>
  <si>
    <t>JE00277</t>
  </si>
  <si>
    <t>SI-08-001</t>
  </si>
  <si>
    <t>JE00278</t>
  </si>
  <si>
    <t>SI-08-002</t>
  </si>
  <si>
    <t>JE00279</t>
  </si>
  <si>
    <t>SI-08-003</t>
  </si>
  <si>
    <t>JE00280</t>
  </si>
  <si>
    <t>SI-08-004</t>
  </si>
  <si>
    <t>Sales invoice — Customer 26</t>
  </si>
  <si>
    <t>JE00281</t>
  </si>
  <si>
    <t>SI-08-005</t>
  </si>
  <si>
    <t>JE00282</t>
  </si>
  <si>
    <t>SI-08-006</t>
  </si>
  <si>
    <t>JE00283</t>
  </si>
  <si>
    <t>SI-08-007</t>
  </si>
  <si>
    <t>JE00284</t>
  </si>
  <si>
    <t>SI-08-008</t>
  </si>
  <si>
    <t>JE00285</t>
  </si>
  <si>
    <t>SI-08-009</t>
  </si>
  <si>
    <t>JE00286</t>
  </si>
  <si>
    <t>SI-08-010</t>
  </si>
  <si>
    <t>JE00287</t>
  </si>
  <si>
    <t>SI-08-011</t>
  </si>
  <si>
    <t>JE00288</t>
  </si>
  <si>
    <t>SI-08-012</t>
  </si>
  <si>
    <t>JE00289</t>
  </si>
  <si>
    <t>CR-08-001</t>
  </si>
  <si>
    <t>JE00290</t>
  </si>
  <si>
    <t>CR-08-002</t>
  </si>
  <si>
    <t>JE00291</t>
  </si>
  <si>
    <t>CR-08-003</t>
  </si>
  <si>
    <t>JE00292</t>
  </si>
  <si>
    <t>CR-08-004</t>
  </si>
  <si>
    <t>JE00293</t>
  </si>
  <si>
    <t>CR-08-005</t>
  </si>
  <si>
    <t>JE00294</t>
  </si>
  <si>
    <t>CR-08-006</t>
  </si>
  <si>
    <t>JE00295</t>
  </si>
  <si>
    <t>PI-08-001</t>
  </si>
  <si>
    <t>JE00296</t>
  </si>
  <si>
    <t>PI-08-002</t>
  </si>
  <si>
    <t>JE00297</t>
  </si>
  <si>
    <t>PI-08-003</t>
  </si>
  <si>
    <t>JE00298</t>
  </si>
  <si>
    <t>PI-08-004</t>
  </si>
  <si>
    <t>Inventory purchase — Supplier 13</t>
  </si>
  <si>
    <t>JE00299</t>
  </si>
  <si>
    <t>PI-08-005</t>
  </si>
  <si>
    <t>JE00300</t>
  </si>
  <si>
    <t>PI-08-006</t>
  </si>
  <si>
    <t>JE00301</t>
  </si>
  <si>
    <t>SP-08-001</t>
  </si>
  <si>
    <t>JE00302</t>
  </si>
  <si>
    <t>SP-08-002</t>
  </si>
  <si>
    <t>JE00303</t>
  </si>
  <si>
    <t>SP-08-003</t>
  </si>
  <si>
    <t>JE00304</t>
  </si>
  <si>
    <t>SP-08-004</t>
  </si>
  <si>
    <t>JE00305</t>
  </si>
  <si>
    <t>SP-08-005</t>
  </si>
  <si>
    <t>JE00306</t>
  </si>
  <si>
    <t>PAY-08</t>
  </si>
  <si>
    <t>JE00307</t>
  </si>
  <si>
    <t>PAYL-08</t>
  </si>
  <si>
    <t>JE00308</t>
  </si>
  <si>
    <t>MKT-08</t>
  </si>
  <si>
    <t>JE00309</t>
  </si>
  <si>
    <t>RENT-08</t>
  </si>
  <si>
    <t>JE00310</t>
  </si>
  <si>
    <t>UTIL-08</t>
  </si>
  <si>
    <t>JE00311</t>
  </si>
  <si>
    <t>PROF-08</t>
  </si>
  <si>
    <t>JE00312</t>
  </si>
  <si>
    <t>SW-08</t>
  </si>
  <si>
    <t>JE00313</t>
  </si>
  <si>
    <t>TRV-08</t>
  </si>
  <si>
    <t>JE00314</t>
  </si>
  <si>
    <t>INT-08</t>
  </si>
  <si>
    <t>JE00315</t>
  </si>
  <si>
    <t>DEP-08</t>
  </si>
  <si>
    <t>JE00316</t>
  </si>
  <si>
    <t>SI-09-001</t>
  </si>
  <si>
    <t>JE00317</t>
  </si>
  <si>
    <t>SI-09-002</t>
  </si>
  <si>
    <t>JE00318</t>
  </si>
  <si>
    <t>SI-09-003</t>
  </si>
  <si>
    <t>JE00319</t>
  </si>
  <si>
    <t>SI-09-004</t>
  </si>
  <si>
    <t>JE00320</t>
  </si>
  <si>
    <t>SI-09-005</t>
  </si>
  <si>
    <t>JE00321</t>
  </si>
  <si>
    <t>SI-09-006</t>
  </si>
  <si>
    <t>JE00322</t>
  </si>
  <si>
    <t>SI-09-007</t>
  </si>
  <si>
    <t>JE00323</t>
  </si>
  <si>
    <t>SI-09-008</t>
  </si>
  <si>
    <t>JE00324</t>
  </si>
  <si>
    <t>SI-09-009</t>
  </si>
  <si>
    <t>JE00325</t>
  </si>
  <si>
    <t>SI-09-010</t>
  </si>
  <si>
    <t>JE00326</t>
  </si>
  <si>
    <t>SI-09-011</t>
  </si>
  <si>
    <t>JE00327</t>
  </si>
  <si>
    <t>SI-09-012</t>
  </si>
  <si>
    <t>JE00328</t>
  </si>
  <si>
    <t>CR-09-001</t>
  </si>
  <si>
    <t>JE00329</t>
  </si>
  <si>
    <t>CR-09-002</t>
  </si>
  <si>
    <t>JE00330</t>
  </si>
  <si>
    <t>CR-09-003</t>
  </si>
  <si>
    <t>JE00331</t>
  </si>
  <si>
    <t>CR-09-004</t>
  </si>
  <si>
    <t>JE00332</t>
  </si>
  <si>
    <t>CR-09-005</t>
  </si>
  <si>
    <t>JE00333</t>
  </si>
  <si>
    <t>CR-09-006</t>
  </si>
  <si>
    <t>JE00334</t>
  </si>
  <si>
    <t>PI-09-001</t>
  </si>
  <si>
    <t>JE00335</t>
  </si>
  <si>
    <t>PI-09-002</t>
  </si>
  <si>
    <t>JE00336</t>
  </si>
  <si>
    <t>PI-09-003</t>
  </si>
  <si>
    <t>JE00337</t>
  </si>
  <si>
    <t>PI-09-004</t>
  </si>
  <si>
    <t>JE00338</t>
  </si>
  <si>
    <t>PI-09-005</t>
  </si>
  <si>
    <t>JE00339</t>
  </si>
  <si>
    <t>PI-09-006</t>
  </si>
  <si>
    <t>Inventory purchase — Supplier 07</t>
  </si>
  <si>
    <t>JE00340</t>
  </si>
  <si>
    <t>SP-09-001</t>
  </si>
  <si>
    <t>JE00341</t>
  </si>
  <si>
    <t>SP-09-002</t>
  </si>
  <si>
    <t>JE00342</t>
  </si>
  <si>
    <t>SP-09-003</t>
  </si>
  <si>
    <t>JE00343</t>
  </si>
  <si>
    <t>SP-09-004</t>
  </si>
  <si>
    <t>JE00344</t>
  </si>
  <si>
    <t>SP-09-005</t>
  </si>
  <si>
    <t>JE00345</t>
  </si>
  <si>
    <t>PAY-09</t>
  </si>
  <si>
    <t>JE00346</t>
  </si>
  <si>
    <t>PAYL-09</t>
  </si>
  <si>
    <t>JE00347</t>
  </si>
  <si>
    <t>MKT-09</t>
  </si>
  <si>
    <t>JE00348</t>
  </si>
  <si>
    <t>RENT-09</t>
  </si>
  <si>
    <t>JE00349</t>
  </si>
  <si>
    <t>SW-09</t>
  </si>
  <si>
    <t>JE00350</t>
  </si>
  <si>
    <t>TRV-09</t>
  </si>
  <si>
    <t>JE00351</t>
  </si>
  <si>
    <t>INT-09</t>
  </si>
  <si>
    <t>JE00352</t>
  </si>
  <si>
    <t>INS-2026</t>
  </si>
  <si>
    <t>Annual insurance premium</t>
  </si>
  <si>
    <t>JE00353</t>
  </si>
  <si>
    <t>TAX-0626</t>
  </si>
  <si>
    <t>Corporate tax payment on account</t>
  </si>
  <si>
    <t>September 2026 Month-End Adjustment Journals</t>
  </si>
  <si>
    <t>Support</t>
  </si>
  <si>
    <t>Approval</t>
  </si>
  <si>
    <t>AJ001</t>
  </si>
  <si>
    <t>Sep utilities accrual</t>
  </si>
  <si>
    <t>Month-end estimate</t>
  </si>
  <si>
    <t>Synthetic close assumption</t>
  </si>
  <si>
    <t>Prepared</t>
  </si>
  <si>
    <t>AJ002</t>
  </si>
  <si>
    <t>Sep professional fees accrual</t>
  </si>
  <si>
    <t>AJ003</t>
  </si>
  <si>
    <t>Q3 bonus accrual</t>
  </si>
  <si>
    <t>HR estimate</t>
  </si>
  <si>
    <t>AJ004</t>
  </si>
  <si>
    <t>Sep depreciation</t>
  </si>
  <si>
    <t>Fixed asset schedule</t>
  </si>
  <si>
    <t>AJ005</t>
  </si>
  <si>
    <t>Insurance prepayment Oct-Dec</t>
  </si>
  <si>
    <t>Prepayment schedule</t>
  </si>
  <si>
    <t>AJ006</t>
  </si>
  <si>
    <t>Increase doubtful debt allowance</t>
  </si>
  <si>
    <t>AR ageing review</t>
  </si>
  <si>
    <t>AJ007</t>
  </si>
  <si>
    <t>Unbilled marketing campaign</t>
  </si>
  <si>
    <t>Marketing PO review</t>
  </si>
  <si>
    <t>Adjusted Trial Balance — 30 Sep 2026</t>
  </si>
  <si>
    <t>Type</t>
  </si>
  <si>
    <t>Opening (£)</t>
  </si>
  <si>
    <t>Base GL (£)</t>
  </si>
  <si>
    <t>Adjustments (£)</t>
  </si>
  <si>
    <t>Closing (£)</t>
  </si>
  <si>
    <t>FY2026 Management Budget — Jan to Sep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</si>
  <si>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</si>
  <si>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</si>
  <si>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</si>
  <si>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</si>
  <si>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</si>
  <si>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</si>
  <si>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</si>
  <si>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</si>
  <si>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</si>
  <si>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YTD</t>
  </si>
  <si>
    <t>Management Profit &amp; Loss — Jan to Sep 2026</t>
  </si>
  <si>
    <t>YTD Actual</t>
  </si>
  <si>
    <t>YTD Budget</t>
  </si>
  <si>
    <t>Var £</t>
  </si>
  <si>
    <t>Var %</t>
  </si>
  <si>
    <t>Gross Profit</t>
  </si>
  <si>
    <t>Gross Margin %</t>
  </si>
  <si>
    <t>-</t>
  </si>
  <si>
    <t>Total Opex pre-D&amp;A</t>
  </si>
  <si>
    <t>EBITDA</t>
  </si>
  <si>
    <t>EBITDA Margin %</t>
  </si>
  <si>
    <t>Operating Profit</t>
  </si>
  <si>
    <t>Profit Before Tax</t>
  </si>
  <si>
    <t>Balance Sheet — 30 Sep 2026</t>
  </si>
  <si>
    <t>Balance Sheet Line</t>
  </si>
  <si>
    <t>Sep Closing (£)</t>
  </si>
  <si>
    <t>Movement (£)</t>
  </si>
  <si>
    <t>Balance Sheet Summary</t>
  </si>
  <si>
    <t>Metric</t>
  </si>
  <si>
    <t>Total Current Assets</t>
  </si>
  <si>
    <t>Net PP&amp;E</t>
  </si>
  <si>
    <t>Total Assets</t>
  </si>
  <si>
    <t>Total Current Liabilities</t>
  </si>
  <si>
    <t>Total Equity incl. YTD PBT</t>
  </si>
  <si>
    <t>Liabilities + Equity</t>
  </si>
  <si>
    <t>Balance Check</t>
  </si>
  <si>
    <t>Bank Reconciliation — 30 Sep 2026</t>
  </si>
  <si>
    <t>Outstanding reconciling items</t>
  </si>
  <si>
    <t>Item</t>
  </si>
  <si>
    <t>Amount (£)</t>
  </si>
  <si>
    <t>Deposit in transit 1</t>
  </si>
  <si>
    <t>Outstanding deposit</t>
  </si>
  <si>
    <t>Synthetic bank reconciliation</t>
  </si>
  <si>
    <t>Deposit in transit 2</t>
  </si>
  <si>
    <t>Deposit in transit 3</t>
  </si>
  <si>
    <t>Unpresented payments</t>
  </si>
  <si>
    <t>Payment schedule</t>
  </si>
  <si>
    <t>Reconciliation</t>
  </si>
  <si>
    <t>Bank Statement Balance</t>
  </si>
  <si>
    <t>Add: Deposits in Transit</t>
  </si>
  <si>
    <t>Less: Unpresented Payments</t>
  </si>
  <si>
    <t>Adjusted Bank Balance</t>
  </si>
  <si>
    <t>GL Bank Balance</t>
  </si>
  <si>
    <t>Difference</t>
  </si>
  <si>
    <t>Accounts Receivable Ageing — 30 Sep 2026</t>
  </si>
  <si>
    <t>Invoice ID</t>
  </si>
  <si>
    <t>Customer</t>
  </si>
  <si>
    <t>Invoice Date</t>
  </si>
  <si>
    <t>Due Date</t>
  </si>
  <si>
    <t>Outstanding (£)</t>
  </si>
  <si>
    <t>Days Overdue</t>
  </si>
  <si>
    <t>Age Bucket</t>
  </si>
  <si>
    <t>Expected Credit Loss %</t>
  </si>
  <si>
    <t>ECL (£)</t>
  </si>
  <si>
    <t>Collection Priority</t>
  </si>
  <si>
    <t>AR0001</t>
  </si>
  <si>
    <t>Customer 03</t>
  </si>
  <si>
    <t>Synthetic AR ledger</t>
  </si>
  <si>
    <t>AR0002</t>
  </si>
  <si>
    <t>Customer 26</t>
  </si>
  <si>
    <t>AR0003</t>
  </si>
  <si>
    <t>Customer 06</t>
  </si>
  <si>
    <t>AR0004</t>
  </si>
  <si>
    <t>Customer 28</t>
  </si>
  <si>
    <t>AR0005</t>
  </si>
  <si>
    <t>Customer 10</t>
  </si>
  <si>
    <t>AR0006</t>
  </si>
  <si>
    <t>Customer 15</t>
  </si>
  <si>
    <t>AR0007</t>
  </si>
  <si>
    <t>Customer 04</t>
  </si>
  <si>
    <t>AR0008</t>
  </si>
  <si>
    <t>Customer 22</t>
  </si>
  <si>
    <t>AR0009</t>
  </si>
  <si>
    <t>AR0010</t>
  </si>
  <si>
    <t>Customer 05</t>
  </si>
  <si>
    <t>AR0011</t>
  </si>
  <si>
    <t>AR0012</t>
  </si>
  <si>
    <t>Customer 07</t>
  </si>
  <si>
    <t>AR0013</t>
  </si>
  <si>
    <t>Customer 08</t>
  </si>
  <si>
    <t>AR0014</t>
  </si>
  <si>
    <t>Customer 17</t>
  </si>
  <si>
    <t>AR0015</t>
  </si>
  <si>
    <t>AR0016</t>
  </si>
  <si>
    <t>Customer 30</t>
  </si>
  <si>
    <t>AR0017</t>
  </si>
  <si>
    <t>AR0018</t>
  </si>
  <si>
    <t>AR0019</t>
  </si>
  <si>
    <t>Customer 21</t>
  </si>
  <si>
    <t>AR0020</t>
  </si>
  <si>
    <t>AR0021</t>
  </si>
  <si>
    <t>AR0022</t>
  </si>
  <si>
    <t>Customer 14</t>
  </si>
  <si>
    <t>AR0023</t>
  </si>
  <si>
    <t>Customer 23</t>
  </si>
  <si>
    <t>AR0024</t>
  </si>
  <si>
    <t>Customer 18</t>
  </si>
  <si>
    <t>AR0025</t>
  </si>
  <si>
    <t>AR0026</t>
  </si>
  <si>
    <t>Customer 20</t>
  </si>
  <si>
    <t>AR0027</t>
  </si>
  <si>
    <t>AR0028</t>
  </si>
  <si>
    <t>Customer 16</t>
  </si>
  <si>
    <t>AR0029</t>
  </si>
  <si>
    <t>AR0030</t>
  </si>
  <si>
    <t>AR0031</t>
  </si>
  <si>
    <t>Customer 27</t>
  </si>
  <si>
    <t>AR0032</t>
  </si>
  <si>
    <t>Customer 29</t>
  </si>
  <si>
    <t>AR0033</t>
  </si>
  <si>
    <t>Customer 25</t>
  </si>
  <si>
    <t>AR0034</t>
  </si>
  <si>
    <t>AR0035</t>
  </si>
  <si>
    <t>AR0036</t>
  </si>
  <si>
    <t>AR0037</t>
  </si>
  <si>
    <t>Customer 11</t>
  </si>
  <si>
    <t>AR0038</t>
  </si>
  <si>
    <t>AR0039</t>
  </si>
  <si>
    <t>Customer 19</t>
  </si>
  <si>
    <t>AR0040</t>
  </si>
  <si>
    <t>AR0041</t>
  </si>
  <si>
    <t>Customer 13</t>
  </si>
  <si>
    <t>AR0042</t>
  </si>
  <si>
    <t>AR0043</t>
  </si>
  <si>
    <t>AR0044</t>
  </si>
  <si>
    <t>AR0045</t>
  </si>
  <si>
    <t>AR0046</t>
  </si>
  <si>
    <t>AR0047</t>
  </si>
  <si>
    <t>AR0048</t>
  </si>
  <si>
    <t>AR0049</t>
  </si>
  <si>
    <t>AR0050</t>
  </si>
  <si>
    <t>Customer 24</t>
  </si>
  <si>
    <t>AR0051</t>
  </si>
  <si>
    <t>AR0052</t>
  </si>
  <si>
    <t>AR0053</t>
  </si>
  <si>
    <t>AR0054</t>
  </si>
  <si>
    <t>AR0055</t>
  </si>
  <si>
    <t>AR0056</t>
  </si>
  <si>
    <t>AR0057</t>
  </si>
  <si>
    <t>AR0058</t>
  </si>
  <si>
    <t>AR0059</t>
  </si>
  <si>
    <t>AR0060</t>
  </si>
  <si>
    <t>AR ageing summary</t>
  </si>
  <si>
    <t>Balance (£)</t>
  </si>
  <si>
    <t>% of AR</t>
  </si>
  <si>
    <t>Current</t>
  </si>
  <si>
    <t>AR Ledger Total</t>
  </si>
  <si>
    <t>1-30</t>
  </si>
  <si>
    <t>TB Trade Receivables</t>
  </si>
  <si>
    <t>31-60</t>
  </si>
  <si>
    <t>61-90</t>
  </si>
  <si>
    <t>Modelled ECL</t>
  </si>
  <si>
    <t>90+</t>
  </si>
  <si>
    <t>Accounts Payable Ageing — 30 Sep 2026</t>
  </si>
  <si>
    <t>Supplier</t>
  </si>
  <si>
    <t>Payment Priority</t>
  </si>
  <si>
    <t>AP0001</t>
  </si>
  <si>
    <t>Supplier 18</t>
  </si>
  <si>
    <t>Synthetic AP ledger</t>
  </si>
  <si>
    <t>AP0002</t>
  </si>
  <si>
    <t>Supplier 08</t>
  </si>
  <si>
    <t>AP0003</t>
  </si>
  <si>
    <t>Supplier 06</t>
  </si>
  <si>
    <t>AP0004</t>
  </si>
  <si>
    <t>Supplier 17</t>
  </si>
  <si>
    <t>AP0005</t>
  </si>
  <si>
    <t>Supplier 10</t>
  </si>
  <si>
    <t>AP0006</t>
  </si>
  <si>
    <t>Supplier 14</t>
  </si>
  <si>
    <t>AP0007</t>
  </si>
  <si>
    <t>Supplier 16</t>
  </si>
  <si>
    <t>AP0008</t>
  </si>
  <si>
    <t>Supplier 01</t>
  </si>
  <si>
    <t>AP0009</t>
  </si>
  <si>
    <t>Supplier 19</t>
  </si>
  <si>
    <t>AP0010</t>
  </si>
  <si>
    <t>Supplier 03</t>
  </si>
  <si>
    <t>AP0011</t>
  </si>
  <si>
    <t>AP0012</t>
  </si>
  <si>
    <t>AP0013</t>
  </si>
  <si>
    <t>AP0014</t>
  </si>
  <si>
    <t>AP0015</t>
  </si>
  <si>
    <t>Supplier 09</t>
  </si>
  <si>
    <t>AP0016</t>
  </si>
  <si>
    <t>AP0017</t>
  </si>
  <si>
    <t>AP0018</t>
  </si>
  <si>
    <t>Supplier 05</t>
  </si>
  <si>
    <t>AP0019</t>
  </si>
  <si>
    <t>AP0020</t>
  </si>
  <si>
    <t>Supplier 02</t>
  </si>
  <si>
    <t>AP0021</t>
  </si>
  <si>
    <t>AP0022</t>
  </si>
  <si>
    <t>AP0023</t>
  </si>
  <si>
    <t>AP0024</t>
  </si>
  <si>
    <t>AP0025</t>
  </si>
  <si>
    <t>AP0026</t>
  </si>
  <si>
    <t>Supplier 15</t>
  </si>
  <si>
    <t>AP0027</t>
  </si>
  <si>
    <t>Supplier 20</t>
  </si>
  <si>
    <t>AP0028</t>
  </si>
  <si>
    <t>Supplier 11</t>
  </si>
  <si>
    <t>AP0029</t>
  </si>
  <si>
    <t>AP0030</t>
  </si>
  <si>
    <t>AP0031</t>
  </si>
  <si>
    <t>AP0032</t>
  </si>
  <si>
    <t>AP0033</t>
  </si>
  <si>
    <t>AP0034</t>
  </si>
  <si>
    <t>AP0035</t>
  </si>
  <si>
    <t>Supplier 12</t>
  </si>
  <si>
    <t>AP0036</t>
  </si>
  <si>
    <t>AP0037</t>
  </si>
  <si>
    <t>AP0038</t>
  </si>
  <si>
    <t>Supplier 07</t>
  </si>
  <si>
    <t>AP0039</t>
  </si>
  <si>
    <t>Supplier 13</t>
  </si>
  <si>
    <t>AP0040</t>
  </si>
  <si>
    <t>AP0041</t>
  </si>
  <si>
    <t>AP0042</t>
  </si>
  <si>
    <t>AP0043</t>
  </si>
  <si>
    <t>AP0044</t>
  </si>
  <si>
    <t>AP0045</t>
  </si>
  <si>
    <t>AP0046</t>
  </si>
  <si>
    <t>AP0047</t>
  </si>
  <si>
    <t>AP0048</t>
  </si>
  <si>
    <t>AP0049</t>
  </si>
  <si>
    <t>AP0050</t>
  </si>
  <si>
    <t>AP ageing summary</t>
  </si>
  <si>
    <t>% of AP</t>
  </si>
  <si>
    <t>AP Ledger Total</t>
  </si>
  <si>
    <t>TB Trade Payables</t>
  </si>
  <si>
    <t>Working Capital &amp; Cash Conversion Cycle</t>
  </si>
  <si>
    <t>Revenue (£)</t>
  </si>
  <si>
    <t>COGS (£)</t>
  </si>
  <si>
    <t>Trade Receivables (£)</t>
  </si>
  <si>
    <t>Inventory (£)</t>
  </si>
  <si>
    <t>Trade Payables (£)</t>
  </si>
  <si>
    <t>DSO</t>
  </si>
  <si>
    <t>Inventory Days</t>
  </si>
  <si>
    <t>DPO</t>
  </si>
  <si>
    <t>Cash Conversion Cycle</t>
  </si>
  <si>
    <t>Net Working Capital (£)</t>
  </si>
  <si>
    <t>NWC Change (£)</t>
  </si>
  <si>
    <t>Comment</t>
  </si>
  <si>
    <t>September working-capital snapshot</t>
  </si>
  <si>
    <t>Net Working Capital</t>
  </si>
  <si>
    <t>90+ Day AR %</t>
  </si>
  <si>
    <t>13-Week Cash Forecast — Q4 2026</t>
  </si>
  <si>
    <t>Week 1 starts Monday 5 Oct 2026 | synthetic collection and payment assumptions</t>
  </si>
  <si>
    <t>Week</t>
  </si>
  <si>
    <t>Week Start</t>
  </si>
  <si>
    <t>Customer Receipts (£)</t>
  </si>
  <si>
    <t>Supplier Payments (£)</t>
  </si>
  <si>
    <t>Payroll (£)</t>
  </si>
  <si>
    <t>Rent (£)</t>
  </si>
  <si>
    <t>Other Opex (£)</t>
  </si>
  <si>
    <t>Capex (£)</t>
  </si>
  <si>
    <t>Tax / Interest (£)</t>
  </si>
  <si>
    <t>Net Cash Flow (£)</t>
  </si>
  <si>
    <t>Opening Cash (£)</t>
  </si>
  <si>
    <t>Ending Cash (£)</t>
  </si>
  <si>
    <t>Policy Floor (£)</t>
  </si>
  <si>
    <t>Headroom (£)</t>
  </si>
  <si>
    <t>Status</t>
  </si>
  <si>
    <t>Ending Cash</t>
  </si>
  <si>
    <t>Liquidity summary</t>
  </si>
  <si>
    <t>Opening Cash</t>
  </si>
  <si>
    <t>Minimum Cash</t>
  </si>
  <si>
    <t>Week 13 Ending Cash</t>
  </si>
  <si>
    <t>Minimum Headroom</t>
  </si>
  <si>
    <t>September 2026 Month-End Close Checklist</t>
  </si>
  <si>
    <t>Task #</t>
  </si>
  <si>
    <t>Close Task</t>
  </si>
  <si>
    <t>Owner</t>
  </si>
  <si>
    <t>Evidence Sheet</t>
  </si>
  <si>
    <t>Evidence / Comment</t>
  </si>
  <si>
    <t>Completion %</t>
  </si>
  <si>
    <t>RAG</t>
  </si>
  <si>
    <t>Freeze sales ledger and review cut-off</t>
  </si>
  <si>
    <t>Financial Accountant</t>
  </si>
  <si>
    <t>Complete</t>
  </si>
  <si>
    <t>GL Extract</t>
  </si>
  <si>
    <t>Revenue cut-off reviewed</t>
  </si>
  <si>
    <t>Freeze purchase ledger and review cut-off</t>
  </si>
  <si>
    <t>AP Lead</t>
  </si>
  <si>
    <t>Supplier cut-off reviewed</t>
  </si>
  <si>
    <t>Reconcile bank account</t>
  </si>
  <si>
    <t>Bank Reconciliation</t>
  </si>
  <si>
    <t>Difference = £0</t>
  </si>
  <si>
    <t>Reconcile trade receivables</t>
  </si>
  <si>
    <t>Credit Controller</t>
  </si>
  <si>
    <t>AR Ageing</t>
  </si>
  <si>
    <t>Ledger ties to TB</t>
  </si>
  <si>
    <t>Review aged debt and bad-debt provision</t>
  </si>
  <si>
    <t>Finance Business Partner</t>
  </si>
  <si>
    <t>In progress</t>
  </si>
  <si>
    <t>ECL review</t>
  </si>
  <si>
    <t>Reconcile trade payables</t>
  </si>
  <si>
    <t>AP Ageing</t>
  </si>
  <si>
    <t>Prepare accruals</t>
  </si>
  <si>
    <t>Management Accountant</t>
  </si>
  <si>
    <t>Adjustment Journals</t>
  </si>
  <si>
    <t>Utilities / professional / marketing</t>
  </si>
  <si>
    <t>Prepare prepayments</t>
  </si>
  <si>
    <t>Insurance prepayment</t>
  </si>
  <si>
    <t>Post depreciation</t>
  </si>
  <si>
    <t>September depreciation</t>
  </si>
  <si>
    <t>Review payroll / bonus accrual</t>
  </si>
  <si>
    <t>Finance Manager</t>
  </si>
  <si>
    <t>Review adjusted trial balance</t>
  </si>
  <si>
    <t>Adjusted TB</t>
  </si>
  <si>
    <t>TB balances</t>
  </si>
  <si>
    <t>Prepare management P&amp;L</t>
  </si>
  <si>
    <t>Management P&amp;L</t>
  </si>
  <si>
    <t>Actual vs budget</t>
  </si>
  <si>
    <t>Review balance sheet</t>
  </si>
  <si>
    <t>Not started</t>
  </si>
  <si>
    <t>Balance Sheet</t>
  </si>
  <si>
    <t>Balance-sheet review</t>
  </si>
  <si>
    <t>Update working-capital commentary</t>
  </si>
  <si>
    <t>Working Capital</t>
  </si>
  <si>
    <t>DSO / DPO / CCC</t>
  </si>
  <si>
    <t>Refresh 13-week cash forecast</t>
  </si>
  <si>
    <t>13-Week Cash Forecast</t>
  </si>
  <si>
    <t>Liquidity headroom</t>
  </si>
  <si>
    <t>Final management review / sign-off</t>
  </si>
  <si>
    <t>CFO</t>
  </si>
  <si>
    <t>Dashboard</t>
  </si>
  <si>
    <t>Final pack sign-off</t>
  </si>
  <si>
    <t>Close status summary</t>
  </si>
  <si>
    <t>Tasks Complete</t>
  </si>
  <si>
    <t>Tasks In Progress</t>
  </si>
  <si>
    <t>Tasks Not Started</t>
  </si>
  <si>
    <t>Overall Completion</t>
  </si>
  <si>
    <t>Finance Operations Dashboard — September 2026 Close</t>
  </si>
  <si>
    <t>Month-end close | management accounts | working capital | liquidity</t>
  </si>
  <si>
    <t>YTD Revenue</t>
  </si>
  <si>
    <t>YTD EBITDA</t>
  </si>
  <si>
    <t>Sep Closing Cash</t>
  </si>
  <si>
    <t>Bank Rec Difference</t>
  </si>
  <si>
    <t>Week 13 Cash</t>
  </si>
  <si>
    <t>Close Completion</t>
  </si>
  <si>
    <t>Monthly Revenue &amp; EBITDA</t>
  </si>
  <si>
    <t>EBITDA (£)</t>
  </si>
  <si>
    <t>Working Capital Days</t>
  </si>
  <si>
    <t>Finance manager focus areas</t>
  </si>
  <si>
    <t>Complete remaining close-review tasks and obtain final CFO sign-off.</t>
  </si>
  <si>
    <t>Escalate 90+ day receivables and compare modelled ECL with the posted bad-debt allowance.</t>
  </si>
  <si>
    <t>Monitor the cash-conversion cycle and avoid inventory growth outpacing sales.</t>
  </si>
  <si>
    <t>Use the 13-week cash forecast to schedule supplier payments and planned Q4 capex.</t>
  </si>
  <si>
    <t>Maintain reconciliation controls: bank, AR and AP must tie back to the adjusted trial balance.</t>
  </si>
  <si>
    <t>Data Dictionary &amp; Accounting Definitions</t>
  </si>
  <si>
    <t>Definition</t>
  </si>
  <si>
    <t>Unit</t>
  </si>
  <si>
    <t>Primary Sheet</t>
  </si>
  <si>
    <t>Finance Relevance</t>
  </si>
  <si>
    <t>Source / Note</t>
  </si>
  <si>
    <t>Adjusted Trial Balance</t>
  </si>
  <si>
    <t>Opening balance + base GL + month-end adjustments</t>
  </si>
  <si>
    <t>£</t>
  </si>
  <si>
    <t>Formula</t>
  </si>
  <si>
    <t>Core close control</t>
  </si>
  <si>
    <t>Synthetic ledger</t>
  </si>
  <si>
    <t>Accrual</t>
  </si>
  <si>
    <t>Expense recognised before supplier invoice receipt</t>
  </si>
  <si>
    <t>Adjustment</t>
  </si>
  <si>
    <t>Cut-off / completeness</t>
  </si>
  <si>
    <t>Synthetic estimate</t>
  </si>
  <si>
    <t>Prepayment</t>
  </si>
  <si>
    <t>Cash paid but expense relates to future period</t>
  </si>
  <si>
    <t>Matching principle</t>
  </si>
  <si>
    <t>Synthetic schedule</t>
  </si>
  <si>
    <t>Trade receivables / monthly revenue × 30</t>
  </si>
  <si>
    <t>days</t>
  </si>
  <si>
    <t>Collections efficiency</t>
  </si>
  <si>
    <t>Modelled</t>
  </si>
  <si>
    <t>Trade payables / monthly COGS × 30</t>
  </si>
  <si>
    <t>Supplier-payment timing</t>
  </si>
  <si>
    <t>Inventory / monthly COGS × 30</t>
  </si>
  <si>
    <t>Inventory efficiency</t>
  </si>
  <si>
    <t>DSO + Inventory Days − DPO</t>
  </si>
  <si>
    <t>Working-capital efficiency</t>
  </si>
  <si>
    <t>Weekly cash receipts less operating and planned cash outflows</t>
  </si>
  <si>
    <t>Forecast</t>
  </si>
  <si>
    <t>Liquidity planning</t>
  </si>
  <si>
    <t>Synthetic assumptions</t>
  </si>
  <si>
    <t>Adjusted bank statement less GL cash</t>
  </si>
  <si>
    <t>Cash control</t>
  </si>
  <si>
    <t>Should equal zero</t>
  </si>
  <si>
    <t>ECL</t>
  </si>
  <si>
    <t>Outstanding AR × ageing-based loss rate</t>
  </si>
  <si>
    <t>Receivables risk screen</t>
  </si>
  <si>
    <t>Synthetic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</si>
</sst>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£#,##0;[Red]\(\£#,##0\);\-"/>
    <numFmt numFmtId="165" formatCode="0.0%;[Red]\(0.0%\);\-"/>
    <numFmt numFmtId="166" formatCode="\£#,##0.0;[Red]\(\£#,##0.0\);\-"/>
    <numFmt numFmtId="167" formatCode="dd\-mmm\-yyyy"/>
    <numFmt numFmtId="168" formatCode="0.0\ &quot;days&quot;"/>
    <numFmt numFmtId="169" formatCode="dd\-mmm"/>
    <numFmt numFmtId="170" formatCode="0.0"/>
  </numFmts>
  <fonts count="16">
    <font>
      <sz val="11"/>
      <name val="Carlito"/>
    </font>
    <font>
      <b/>
      <sz val="16"/>
      <color rgb="FFFFFFFF"/>
      <name val="Carlito"/>
    </font>
    <font>
      <i/>
      <sz val="11"/>
      <color rgb="FF17365D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sz val="11"/>
      <color rgb="FF0000FF"/>
      <name val="Carlito"/>
    </font>
    <font>
      <b/>
      <sz val="16"/>
      <color rgb="FFFFFFFF"/>
      <name val="Aptos"/>
    </font>
    <font>
      <sz val="11"/>
      <name val="Aptos"/>
    </font>
    <font>
      <b/>
      <sz val="11"/>
      <color rgb="FFFFFFFF"/>
      <name val="Aptos"/>
    </font>
    <font>
      <b/>
      <sz val="11"/>
      <color rgb="FF000000"/>
      <name val="Aptos"/>
    </font>
    <font>
      <sz val="11"/>
      <color rgb="FF0000FF"/>
      <name val="Aptos"/>
    </font>
    <font>
      <i/>
      <sz val="11"/>
      <color rgb="FF17365D"/>
      <name val="Aptos"/>
    </font>
    <font>
      <b/>
      <sz val="11"/>
      <color rgb="FF17365D"/>
      <name val="Aptos"/>
    </font>
    <font>
      <b/>
      <sz val="16"/>
      <color rgb="FF008000"/>
      <name val="Aptos"/>
    </font>
    <font>
      <sz val="11"/>
      <color rgb="FF008000"/>
      <name val="Aptos"/>
    </font>
    <font>
      <sz val="11"/>
      <color rgb="FF000000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 style="thin">
        <color rgb="FF17365D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3" fillId="4" borderId="0" xfId="0" applyFont="1" applyFill="1" applyAlignment="1">
      <alignment horizontal="center" vertical="center" wrapText="1"/>
    </xf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4" fillId="0" borderId="0" xfId="0" applyFont="1" applyAlignment="1">
      <alignment wrapText="1"/>
    </xf>
    <xf numFmtId="0" fontId="7" fillId="0" borderId="0" xfId="0" applyFont="1"/>
    <xf numFmtId="0" fontId="8" fillId="4" borderId="0" xfId="0" applyFont="1" applyFill="1" applyAlignment="1">
      <alignment horizontal="center" vertical="center" wrapText="1"/>
    </xf>
    <xf numFmtId="166" fontId="7" fillId="0" borderId="0" xfId="0" applyNumberFormat="1" applyFont="1"/>
    <xf numFmtId="0" fontId="9" fillId="3" borderId="0" xfId="0" applyFont="1" applyFill="1"/>
    <xf numFmtId="166" fontId="9" fillId="3" borderId="0" xfId="0" applyNumberFormat="1" applyFont="1" applyFill="1"/>
    <xf numFmtId="167" fontId="7" fillId="0" borderId="0" xfId="0" applyNumberFormat="1" applyFont="1"/>
    <xf numFmtId="0" fontId="10" fillId="0" borderId="0" xfId="0" applyFont="1"/>
    <xf numFmtId="166" fontId="10" fillId="0" borderId="0" xfId="0" applyNumberFormat="1" applyFont="1"/>
    <xf numFmtId="165" fontId="7" fillId="0" borderId="0" xfId="0" applyNumberFormat="1" applyFont="1"/>
    <xf numFmtId="0" fontId="9" fillId="3" borderId="1" xfId="0" applyFont="1" applyFill="1" applyBorder="1"/>
    <xf numFmtId="166" fontId="9" fillId="3" borderId="1" xfId="0" applyNumberFormat="1" applyFont="1" applyFill="1" applyBorder="1"/>
    <xf numFmtId="165" fontId="9" fillId="3" borderId="1" xfId="0" applyNumberFormat="1" applyFont="1" applyFill="1" applyBorder="1"/>
    <xf numFmtId="17" fontId="7" fillId="0" borderId="0" xfId="0" applyNumberFormat="1" applyFont="1"/>
    <xf numFmtId="168" fontId="7" fillId="0" borderId="0" xfId="0" applyNumberFormat="1" applyFont="1"/>
    <xf numFmtId="169" fontId="7" fillId="0" borderId="0" xfId="0" applyNumberFormat="1" applyFont="1"/>
    <xf numFmtId="164" fontId="7" fillId="0" borderId="0" xfId="0" applyNumberFormat="1" applyFont="1"/>
    <xf numFmtId="170" fontId="7" fillId="0" borderId="0" xfId="0" applyNumberFormat="1" applyFont="1"/>
    <xf numFmtId="0" fontId="12" fillId="3" borderId="0" xfId="0" applyFont="1" applyFill="1" applyAlignment="1">
      <alignment horizontal="center"/>
    </xf>
    <xf numFmtId="167" fontId="10" fillId="0" borderId="0" xfId="0" applyNumberFormat="1" applyFont="1"/>
    <xf numFmtId="0" fontId="14" fillId="0" borderId="0" xfId="0" applyFont="1"/>
    <xf numFmtId="166" fontId="14" fillId="0" borderId="0" xfId="0" applyNumberFormat="1" applyFont="1"/>
    <xf numFmtId="166" fontId="15" fillId="0" borderId="0" xfId="0" applyNumberFormat="1" applyFont="1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4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  <xf numFmtId="0" fontId="6" fillId="2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11" fillId="3" borderId="0" xfId="0" applyFont="1" applyFill="1"/>
    <xf numFmtId="0" fontId="12" fillId="3" borderId="0" xfId="0" applyFont="1" applyFill="1"/>
    <xf numFmtId="0" fontId="8" fillId="4" borderId="0" xfId="0" applyFont="1" applyFill="1" applyAlignment="1">
      <alignment horizontal="center" vertical="center"/>
    </xf>
    <xf numFmtId="164" fontId="13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168" fontId="13" fillId="6" borderId="0" xfId="0" applyNumberFormat="1" applyFont="1" applyFill="1" applyAlignment="1">
      <alignment horizontal="center" vertical="center"/>
    </xf>
    <xf numFmtId="165" fontId="13" fillId="6" borderId="0" xfId="0" applyNumberFormat="1" applyFont="1" applyFill="1" applyAlignment="1">
      <alignment horizontal="center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15"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Working Capital Days — Jan to Sep 2026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 (£)</c:v>
          </c:tx>
          <c:marker>
            <c:symbol val="none"/>
          </c:marker>
          <c:cat>
            <c:numRef>
              <c:f>'Working Capital'!$A$4:$A$12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'Working Capital'!$B$4:$B$12</c:f>
              <c:numCache>
                <c:formatCode>\£#,##0.0;[Red]\(\£#,##0.0\);\-</c:formatCode>
                <c:ptCount val="9"/>
                <c:pt idx="0">
                  <c:v>820000</c:v>
                </c:pt>
                <c:pt idx="1">
                  <c:v>844999.99999999988</c:v>
                </c:pt>
                <c:pt idx="2">
                  <c:v>875000</c:v>
                </c:pt>
                <c:pt idx="3">
                  <c:v>899999.99999999988</c:v>
                </c:pt>
                <c:pt idx="4">
                  <c:v>930000</c:v>
                </c:pt>
                <c:pt idx="5">
                  <c:v>955000</c:v>
                </c:pt>
                <c:pt idx="6">
                  <c:v>970000.00000000012</c:v>
                </c:pt>
                <c:pt idx="7">
                  <c:v>989999.99999999988</c:v>
                </c:pt>
                <c:pt idx="8">
                  <c:v>1015000.0000000002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94-7442-AB16-33B202973C96}"/>
            </c:ext>
          </c:extLst>
        </c:ser>
        <c:ser>
          <c:idx val="1"/>
          <c:order val="1"/>
          <c:tx>
            <c:v>COGS (£)</c:v>
          </c:tx>
          <c:marker>
            <c:symbol val="none"/>
          </c:marker>
          <c:cat>
            <c:numRef>
              <c:f>'Working Capital'!$A$4:$A$12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'Working Capital'!$C$4:$C$12</c:f>
              <c:numCache>
                <c:formatCode>\£#,##0.0;[Red]\(\£#,##0.0\);\-</c:formatCode>
                <c:ptCount val="9"/>
                <c:pt idx="0">
                  <c:v>455099.99999999988</c:v>
                </c:pt>
                <c:pt idx="1">
                  <c:v>467285</c:v>
                </c:pt>
                <c:pt idx="2">
                  <c:v>483000.00000000012</c:v>
                </c:pt>
                <c:pt idx="3">
                  <c:v>495000.00000000006</c:v>
                </c:pt>
                <c:pt idx="4">
                  <c:v>509640</c:v>
                </c:pt>
                <c:pt idx="5">
                  <c:v>524294.99999999988</c:v>
                </c:pt>
                <c:pt idx="6">
                  <c:v>530589.99999999988</c:v>
                </c:pt>
                <c:pt idx="7">
                  <c:v>540540</c:v>
                </c:pt>
                <c:pt idx="8">
                  <c:v>553175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E94-7442-AB16-33B202973C96}"/>
            </c:ext>
          </c:extLst>
        </c:ser>
        <c:ser>
          <c:idx val="2"/>
          <c:order val="2"/>
          <c:tx>
            <c:v>Trade Receivables (£)</c:v>
          </c:tx>
          <c:marker>
            <c:symbol val="none"/>
          </c:marker>
          <c:cat>
            <c:numRef>
              <c:f>'Working Capital'!$A$4:$A$12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'Working Capital'!$D$4:$D$12</c:f>
              <c:numCache>
                <c:formatCode>\£#,##0.0;[Red]\(\£#,##0.0\);\-</c:formatCode>
                <c:ptCount val="9"/>
                <c:pt idx="0">
                  <c:v>836899.99999999988</c:v>
                </c:pt>
                <c:pt idx="1">
                  <c:v>877460</c:v>
                </c:pt>
                <c:pt idx="2">
                  <c:v>914209.99999999988</c:v>
                </c:pt>
                <c:pt idx="3">
                  <c:v>953809.99999999977</c:v>
                </c:pt>
                <c:pt idx="4">
                  <c:v>991009.99999999977</c:v>
                </c:pt>
                <c:pt idx="5">
                  <c:v>1031119.9999999999</c:v>
                </c:pt>
                <c:pt idx="6">
                  <c:v>1067980</c:v>
                </c:pt>
                <c:pt idx="7">
                  <c:v>1107580</c:v>
                </c:pt>
                <c:pt idx="8">
                  <c:v>1151225.0000000005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E94-7442-AB16-33B202973C96}"/>
            </c:ext>
          </c:extLst>
        </c:ser>
        <c:ser>
          <c:idx val="3"/>
          <c:order val="3"/>
          <c:tx>
            <c:v>Inventory (£)</c:v>
          </c:tx>
          <c:marker>
            <c:symbol val="none"/>
          </c:marker>
          <c:cat>
            <c:numRef>
              <c:f>'Working Capital'!$A$4:$A$12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'Working Capital'!$E$4:$E$12</c:f>
              <c:numCache>
                <c:formatCode>\£#,##0.0;[Red]\(\£#,##0.0\);\-</c:formatCode>
                <c:ptCount val="9"/>
                <c:pt idx="0">
                  <c:v>645449</c:v>
                </c:pt>
                <c:pt idx="1">
                  <c:v>650121.85000000009</c:v>
                </c:pt>
                <c:pt idx="2">
                  <c:v>650121.85</c:v>
                </c:pt>
                <c:pt idx="3">
                  <c:v>660021.85000000009</c:v>
                </c:pt>
                <c:pt idx="4">
                  <c:v>660021.85</c:v>
                </c:pt>
                <c:pt idx="5">
                  <c:v>654778.9</c:v>
                </c:pt>
                <c:pt idx="6">
                  <c:v>660084.80000000005</c:v>
                </c:pt>
                <c:pt idx="7">
                  <c:v>660084.80000000005</c:v>
                </c:pt>
                <c:pt idx="8">
                  <c:v>660084.79999999993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E94-7442-AB16-33B202973C96}"/>
            </c:ext>
          </c:extLst>
        </c:ser>
        <c:ser>
          <c:idx val="4"/>
          <c:order val="4"/>
          <c:tx>
            <c:v>Trade Payables (£)</c:v>
          </c:tx>
          <c:marker>
            <c:symbol val="none"/>
          </c:marker>
          <c:cat>
            <c:numRef>
              <c:f>'Working Capital'!$A$4:$A$12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'Working Capital'!$F$4:$F$12</c:f>
              <c:numCache>
                <c:formatCode>\£#,##0.0;[Red]\(\£#,##0.0\);\-</c:formatCode>
                <c:ptCount val="9"/>
                <c:pt idx="0">
                  <c:v>709934.55415331235</c:v>
                </c:pt>
                <c:pt idx="1">
                  <c:v>825256.28343786788</c:v>
                </c:pt>
                <c:pt idx="2">
                  <c:v>937163.98514132982</c:v>
                </c:pt>
                <c:pt idx="3">
                  <c:v>1055762.7561532846</c:v>
                </c:pt>
                <c:pt idx="4">
                  <c:v>1174077.4074999485</c:v>
                </c:pt>
                <c:pt idx="5">
                  <c:v>1300461.4577450883</c:v>
                </c:pt>
                <c:pt idx="6">
                  <c:v>1421566.2162658887</c:v>
                </c:pt>
                <c:pt idx="7">
                  <c:v>1550593.1737318337</c:v>
                </c:pt>
                <c:pt idx="8">
                  <c:v>1639931.9563514311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E94-7442-AB16-33B202973C96}"/>
            </c:ext>
          </c:extLst>
        </c:ser>
        <c:ser>
          <c:idx val="5"/>
          <c:order val="5"/>
          <c:tx>
            <c:v>DSO</c:v>
          </c:tx>
          <c:marker>
            <c:symbol val="none"/>
          </c:marker>
          <c:cat>
            <c:numRef>
              <c:f>'Working Capital'!$A$4:$A$12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'Working Capital'!$G$4:$G$12</c:f>
              <c:numCache>
                <c:formatCode>0.0\ "days"</c:formatCode>
                <c:ptCount val="9"/>
                <c:pt idx="0">
                  <c:v>30.618292682926828</c:v>
                </c:pt>
                <c:pt idx="1">
                  <c:v>31.152426035502963</c:v>
                </c:pt>
                <c:pt idx="2">
                  <c:v>31.344342857142856</c:v>
                </c:pt>
                <c:pt idx="3">
                  <c:v>31.79366666666666</c:v>
                </c:pt>
                <c:pt idx="4">
                  <c:v>31.968064516129022</c:v>
                </c:pt>
                <c:pt idx="5">
                  <c:v>32.391204188481673</c:v>
                </c:pt>
                <c:pt idx="6">
                  <c:v>33.030309278350508</c:v>
                </c:pt>
                <c:pt idx="7">
                  <c:v>33.563030303030303</c:v>
                </c:pt>
                <c:pt idx="8">
                  <c:v>34.026354679802964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E94-7442-AB16-33B202973C96}"/>
            </c:ext>
          </c:extLst>
        </c:ser>
        <c:ser>
          <c:idx val="6"/>
          <c:order val="6"/>
          <c:tx>
            <c:v>Inventory Days</c:v>
          </c:tx>
          <c:marker>
            <c:symbol val="none"/>
          </c:marker>
          <c:cat>
            <c:numRef>
              <c:f>'Working Capital'!$A$4:$A$12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'Working Capital'!$H$4:$H$12</c:f>
              <c:numCache>
                <c:formatCode>0.0\ "days"</c:formatCode>
                <c:ptCount val="9"/>
                <c:pt idx="0">
                  <c:v>42.547725774555055</c:v>
                </c:pt>
                <c:pt idx="1">
                  <c:v>41.738244326267704</c:v>
                </c:pt>
                <c:pt idx="2">
                  <c:v>40.380239130434767</c:v>
                </c:pt>
                <c:pt idx="3">
                  <c:v>40.001324242424239</c:v>
                </c:pt>
                <c:pt idx="4">
                  <c:v>38.852239816340941</c:v>
                </c:pt>
                <c:pt idx="5">
                  <c:v>37.46624896289304</c:v>
                </c:pt>
                <c:pt idx="6">
                  <c:v>37.321743719255934</c:v>
                </c:pt>
                <c:pt idx="7">
                  <c:v>36.634743034743039</c:v>
                </c:pt>
                <c:pt idx="8">
                  <c:v>35.797973516518283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E94-7442-AB16-33B202973C96}"/>
            </c:ext>
          </c:extLst>
        </c:ser>
        <c:ser>
          <c:idx val="7"/>
          <c:order val="7"/>
          <c:tx>
            <c:v>DPO</c:v>
          </c:tx>
          <c:marker>
            <c:symbol val="none"/>
          </c:marker>
          <c:cat>
            <c:numRef>
              <c:f>'Working Capital'!$A$4:$A$12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'Working Capital'!$I$4:$I$12</c:f>
              <c:numCache>
                <c:formatCode>0.0\ "days"</c:formatCode>
                <c:ptCount val="9"/>
                <c:pt idx="0">
                  <c:v>46.798586298834053</c:v>
                </c:pt>
                <c:pt idx="1">
                  <c:v>52.98198851479512</c:v>
                </c:pt>
                <c:pt idx="2">
                  <c:v>58.208943176480105</c:v>
                </c:pt>
                <c:pt idx="3">
                  <c:v>63.985621585047546</c:v>
                </c:pt>
                <c:pt idx="4">
                  <c:v>69.11216196726798</c:v>
                </c:pt>
                <c:pt idx="5">
                  <c:v>74.412007996171354</c:v>
                </c:pt>
                <c:pt idx="6">
                  <c:v>80.376536474446681</c:v>
                </c:pt>
                <c:pt idx="7">
                  <c:v>86.058007200123967</c:v>
                </c:pt>
                <c:pt idx="8">
                  <c:v>88.937422498382844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DE94-7442-AB16-33B202973C96}"/>
            </c:ext>
          </c:extLst>
        </c:ser>
        <c:ser>
          <c:idx val="8"/>
          <c:order val="8"/>
          <c:tx>
            <c:v>Cash Conversion Cycle</c:v>
          </c:tx>
          <c:marker>
            <c:symbol val="none"/>
          </c:marker>
          <c:cat>
            <c:numRef>
              <c:f>'Working Capital'!$A$4:$A$12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'Working Capital'!$J$4:$J$12</c:f>
              <c:numCache>
                <c:formatCode>0.0\ "days"</c:formatCode>
                <c:ptCount val="9"/>
                <c:pt idx="0">
                  <c:v>26.36743215864783</c:v>
                </c:pt>
                <c:pt idx="1">
                  <c:v>19.908681846975554</c:v>
                </c:pt>
                <c:pt idx="2">
                  <c:v>13.515638811097517</c:v>
                </c:pt>
                <c:pt idx="3">
                  <c:v>7.8093693240433524</c:v>
                </c:pt>
                <c:pt idx="4">
                  <c:v>1.7081423652019794</c:v>
                </c:pt>
                <c:pt idx="5">
                  <c:v>-4.5545548447966411</c:v>
                </c:pt>
                <c:pt idx="6">
                  <c:v>-10.024483476840231</c:v>
                </c:pt>
                <c:pt idx="7">
                  <c:v>-15.860233862350626</c:v>
                </c:pt>
                <c:pt idx="8">
                  <c:v>-19.113094302061597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DE94-7442-AB16-33B20297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\-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.0;[Red]\(\£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13-Week Ending Cash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Ending Cash</c:v>
          </c:tx>
          <c:marker>
            <c:symbol val="none"/>
          </c:marker>
          <c:cat>
            <c:numRef>
              <c:f>'13-Week Cash Forecast'!$Q$6:$Q$18</c:f>
              <c:numCache>
                <c:formatCode>dd\-mmm</c:formatCode>
                <c:ptCount val="13"/>
                <c:pt idx="0">
                  <c:v>46300</c:v>
                </c:pt>
                <c:pt idx="1">
                  <c:v>46307</c:v>
                </c:pt>
                <c:pt idx="2">
                  <c:v>46314</c:v>
                </c:pt>
                <c:pt idx="3">
                  <c:v>46321</c:v>
                </c:pt>
                <c:pt idx="4">
                  <c:v>46328</c:v>
                </c:pt>
                <c:pt idx="5">
                  <c:v>46335</c:v>
                </c:pt>
                <c:pt idx="6">
                  <c:v>46342</c:v>
                </c:pt>
                <c:pt idx="7">
                  <c:v>46349</c:v>
                </c:pt>
                <c:pt idx="8">
                  <c:v>46356</c:v>
                </c:pt>
                <c:pt idx="9">
                  <c:v>46363</c:v>
                </c:pt>
                <c:pt idx="10">
                  <c:v>46370</c:v>
                </c:pt>
                <c:pt idx="11">
                  <c:v>46377</c:v>
                </c:pt>
                <c:pt idx="12">
                  <c:v>46384</c:v>
                </c:pt>
              </c:numCache>
            </c:numRef>
          </c:cat>
          <c:val>
            <c:numRef>
              <c:f>'13-Week Cash Forecast'!$R$6:$R$18</c:f>
              <c:numCache>
                <c:formatCode>\£#,##0.0;[Red]\(\£#,##0.0\);\-</c:formatCode>
                <c:ptCount val="13"/>
                <c:pt idx="0">
                  <c:v>788631.18903677259</c:v>
                </c:pt>
                <c:pt idx="1">
                  <c:v>781514.29776648642</c:v>
                </c:pt>
                <c:pt idx="2">
                  <c:v>761147.04562322889</c:v>
                </c:pt>
                <c:pt idx="3">
                  <c:v>522303.57173402858</c:v>
                </c:pt>
                <c:pt idx="4">
                  <c:v>537903.57173402864</c:v>
                </c:pt>
                <c:pt idx="5">
                  <c:v>560503.57173402864</c:v>
                </c:pt>
                <c:pt idx="6">
                  <c:v>628103.57173402864</c:v>
                </c:pt>
                <c:pt idx="7">
                  <c:v>480703.57173402864</c:v>
                </c:pt>
                <c:pt idx="8">
                  <c:v>496303.57173402864</c:v>
                </c:pt>
                <c:pt idx="9">
                  <c:v>503903.57173402864</c:v>
                </c:pt>
                <c:pt idx="10">
                  <c:v>526503.57173402864</c:v>
                </c:pt>
                <c:pt idx="11">
                  <c:v>594103.57173402864</c:v>
                </c:pt>
                <c:pt idx="12">
                  <c:v>394703.57173402864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33-F147-935F-3FE2F0D95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dd\-m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.0;[Red]\(\£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Revenue &amp; EBITDA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 (£)</c:v>
          </c:tx>
          <c:marker>
            <c:symbol val="none"/>
          </c:marker>
          <c:cat>
            <c:strRef>
              <c:f>Dashboard!$A$16:$A$24</c:f>
              <c:strCache>
                <c:ptCount val="9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</c:strCache>
            </c:strRef>
          </c:cat>
          <c:val>
            <c:numRef>
              <c:f>Dashboard!$B$16:$B$24</c:f>
              <c:numCache>
                <c:formatCode>\£#,##0;[Red]\(\£#,##0\);\-</c:formatCode>
                <c:ptCount val="9"/>
                <c:pt idx="0">
                  <c:v>820000</c:v>
                </c:pt>
                <c:pt idx="1">
                  <c:v>844999.99999999988</c:v>
                </c:pt>
                <c:pt idx="2">
                  <c:v>875000</c:v>
                </c:pt>
                <c:pt idx="3">
                  <c:v>899999.99999999988</c:v>
                </c:pt>
                <c:pt idx="4">
                  <c:v>930000</c:v>
                </c:pt>
                <c:pt idx="5">
                  <c:v>955000</c:v>
                </c:pt>
                <c:pt idx="6">
                  <c:v>970000.00000000012</c:v>
                </c:pt>
                <c:pt idx="7">
                  <c:v>989999.99999999988</c:v>
                </c:pt>
                <c:pt idx="8">
                  <c:v>1015000.0000000002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57-F44B-AF7E-671659864E0F}"/>
            </c:ext>
          </c:extLst>
        </c:ser>
        <c:ser>
          <c:idx val="1"/>
          <c:order val="1"/>
          <c:tx>
            <c:v>EBITDA (£)</c:v>
          </c:tx>
          <c:marker>
            <c:symbol val="none"/>
          </c:marker>
          <c:cat>
            <c:strRef>
              <c:f>Dashboard!$A$16:$A$24</c:f>
              <c:strCache>
                <c:ptCount val="9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</c:strCache>
            </c:strRef>
          </c:cat>
          <c:val>
            <c:numRef>
              <c:f>Dashboard!$C$16:$C$24</c:f>
              <c:numCache>
                <c:formatCode>\£#,##0;[Red]\(\£#,##0\);\-</c:formatCode>
                <c:ptCount val="9"/>
                <c:pt idx="0">
                  <c:v>-117287.96925251675</c:v>
                </c:pt>
                <c:pt idx="1">
                  <c:v>-14123.131999635953</c:v>
                </c:pt>
                <c:pt idx="2">
                  <c:v>2566.1377679803409</c:v>
                </c:pt>
                <c:pt idx="3">
                  <c:v>10905.934721119527</c:v>
                </c:pt>
                <c:pt idx="4">
                  <c:v>20506.903080482734</c:v>
                </c:pt>
                <c:pt idx="5">
                  <c:v>21072.306779625011</c:v>
                </c:pt>
                <c:pt idx="6">
                  <c:v>35344.34735321789</c:v>
                </c:pt>
                <c:pt idx="7">
                  <c:v>30192.228384751885</c:v>
                </c:pt>
                <c:pt idx="8">
                  <c:v>3223.3062476321938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957-F44B-AF7E-671659864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;[Red]\(\£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Working Capital Days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DSO</c:v>
          </c:tx>
          <c:marker>
            <c:symbol val="none"/>
          </c:marker>
          <c:cat>
            <c:strRef>
              <c:f>Dashboard!$A$36:$A$44</c:f>
              <c:strCache>
                <c:ptCount val="9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</c:strCache>
            </c:strRef>
          </c:cat>
          <c:val>
            <c:numRef>
              <c:f>Dashboard!$B$36:$B$44</c:f>
              <c:numCache>
                <c:formatCode>0.0</c:formatCode>
                <c:ptCount val="9"/>
                <c:pt idx="0">
                  <c:v>30.618292682926828</c:v>
                </c:pt>
                <c:pt idx="1">
                  <c:v>31.152426035502963</c:v>
                </c:pt>
                <c:pt idx="2">
                  <c:v>31.344342857142856</c:v>
                </c:pt>
                <c:pt idx="3">
                  <c:v>31.79366666666666</c:v>
                </c:pt>
                <c:pt idx="4">
                  <c:v>31.968064516129022</c:v>
                </c:pt>
                <c:pt idx="5">
                  <c:v>32.391204188481673</c:v>
                </c:pt>
                <c:pt idx="6">
                  <c:v>33.030309278350508</c:v>
                </c:pt>
                <c:pt idx="7">
                  <c:v>33.563030303030303</c:v>
                </c:pt>
                <c:pt idx="8">
                  <c:v>34.026354679802964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90-224B-B481-529E70797D91}"/>
            </c:ext>
          </c:extLst>
        </c:ser>
        <c:ser>
          <c:idx val="1"/>
          <c:order val="1"/>
          <c:tx>
            <c:v>Inventory Days</c:v>
          </c:tx>
          <c:marker>
            <c:symbol val="none"/>
          </c:marker>
          <c:cat>
            <c:strRef>
              <c:f>Dashboard!$A$36:$A$44</c:f>
              <c:strCache>
                <c:ptCount val="9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</c:strCache>
            </c:strRef>
          </c:cat>
          <c:val>
            <c:numRef>
              <c:f>Dashboard!$C$36:$C$44</c:f>
              <c:numCache>
                <c:formatCode>0.0</c:formatCode>
                <c:ptCount val="9"/>
                <c:pt idx="0">
                  <c:v>42.547725774555055</c:v>
                </c:pt>
                <c:pt idx="1">
                  <c:v>41.738244326267704</c:v>
                </c:pt>
                <c:pt idx="2">
                  <c:v>40.380239130434767</c:v>
                </c:pt>
                <c:pt idx="3">
                  <c:v>40.001324242424239</c:v>
                </c:pt>
                <c:pt idx="4">
                  <c:v>38.852239816340941</c:v>
                </c:pt>
                <c:pt idx="5">
                  <c:v>37.46624896289304</c:v>
                </c:pt>
                <c:pt idx="6">
                  <c:v>37.321743719255934</c:v>
                </c:pt>
                <c:pt idx="7">
                  <c:v>36.634743034743039</c:v>
                </c:pt>
                <c:pt idx="8">
                  <c:v>35.797973516518283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F90-224B-B481-529E70797D91}"/>
            </c:ext>
          </c:extLst>
        </c:ser>
        <c:ser>
          <c:idx val="2"/>
          <c:order val="2"/>
          <c:tx>
            <c:v>DPO</c:v>
          </c:tx>
          <c:marker>
            <c:symbol val="none"/>
          </c:marker>
          <c:cat>
            <c:strRef>
              <c:f>Dashboard!$A$36:$A$44</c:f>
              <c:strCache>
                <c:ptCount val="9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</c:strCache>
            </c:strRef>
          </c:cat>
          <c:val>
            <c:numRef>
              <c:f>Dashboard!$D$36:$D$44</c:f>
              <c:numCache>
                <c:formatCode>0.0</c:formatCode>
                <c:ptCount val="9"/>
                <c:pt idx="0">
                  <c:v>46.798586298834053</c:v>
                </c:pt>
                <c:pt idx="1">
                  <c:v>52.98198851479512</c:v>
                </c:pt>
                <c:pt idx="2">
                  <c:v>58.208943176480105</c:v>
                </c:pt>
                <c:pt idx="3">
                  <c:v>63.985621585047546</c:v>
                </c:pt>
                <c:pt idx="4">
                  <c:v>69.11216196726798</c:v>
                </c:pt>
                <c:pt idx="5">
                  <c:v>74.412007996171354</c:v>
                </c:pt>
                <c:pt idx="6">
                  <c:v>80.376536474446681</c:v>
                </c:pt>
                <c:pt idx="7">
                  <c:v>86.058007200123967</c:v>
                </c:pt>
                <c:pt idx="8">
                  <c:v>88.937422498382844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F90-224B-B481-529E70797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520700</xdr:colOff>
      <xdr:row>15</xdr:row>
      <xdr:rowOff>177800</xdr:rowOff>
    </xdr:from>
    <xdr:to>
      <xdr:col>9</xdr:col>
      <xdr:colOff>1219200</xdr:colOff>
      <xdr:row>40</xdr:row>
      <xdr:rowOff>152400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22</xdr:row>
      <xdr:rowOff>0</xdr:rowOff>
    </xdr:from>
    <xdr:to>
      <xdr:col>10</xdr:col>
      <xdr:colOff>76200</xdr:colOff>
      <xdr:row>48</xdr:row>
      <xdr:rowOff>152400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825500</xdr:colOff>
      <xdr:row>14</xdr:row>
      <xdr:rowOff>152400</xdr:rowOff>
    </xdr:from>
    <xdr:to>
      <xdr:col>11</xdr:col>
      <xdr:colOff>863600</xdr:colOff>
      <xdr:row>31</xdr:row>
      <xdr:rowOff>152400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292100</xdr:colOff>
      <xdr:row>34</xdr:row>
      <xdr:rowOff>76200</xdr:rowOff>
    </xdr:from>
    <xdr:to>
      <xdr:col>12</xdr:col>
      <xdr:colOff>0</xdr:colOff>
      <xdr:row>51</xdr:row>
      <xdr:rowOff>38100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workbookViewId="0">
      <selection sqref="A1:J1"/>
    </sheetView>
  </sheetViews>
  <sheetFormatPr baseColWidth="10" defaultColWidth="8.83203125" defaultRowHeight="15"/>
  <cols>
    <col min="1" max="1" width="22" customWidth="1"/>
    <col min="2" max="2" width="78" customWidth="1"/>
  </cols>
  <sheetData>
    <row r="1" spans="1:10" ht="37.2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3" spans="1:10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</row>
    <row r="5" spans="1:10" ht="26.75" customHeight="1">
      <c r="A5" s="32" t="s">
        <v>2</v>
      </c>
      <c r="B5" s="32"/>
      <c r="C5" s="32"/>
      <c r="D5" s="32"/>
      <c r="E5" s="32"/>
      <c r="F5" s="32"/>
      <c r="G5" s="32"/>
      <c r="H5" s="32"/>
      <c r="I5" s="32"/>
      <c r="J5" s="32"/>
    </row>
    <row r="6" spans="1:10">
      <c r="A6" s="33" t="s">
        <v>3</v>
      </c>
      <c r="B6" s="33"/>
      <c r="C6" s="33"/>
      <c r="D6" s="33"/>
      <c r="E6" s="33"/>
      <c r="F6" s="33"/>
      <c r="G6" s="33"/>
      <c r="H6" s="33"/>
      <c r="I6" s="33"/>
      <c r="J6" s="33"/>
    </row>
    <row r="7" spans="1:10">
      <c r="A7" s="33"/>
      <c r="B7" s="33"/>
      <c r="C7" s="33"/>
      <c r="D7" s="33"/>
      <c r="E7" s="33"/>
      <c r="F7" s="33"/>
      <c r="G7" s="33"/>
      <c r="H7" s="33"/>
      <c r="I7" s="33"/>
      <c r="J7" s="33"/>
    </row>
    <row r="8" spans="1:10">
      <c r="A8" s="33"/>
      <c r="B8" s="33"/>
      <c r="C8" s="33"/>
      <c r="D8" s="33"/>
      <c r="E8" s="33"/>
      <c r="F8" s="33"/>
      <c r="G8" s="33"/>
      <c r="H8" s="33"/>
      <c r="I8" s="33"/>
      <c r="J8" s="33"/>
    </row>
    <row r="9" spans="1:10">
      <c r="A9" s="33"/>
      <c r="B9" s="33"/>
      <c r="C9" s="33"/>
      <c r="D9" s="33"/>
      <c r="E9" s="33"/>
      <c r="F9" s="33"/>
      <c r="G9" s="33"/>
      <c r="H9" s="33"/>
      <c r="I9" s="33"/>
      <c r="J9" s="33"/>
    </row>
    <row r="10" spans="1:10">
      <c r="A10" s="33"/>
      <c r="B10" s="33"/>
      <c r="C10" s="33"/>
      <c r="D10" s="33"/>
      <c r="E10" s="33"/>
      <c r="F10" s="33"/>
      <c r="G10" s="33"/>
      <c r="H10" s="33"/>
      <c r="I10" s="33"/>
      <c r="J10" s="33"/>
    </row>
    <row r="11" spans="1:10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3" spans="1:10" ht="26.75" customHeight="1">
      <c r="A13" s="32" t="s">
        <v>4</v>
      </c>
      <c r="B13" s="32"/>
      <c r="C13" s="32"/>
      <c r="D13" s="32"/>
      <c r="E13" s="32"/>
      <c r="F13" s="32"/>
      <c r="G13" s="32"/>
      <c r="H13" s="32"/>
      <c r="I13" s="32"/>
      <c r="J13" s="32"/>
    </row>
    <row r="14" spans="1:10" ht="16">
      <c r="A14" s="2">
        <v>1</v>
      </c>
      <c r="B14" s="1" t="s">
        <v>5</v>
      </c>
    </row>
    <row r="15" spans="1:10" ht="16">
      <c r="A15" s="2">
        <v>2</v>
      </c>
      <c r="B15" s="1" t="s">
        <v>6</v>
      </c>
    </row>
    <row r="16" spans="1:10" ht="16">
      <c r="A16" s="2">
        <v>3</v>
      </c>
      <c r="B16" s="1" t="s">
        <v>7</v>
      </c>
    </row>
    <row r="17" spans="1:10" ht="16">
      <c r="A17" s="2">
        <v>4</v>
      </c>
      <c r="B17" s="1" t="s">
        <v>8</v>
      </c>
    </row>
    <row r="18" spans="1:10" ht="16">
      <c r="A18" s="2">
        <v>5</v>
      </c>
      <c r="B18" s="1" t="s">
        <v>9</v>
      </c>
    </row>
    <row r="19" spans="1:10" ht="16">
      <c r="A19" s="2">
        <v>6</v>
      </c>
      <c r="B19" s="1" t="s">
        <v>10</v>
      </c>
    </row>
    <row r="20" spans="1:10" ht="16">
      <c r="A20" s="2">
        <v>7</v>
      </c>
      <c r="B20" s="1" t="s">
        <v>11</v>
      </c>
    </row>
    <row r="21" spans="1:10" ht="16">
      <c r="A21" s="2">
        <v>8</v>
      </c>
      <c r="B21" s="1" t="s">
        <v>12</v>
      </c>
    </row>
    <row r="22" spans="1:10" ht="16">
      <c r="A22" s="2">
        <v>9</v>
      </c>
      <c r="B22" s="1" t="s">
        <v>13</v>
      </c>
    </row>
    <row r="24" spans="1:10" ht="26.75" customHeight="1">
      <c r="A24" s="32" t="s">
        <v>14</v>
      </c>
      <c r="B24" s="32"/>
      <c r="C24" s="32"/>
      <c r="D24" s="32"/>
      <c r="E24" s="32"/>
      <c r="F24" s="32"/>
      <c r="G24" s="32"/>
      <c r="H24" s="32"/>
      <c r="I24" s="32"/>
      <c r="J24" s="32"/>
    </row>
    <row r="25" spans="1:10">
      <c r="A25" s="34" t="s">
        <v>15</v>
      </c>
      <c r="B25" s="34"/>
      <c r="C25" s="34"/>
      <c r="D25" s="34"/>
      <c r="E25" s="34"/>
      <c r="F25" s="34"/>
      <c r="G25" s="34"/>
      <c r="H25" s="34"/>
      <c r="I25" s="34"/>
      <c r="J25" s="34"/>
    </row>
    <row r="26" spans="1:10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>
      <c r="A30" s="34"/>
      <c r="B30" s="34"/>
      <c r="C30" s="34"/>
      <c r="D30" s="34"/>
      <c r="E30" s="34"/>
      <c r="F30" s="34"/>
      <c r="G30" s="34"/>
      <c r="H30" s="34"/>
      <c r="I30" s="34"/>
      <c r="J30" s="34"/>
    </row>
  </sheetData>
  <mergeCells count="7">
    <mergeCell ref="A24:J24"/>
    <mergeCell ref="A25:J30"/>
    <mergeCell ref="A1:J1"/>
    <mergeCell ref="A3:J3"/>
    <mergeCell ref="A5:J5"/>
    <mergeCell ref="A6:J11"/>
    <mergeCell ref="A13:J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sqref="A1:H1"/>
    </sheetView>
  </sheetViews>
  <sheetFormatPr baseColWidth="10" defaultColWidth="8.83203125" defaultRowHeight="15"/>
  <cols>
    <col min="1" max="1" width="30" customWidth="1"/>
    <col min="2" max="2" width="18" customWidth="1"/>
    <col min="3" max="3" width="42" customWidth="1"/>
    <col min="4" max="4" width="32" customWidth="1"/>
  </cols>
  <sheetData>
    <row r="1" spans="1:8" ht="37.25" customHeight="1">
      <c r="A1" s="30" t="s">
        <v>16</v>
      </c>
      <c r="B1" s="30"/>
      <c r="C1" s="30"/>
      <c r="D1" s="30"/>
      <c r="E1" s="30"/>
      <c r="F1" s="30"/>
      <c r="G1" s="30"/>
      <c r="H1" s="30"/>
    </row>
    <row r="5" spans="1:8" ht="26.75" customHeight="1">
      <c r="A5" s="32" t="s">
        <v>17</v>
      </c>
      <c r="B5" s="32"/>
      <c r="C5" s="32"/>
      <c r="D5" s="32"/>
    </row>
    <row r="6" spans="1:8" ht="16">
      <c r="A6" s="3" t="s">
        <v>18</v>
      </c>
      <c r="B6" s="3" t="s">
        <v>19</v>
      </c>
      <c r="C6" s="3" t="s">
        <v>20</v>
      </c>
      <c r="D6" s="3" t="s">
        <v>21</v>
      </c>
    </row>
    <row r="7" spans="1:8">
      <c r="A7" s="4" t="s">
        <v>22</v>
      </c>
      <c r="B7" s="5">
        <v>232000</v>
      </c>
      <c r="C7" s="4" t="s">
        <v>23</v>
      </c>
      <c r="D7" s="4" t="s">
        <v>24</v>
      </c>
    </row>
    <row r="8" spans="1:8">
      <c r="A8" s="4" t="s">
        <v>25</v>
      </c>
      <c r="B8" s="6">
        <v>0.94</v>
      </c>
      <c r="C8" s="4" t="s">
        <v>26</v>
      </c>
      <c r="D8" s="4" t="s">
        <v>24</v>
      </c>
    </row>
    <row r="9" spans="1:8">
      <c r="A9" s="4" t="s">
        <v>27</v>
      </c>
      <c r="B9" s="5">
        <v>126000</v>
      </c>
      <c r="C9" s="4" t="s">
        <v>28</v>
      </c>
      <c r="D9" s="4" t="s">
        <v>24</v>
      </c>
    </row>
    <row r="10" spans="1:8">
      <c r="A10" s="4" t="s">
        <v>29</v>
      </c>
      <c r="B10" s="6">
        <v>0.98</v>
      </c>
      <c r="C10" s="4" t="s">
        <v>30</v>
      </c>
      <c r="D10" s="4" t="s">
        <v>24</v>
      </c>
    </row>
    <row r="11" spans="1:8">
      <c r="A11" s="4" t="s">
        <v>31</v>
      </c>
      <c r="B11" s="5">
        <v>215000</v>
      </c>
      <c r="C11" s="4" t="s">
        <v>32</v>
      </c>
      <c r="D11" s="4" t="s">
        <v>24</v>
      </c>
    </row>
    <row r="12" spans="1:8">
      <c r="A12" s="4" t="s">
        <v>33</v>
      </c>
      <c r="B12" s="5">
        <v>52000</v>
      </c>
      <c r="C12" s="4" t="s">
        <v>34</v>
      </c>
      <c r="D12" s="4" t="s">
        <v>24</v>
      </c>
    </row>
    <row r="13" spans="1:8">
      <c r="A13" s="4" t="s">
        <v>35</v>
      </c>
      <c r="B13" s="5">
        <v>27000</v>
      </c>
      <c r="C13" s="4" t="s">
        <v>36</v>
      </c>
      <c r="D13" s="4" t="s">
        <v>24</v>
      </c>
    </row>
    <row r="14" spans="1:8">
      <c r="A14" s="4" t="s">
        <v>37</v>
      </c>
      <c r="B14" s="5">
        <v>250000</v>
      </c>
      <c r="C14" s="4" t="s">
        <v>38</v>
      </c>
      <c r="D14" s="4" t="s">
        <v>39</v>
      </c>
    </row>
    <row r="15" spans="1:8">
      <c r="A15" s="4" t="s">
        <v>40</v>
      </c>
      <c r="B15" s="5">
        <v>90000</v>
      </c>
      <c r="C15" s="4" t="s">
        <v>41</v>
      </c>
      <c r="D15" s="4" t="s">
        <v>42</v>
      </c>
    </row>
    <row r="16" spans="1:8">
      <c r="A16" s="4" t="s">
        <v>43</v>
      </c>
      <c r="B16" s="5">
        <v>60000</v>
      </c>
      <c r="C16" s="4" t="s">
        <v>44</v>
      </c>
      <c r="D16" s="4" t="s">
        <v>39</v>
      </c>
    </row>
  </sheetData>
  <mergeCells count="2">
    <mergeCell ref="A1:H1"/>
    <mergeCell ref="A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workbookViewId="0">
      <selection sqref="A1:F1"/>
    </sheetView>
  </sheetViews>
  <sheetFormatPr baseColWidth="10" defaultColWidth="8.83203125" defaultRowHeight="15"/>
  <cols>
    <col min="1" max="1" width="14" customWidth="1"/>
    <col min="2" max="2" width="32" customWidth="1"/>
    <col min="3" max="3" width="16" customWidth="1"/>
    <col min="4" max="4" width="28" customWidth="1"/>
    <col min="5" max="5" width="12" customWidth="1"/>
    <col min="6" max="6" width="16" customWidth="1"/>
  </cols>
  <sheetData>
    <row r="1" spans="1:6" ht="37.25" customHeight="1">
      <c r="A1" s="30" t="s">
        <v>45</v>
      </c>
      <c r="B1" s="30"/>
      <c r="C1" s="30"/>
      <c r="D1" s="30"/>
      <c r="E1" s="30"/>
      <c r="F1" s="30"/>
    </row>
    <row r="3" spans="1:6" ht="16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</row>
    <row r="4" spans="1:6">
      <c r="A4" s="4" t="s">
        <v>52</v>
      </c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</row>
    <row r="5" spans="1:6">
      <c r="A5" s="4" t="s">
        <v>58</v>
      </c>
      <c r="B5" s="4" t="s">
        <v>59</v>
      </c>
      <c r="C5" s="4" t="s">
        <v>54</v>
      </c>
      <c r="D5" s="4" t="s">
        <v>59</v>
      </c>
      <c r="E5" s="4" t="s">
        <v>56</v>
      </c>
      <c r="F5" s="4" t="s">
        <v>57</v>
      </c>
    </row>
    <row r="6" spans="1:6">
      <c r="A6" s="4" t="s">
        <v>60</v>
      </c>
      <c r="B6" s="4" t="s">
        <v>61</v>
      </c>
      <c r="C6" s="4" t="s">
        <v>54</v>
      </c>
      <c r="D6" s="4" t="s">
        <v>61</v>
      </c>
      <c r="E6" s="4" t="s">
        <v>56</v>
      </c>
      <c r="F6" s="4" t="s">
        <v>62</v>
      </c>
    </row>
    <row r="7" spans="1:6">
      <c r="A7" s="4" t="s">
        <v>63</v>
      </c>
      <c r="B7" s="4" t="s">
        <v>64</v>
      </c>
      <c r="C7" s="4" t="s">
        <v>54</v>
      </c>
      <c r="D7" s="4" t="s">
        <v>64</v>
      </c>
      <c r="E7" s="4" t="s">
        <v>56</v>
      </c>
      <c r="F7" s="4" t="s">
        <v>57</v>
      </c>
    </row>
    <row r="8" spans="1:6">
      <c r="A8" s="4" t="s">
        <v>65</v>
      </c>
      <c r="B8" s="4" t="s">
        <v>66</v>
      </c>
      <c r="C8" s="4" t="s">
        <v>54</v>
      </c>
      <c r="D8" s="4" t="s">
        <v>66</v>
      </c>
      <c r="E8" s="4" t="s">
        <v>56</v>
      </c>
      <c r="F8" s="4" t="s">
        <v>57</v>
      </c>
    </row>
    <row r="9" spans="1:6">
      <c r="A9" s="4" t="s">
        <v>67</v>
      </c>
      <c r="B9" s="4" t="s">
        <v>68</v>
      </c>
      <c r="C9" s="4" t="s">
        <v>54</v>
      </c>
      <c r="D9" s="4" t="s">
        <v>68</v>
      </c>
      <c r="E9" s="4" t="s">
        <v>56</v>
      </c>
      <c r="F9" s="4" t="s">
        <v>57</v>
      </c>
    </row>
    <row r="10" spans="1:6">
      <c r="A10" s="4" t="s">
        <v>69</v>
      </c>
      <c r="B10" s="4" t="s">
        <v>70</v>
      </c>
      <c r="C10" s="4" t="s">
        <v>54</v>
      </c>
      <c r="D10" s="4" t="s">
        <v>70</v>
      </c>
      <c r="E10" s="4" t="s">
        <v>56</v>
      </c>
      <c r="F10" s="4" t="s">
        <v>62</v>
      </c>
    </row>
    <row r="11" spans="1:6">
      <c r="A11" s="4" t="s">
        <v>71</v>
      </c>
      <c r="B11" s="4" t="s">
        <v>72</v>
      </c>
      <c r="C11" s="4" t="s">
        <v>73</v>
      </c>
      <c r="D11" s="4" t="s">
        <v>72</v>
      </c>
      <c r="E11" s="4" t="s">
        <v>56</v>
      </c>
      <c r="F11" s="4" t="s">
        <v>62</v>
      </c>
    </row>
    <row r="12" spans="1:6">
      <c r="A12" s="4" t="s">
        <v>74</v>
      </c>
      <c r="B12" s="4" t="s">
        <v>75</v>
      </c>
      <c r="C12" s="4" t="s">
        <v>73</v>
      </c>
      <c r="D12" s="4" t="s">
        <v>75</v>
      </c>
      <c r="E12" s="4" t="s">
        <v>56</v>
      </c>
      <c r="F12" s="4" t="s">
        <v>62</v>
      </c>
    </row>
    <row r="13" spans="1:6">
      <c r="A13" s="4" t="s">
        <v>76</v>
      </c>
      <c r="B13" s="4" t="s">
        <v>77</v>
      </c>
      <c r="C13" s="4" t="s">
        <v>73</v>
      </c>
      <c r="D13" s="4" t="s">
        <v>77</v>
      </c>
      <c r="E13" s="4" t="s">
        <v>56</v>
      </c>
      <c r="F13" s="4" t="s">
        <v>62</v>
      </c>
    </row>
    <row r="14" spans="1:6">
      <c r="A14" s="4" t="s">
        <v>78</v>
      </c>
      <c r="B14" s="4" t="s">
        <v>79</v>
      </c>
      <c r="C14" s="4" t="s">
        <v>73</v>
      </c>
      <c r="D14" s="4" t="s">
        <v>80</v>
      </c>
      <c r="E14" s="4" t="s">
        <v>56</v>
      </c>
      <c r="F14" s="4" t="s">
        <v>62</v>
      </c>
    </row>
    <row r="15" spans="1:6">
      <c r="A15" s="4" t="s">
        <v>81</v>
      </c>
      <c r="B15" s="4" t="s">
        <v>82</v>
      </c>
      <c r="C15" s="4" t="s">
        <v>83</v>
      </c>
      <c r="D15" s="4" t="s">
        <v>82</v>
      </c>
      <c r="E15" s="4" t="s">
        <v>56</v>
      </c>
      <c r="F15" s="4" t="s">
        <v>62</v>
      </c>
    </row>
    <row r="16" spans="1:6">
      <c r="A16" s="4" t="s">
        <v>84</v>
      </c>
      <c r="B16" s="4" t="s">
        <v>85</v>
      </c>
      <c r="C16" s="4" t="s">
        <v>83</v>
      </c>
      <c r="D16" s="4" t="s">
        <v>85</v>
      </c>
      <c r="E16" s="4" t="s">
        <v>56</v>
      </c>
      <c r="F16" s="4" t="s">
        <v>62</v>
      </c>
    </row>
    <row r="17" spans="1:6">
      <c r="A17" s="4" t="s">
        <v>86</v>
      </c>
      <c r="B17" s="4" t="s">
        <v>87</v>
      </c>
      <c r="C17" s="4" t="s">
        <v>88</v>
      </c>
      <c r="D17" s="4" t="s">
        <v>88</v>
      </c>
      <c r="E17" s="4" t="s">
        <v>89</v>
      </c>
      <c r="F17" s="4" t="s">
        <v>62</v>
      </c>
    </row>
    <row r="18" spans="1:6">
      <c r="A18" s="4" t="s">
        <v>90</v>
      </c>
      <c r="B18" s="4" t="s">
        <v>91</v>
      </c>
      <c r="C18" s="4" t="s">
        <v>92</v>
      </c>
      <c r="D18" s="4" t="s">
        <v>93</v>
      </c>
      <c r="E18" s="4" t="s">
        <v>89</v>
      </c>
      <c r="F18" s="4" t="s">
        <v>57</v>
      </c>
    </row>
    <row r="19" spans="1:6">
      <c r="A19" s="4" t="s">
        <v>94</v>
      </c>
      <c r="B19" s="4" t="s">
        <v>95</v>
      </c>
      <c r="C19" s="4" t="s">
        <v>92</v>
      </c>
      <c r="D19" s="4" t="s">
        <v>96</v>
      </c>
      <c r="E19" s="4" t="s">
        <v>89</v>
      </c>
      <c r="F19" s="4" t="s">
        <v>57</v>
      </c>
    </row>
    <row r="20" spans="1:6">
      <c r="A20" s="4" t="s">
        <v>97</v>
      </c>
      <c r="B20" s="4" t="s">
        <v>98</v>
      </c>
      <c r="C20" s="4" t="s">
        <v>92</v>
      </c>
      <c r="D20" s="4" t="s">
        <v>99</v>
      </c>
      <c r="E20" s="4" t="s">
        <v>89</v>
      </c>
      <c r="F20" s="4" t="s">
        <v>57</v>
      </c>
    </row>
    <row r="21" spans="1:6">
      <c r="A21" s="4" t="s">
        <v>100</v>
      </c>
      <c r="B21" s="4" t="s">
        <v>101</v>
      </c>
      <c r="C21" s="4" t="s">
        <v>92</v>
      </c>
      <c r="D21" s="4" t="s">
        <v>101</v>
      </c>
      <c r="E21" s="4" t="s">
        <v>89</v>
      </c>
      <c r="F21" s="4" t="s">
        <v>57</v>
      </c>
    </row>
    <row r="22" spans="1:6">
      <c r="A22" s="4" t="s">
        <v>102</v>
      </c>
      <c r="B22" s="4" t="s">
        <v>103</v>
      </c>
      <c r="C22" s="4" t="s">
        <v>92</v>
      </c>
      <c r="D22" s="4" t="s">
        <v>103</v>
      </c>
      <c r="E22" s="4" t="s">
        <v>89</v>
      </c>
      <c r="F22" s="4" t="s">
        <v>57</v>
      </c>
    </row>
    <row r="23" spans="1:6">
      <c r="A23" s="4" t="s">
        <v>104</v>
      </c>
      <c r="B23" s="4" t="s">
        <v>105</v>
      </c>
      <c r="C23" s="4" t="s">
        <v>92</v>
      </c>
      <c r="D23" s="4" t="s">
        <v>105</v>
      </c>
      <c r="E23" s="4" t="s">
        <v>89</v>
      </c>
      <c r="F23" s="4" t="s">
        <v>57</v>
      </c>
    </row>
    <row r="24" spans="1:6">
      <c r="A24" s="4" t="s">
        <v>106</v>
      </c>
      <c r="B24" s="4" t="s">
        <v>107</v>
      </c>
      <c r="C24" s="4" t="s">
        <v>92</v>
      </c>
      <c r="D24" s="4" t="s">
        <v>107</v>
      </c>
      <c r="E24" s="4" t="s">
        <v>89</v>
      </c>
      <c r="F24" s="4" t="s">
        <v>57</v>
      </c>
    </row>
    <row r="25" spans="1:6">
      <c r="A25" s="4" t="s">
        <v>108</v>
      </c>
      <c r="B25" s="4" t="s">
        <v>109</v>
      </c>
      <c r="C25" s="4" t="s">
        <v>92</v>
      </c>
      <c r="D25" s="4" t="s">
        <v>109</v>
      </c>
      <c r="E25" s="4" t="s">
        <v>89</v>
      </c>
      <c r="F25" s="4" t="s">
        <v>57</v>
      </c>
    </row>
    <row r="26" spans="1:6">
      <c r="A26" s="4" t="s">
        <v>110</v>
      </c>
      <c r="B26" s="4" t="s">
        <v>111</v>
      </c>
      <c r="C26" s="4" t="s">
        <v>92</v>
      </c>
      <c r="D26" s="4" t="s">
        <v>111</v>
      </c>
      <c r="E26" s="4" t="s">
        <v>89</v>
      </c>
      <c r="F26" s="4" t="s">
        <v>57</v>
      </c>
    </row>
    <row r="27" spans="1:6">
      <c r="A27" s="4" t="s">
        <v>112</v>
      </c>
      <c r="B27" s="4" t="s">
        <v>113</v>
      </c>
      <c r="C27" s="4" t="s">
        <v>92</v>
      </c>
      <c r="D27" s="4" t="s">
        <v>114</v>
      </c>
      <c r="E27" s="4" t="s">
        <v>89</v>
      </c>
      <c r="F27" s="4" t="s">
        <v>57</v>
      </c>
    </row>
    <row r="28" spans="1:6">
      <c r="A28" s="4" t="s">
        <v>115</v>
      </c>
      <c r="B28" s="4" t="s">
        <v>116</v>
      </c>
      <c r="C28" s="4" t="s">
        <v>92</v>
      </c>
      <c r="D28" s="4" t="s">
        <v>116</v>
      </c>
      <c r="E28" s="4" t="s">
        <v>89</v>
      </c>
      <c r="F28" s="4" t="s">
        <v>57</v>
      </c>
    </row>
    <row r="29" spans="1:6">
      <c r="A29" s="4" t="s">
        <v>117</v>
      </c>
      <c r="B29" s="4" t="s">
        <v>118</v>
      </c>
      <c r="C29" s="4" t="s">
        <v>92</v>
      </c>
      <c r="D29" s="4" t="s">
        <v>119</v>
      </c>
      <c r="E29" s="4" t="s">
        <v>89</v>
      </c>
      <c r="F29" s="4" t="s">
        <v>57</v>
      </c>
    </row>
    <row r="30" spans="1:6">
      <c r="A30" s="4" t="s">
        <v>120</v>
      </c>
      <c r="B30" s="4" t="s">
        <v>121</v>
      </c>
      <c r="C30" s="4" t="s">
        <v>92</v>
      </c>
      <c r="D30" s="4" t="s">
        <v>122</v>
      </c>
      <c r="E30" s="4" t="s">
        <v>89</v>
      </c>
      <c r="F30" s="4" t="s">
        <v>57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000"/>
  <sheetViews>
    <sheetView workbookViewId="0">
      <selection sqref="A1:G1"/>
    </sheetView>
  </sheetViews>
  <sheetFormatPr baseColWidth="10" defaultColWidth="8.83203125" defaultRowHeight="15"/>
  <cols>
    <col min="3" max="3" width="12.6640625" bestFit="1" customWidth="1"/>
    <col min="4" max="5" width="11.6640625" bestFit="1" customWidth="1"/>
    <col min="6" max="6" width="22.6640625" bestFit="1" customWidth="1"/>
    <col min="7" max="7" width="7.33203125" bestFit="1" customWidth="1"/>
  </cols>
  <sheetData>
    <row r="1" spans="1:52" ht="37.25" customHeight="1">
      <c r="A1" s="35" t="s">
        <v>123</v>
      </c>
      <c r="B1" s="35"/>
      <c r="C1" s="35"/>
      <c r="D1" s="35"/>
      <c r="E1" s="35"/>
      <c r="F1" s="35"/>
      <c r="G1" s="35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48">
      <c r="A3" s="9" t="s">
        <v>46</v>
      </c>
      <c r="B3" s="9" t="s">
        <v>47</v>
      </c>
      <c r="C3" s="9" t="s">
        <v>124</v>
      </c>
      <c r="D3" s="9" t="s">
        <v>125</v>
      </c>
      <c r="E3" s="9" t="s">
        <v>126</v>
      </c>
      <c r="F3" s="9" t="s">
        <v>21</v>
      </c>
      <c r="G3" s="9" t="s">
        <v>127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>
      <c r="A4" s="14" t="s">
        <v>52</v>
      </c>
      <c r="B4" s="14" t="s">
        <v>53</v>
      </c>
      <c r="C4" s="15">
        <v>450000</v>
      </c>
      <c r="D4" s="15">
        <v>450000</v>
      </c>
      <c r="E4" s="15">
        <v>0</v>
      </c>
      <c r="F4" s="14" t="s">
        <v>128</v>
      </c>
      <c r="G4" s="10">
        <f t="shared" ref="G4:G30" si="0">D4-E4-C4</f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>
      <c r="A5" s="14" t="s">
        <v>58</v>
      </c>
      <c r="B5" s="14" t="s">
        <v>59</v>
      </c>
      <c r="C5" s="15">
        <v>800000</v>
      </c>
      <c r="D5" s="15">
        <v>800000</v>
      </c>
      <c r="E5" s="15">
        <v>0</v>
      </c>
      <c r="F5" s="14" t="s">
        <v>128</v>
      </c>
      <c r="G5" s="10">
        <f t="shared" si="0"/>
        <v>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>
      <c r="A6" s="14" t="s">
        <v>60</v>
      </c>
      <c r="B6" s="14" t="s">
        <v>61</v>
      </c>
      <c r="C6" s="15">
        <v>-30000</v>
      </c>
      <c r="D6" s="15">
        <v>0</v>
      </c>
      <c r="E6" s="15">
        <v>30000</v>
      </c>
      <c r="F6" s="14" t="s">
        <v>128</v>
      </c>
      <c r="G6" s="10">
        <f t="shared" si="0"/>
        <v>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>
      <c r="A7" s="14" t="s">
        <v>63</v>
      </c>
      <c r="B7" s="14" t="s">
        <v>64</v>
      </c>
      <c r="C7" s="15">
        <v>650000</v>
      </c>
      <c r="D7" s="15">
        <v>650000</v>
      </c>
      <c r="E7" s="15">
        <v>0</v>
      </c>
      <c r="F7" s="14" t="s">
        <v>128</v>
      </c>
      <c r="G7" s="10">
        <f t="shared" si="0"/>
        <v>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>
      <c r="A8" s="14" t="s">
        <v>65</v>
      </c>
      <c r="B8" s="14" t="s">
        <v>66</v>
      </c>
      <c r="C8" s="15">
        <v>90000</v>
      </c>
      <c r="D8" s="15">
        <v>90000</v>
      </c>
      <c r="E8" s="15">
        <v>0</v>
      </c>
      <c r="F8" s="14" t="s">
        <v>128</v>
      </c>
      <c r="G8" s="10">
        <f t="shared" si="0"/>
        <v>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>
      <c r="A9" s="14" t="s">
        <v>67</v>
      </c>
      <c r="B9" s="14" t="s">
        <v>68</v>
      </c>
      <c r="C9" s="15">
        <v>1200000</v>
      </c>
      <c r="D9" s="15">
        <v>1200000</v>
      </c>
      <c r="E9" s="15">
        <v>0</v>
      </c>
      <c r="F9" s="14" t="s">
        <v>128</v>
      </c>
      <c r="G9" s="10">
        <f t="shared" si="0"/>
        <v>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>
      <c r="A10" s="14" t="s">
        <v>69</v>
      </c>
      <c r="B10" s="14" t="s">
        <v>70</v>
      </c>
      <c r="C10" s="15">
        <v>-350000</v>
      </c>
      <c r="D10" s="15">
        <v>0</v>
      </c>
      <c r="E10" s="15">
        <v>350000</v>
      </c>
      <c r="F10" s="14" t="s">
        <v>128</v>
      </c>
      <c r="G10" s="10">
        <f t="shared" si="0"/>
        <v>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>
      <c r="A11" s="14" t="s">
        <v>71</v>
      </c>
      <c r="B11" s="14" t="s">
        <v>72</v>
      </c>
      <c r="C11" s="15">
        <v>-600000</v>
      </c>
      <c r="D11" s="15">
        <v>0</v>
      </c>
      <c r="E11" s="15">
        <v>600000</v>
      </c>
      <c r="F11" s="14" t="s">
        <v>128</v>
      </c>
      <c r="G11" s="10">
        <f t="shared" si="0"/>
        <v>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>
      <c r="A12" s="14" t="s">
        <v>74</v>
      </c>
      <c r="B12" s="14" t="s">
        <v>75</v>
      </c>
      <c r="C12" s="15">
        <v>-150000</v>
      </c>
      <c r="D12" s="15">
        <v>0</v>
      </c>
      <c r="E12" s="15">
        <v>150000</v>
      </c>
      <c r="F12" s="14" t="s">
        <v>128</v>
      </c>
      <c r="G12" s="10">
        <f t="shared" si="0"/>
        <v>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>
      <c r="A13" s="14" t="s">
        <v>76</v>
      </c>
      <c r="B13" s="14" t="s">
        <v>77</v>
      </c>
      <c r="C13" s="15">
        <v>-60000</v>
      </c>
      <c r="D13" s="15">
        <v>0</v>
      </c>
      <c r="E13" s="15">
        <v>60000</v>
      </c>
      <c r="F13" s="14" t="s">
        <v>128</v>
      </c>
      <c r="G13" s="10">
        <f t="shared" si="0"/>
        <v>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>
      <c r="A14" s="14" t="s">
        <v>78</v>
      </c>
      <c r="B14" s="14" t="s">
        <v>79</v>
      </c>
      <c r="C14" s="15">
        <v>-100000</v>
      </c>
      <c r="D14" s="15">
        <v>0</v>
      </c>
      <c r="E14" s="15">
        <v>100000</v>
      </c>
      <c r="F14" s="14" t="s">
        <v>128</v>
      </c>
      <c r="G14" s="10">
        <f t="shared" si="0"/>
        <v>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>
      <c r="A15" s="14" t="s">
        <v>81</v>
      </c>
      <c r="B15" s="14" t="s">
        <v>82</v>
      </c>
      <c r="C15" s="15">
        <v>-500000</v>
      </c>
      <c r="D15" s="15">
        <v>0</v>
      </c>
      <c r="E15" s="15">
        <v>500000</v>
      </c>
      <c r="F15" s="14" t="s">
        <v>128</v>
      </c>
      <c r="G15" s="10">
        <f t="shared" si="0"/>
        <v>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>
      <c r="A16" s="14" t="s">
        <v>84</v>
      </c>
      <c r="B16" s="14" t="s">
        <v>85</v>
      </c>
      <c r="C16" s="15">
        <v>-1400000</v>
      </c>
      <c r="D16" s="15">
        <v>0</v>
      </c>
      <c r="E16" s="15">
        <v>1400000</v>
      </c>
      <c r="F16" s="14" t="s">
        <v>128</v>
      </c>
      <c r="G16" s="10">
        <f t="shared" si="0"/>
        <v>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>
      <c r="A17" s="14" t="s">
        <v>86</v>
      </c>
      <c r="B17" s="14" t="s">
        <v>87</v>
      </c>
      <c r="C17" s="15">
        <v>0</v>
      </c>
      <c r="D17" s="15">
        <v>0</v>
      </c>
      <c r="E17" s="15">
        <v>0</v>
      </c>
      <c r="F17" s="14" t="s">
        <v>128</v>
      </c>
      <c r="G17" s="10">
        <f t="shared" si="0"/>
        <v>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>
      <c r="A18" s="14" t="s">
        <v>90</v>
      </c>
      <c r="B18" s="14" t="s">
        <v>91</v>
      </c>
      <c r="C18" s="15">
        <v>0</v>
      </c>
      <c r="D18" s="15">
        <v>0</v>
      </c>
      <c r="E18" s="15">
        <v>0</v>
      </c>
      <c r="F18" s="14" t="s">
        <v>128</v>
      </c>
      <c r="G18" s="10">
        <f t="shared" si="0"/>
        <v>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>
      <c r="A19" s="14" t="s">
        <v>94</v>
      </c>
      <c r="B19" s="14" t="s">
        <v>95</v>
      </c>
      <c r="C19" s="15">
        <v>0</v>
      </c>
      <c r="D19" s="15">
        <v>0</v>
      </c>
      <c r="E19" s="15">
        <v>0</v>
      </c>
      <c r="F19" s="14" t="s">
        <v>128</v>
      </c>
      <c r="G19" s="10">
        <f t="shared" si="0"/>
        <v>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>
      <c r="A20" s="14" t="s">
        <v>97</v>
      </c>
      <c r="B20" s="14" t="s">
        <v>98</v>
      </c>
      <c r="C20" s="15">
        <v>0</v>
      </c>
      <c r="D20" s="15">
        <v>0</v>
      </c>
      <c r="E20" s="15">
        <v>0</v>
      </c>
      <c r="F20" s="14" t="s">
        <v>128</v>
      </c>
      <c r="G20" s="10">
        <f t="shared" si="0"/>
        <v>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>
      <c r="A21" s="14" t="s">
        <v>100</v>
      </c>
      <c r="B21" s="14" t="s">
        <v>101</v>
      </c>
      <c r="C21" s="15">
        <v>0</v>
      </c>
      <c r="D21" s="15">
        <v>0</v>
      </c>
      <c r="E21" s="15">
        <v>0</v>
      </c>
      <c r="F21" s="14" t="s">
        <v>128</v>
      </c>
      <c r="G21" s="10">
        <f t="shared" si="0"/>
        <v>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>
      <c r="A22" s="14" t="s">
        <v>102</v>
      </c>
      <c r="B22" s="14" t="s">
        <v>103</v>
      </c>
      <c r="C22" s="15">
        <v>0</v>
      </c>
      <c r="D22" s="15">
        <v>0</v>
      </c>
      <c r="E22" s="15">
        <v>0</v>
      </c>
      <c r="F22" s="14" t="s">
        <v>128</v>
      </c>
      <c r="G22" s="10">
        <f t="shared" si="0"/>
        <v>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>
      <c r="A23" s="14" t="s">
        <v>104</v>
      </c>
      <c r="B23" s="14" t="s">
        <v>105</v>
      </c>
      <c r="C23" s="15">
        <v>0</v>
      </c>
      <c r="D23" s="15">
        <v>0</v>
      </c>
      <c r="E23" s="15">
        <v>0</v>
      </c>
      <c r="F23" s="14" t="s">
        <v>128</v>
      </c>
      <c r="G23" s="10">
        <f t="shared" si="0"/>
        <v>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>
      <c r="A24" s="14" t="s">
        <v>106</v>
      </c>
      <c r="B24" s="14" t="s">
        <v>107</v>
      </c>
      <c r="C24" s="15">
        <v>0</v>
      </c>
      <c r="D24" s="15">
        <v>0</v>
      </c>
      <c r="E24" s="15">
        <v>0</v>
      </c>
      <c r="F24" s="14" t="s">
        <v>128</v>
      </c>
      <c r="G24" s="10">
        <f t="shared" si="0"/>
        <v>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>
      <c r="A25" s="14" t="s">
        <v>108</v>
      </c>
      <c r="B25" s="14" t="s">
        <v>109</v>
      </c>
      <c r="C25" s="15">
        <v>0</v>
      </c>
      <c r="D25" s="15">
        <v>0</v>
      </c>
      <c r="E25" s="15">
        <v>0</v>
      </c>
      <c r="F25" s="14" t="s">
        <v>128</v>
      </c>
      <c r="G25" s="10">
        <f t="shared" si="0"/>
        <v>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>
      <c r="A26" s="14" t="s">
        <v>110</v>
      </c>
      <c r="B26" s="14" t="s">
        <v>111</v>
      </c>
      <c r="C26" s="15">
        <v>0</v>
      </c>
      <c r="D26" s="15">
        <v>0</v>
      </c>
      <c r="E26" s="15">
        <v>0</v>
      </c>
      <c r="F26" s="14" t="s">
        <v>128</v>
      </c>
      <c r="G26" s="10">
        <f t="shared" si="0"/>
        <v>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>
      <c r="A27" s="14" t="s">
        <v>112</v>
      </c>
      <c r="B27" s="14" t="s">
        <v>113</v>
      </c>
      <c r="C27" s="15">
        <v>0</v>
      </c>
      <c r="D27" s="15">
        <v>0</v>
      </c>
      <c r="E27" s="15">
        <v>0</v>
      </c>
      <c r="F27" s="14" t="s">
        <v>128</v>
      </c>
      <c r="G27" s="10">
        <f t="shared" si="0"/>
        <v>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>
      <c r="A28" s="14" t="s">
        <v>115</v>
      </c>
      <c r="B28" s="14" t="s">
        <v>116</v>
      </c>
      <c r="C28" s="15">
        <v>0</v>
      </c>
      <c r="D28" s="15">
        <v>0</v>
      </c>
      <c r="E28" s="15">
        <v>0</v>
      </c>
      <c r="F28" s="14" t="s">
        <v>128</v>
      </c>
      <c r="G28" s="10">
        <f t="shared" si="0"/>
        <v>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>
      <c r="A29" s="14" t="s">
        <v>117</v>
      </c>
      <c r="B29" s="14" t="s">
        <v>118</v>
      </c>
      <c r="C29" s="15">
        <v>0</v>
      </c>
      <c r="D29" s="15">
        <v>0</v>
      </c>
      <c r="E29" s="15">
        <v>0</v>
      </c>
      <c r="F29" s="14" t="s">
        <v>128</v>
      </c>
      <c r="G29" s="10">
        <f t="shared" si="0"/>
        <v>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>
      <c r="A30" s="14" t="s">
        <v>120</v>
      </c>
      <c r="B30" s="14" t="s">
        <v>121</v>
      </c>
      <c r="C30" s="15">
        <v>0</v>
      </c>
      <c r="D30" s="15">
        <v>0</v>
      </c>
      <c r="E30" s="15">
        <v>0</v>
      </c>
      <c r="F30" s="14" t="s">
        <v>128</v>
      </c>
      <c r="G30" s="10">
        <f t="shared" si="0"/>
        <v>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>
      <c r="A32" s="11" t="s">
        <v>129</v>
      </c>
      <c r="B32" s="11"/>
      <c r="C32" s="12">
        <f>SUM(C4:C30)</f>
        <v>0</v>
      </c>
      <c r="D32" s="12">
        <f>SUM(D4:D30)</f>
        <v>3190000</v>
      </c>
      <c r="E32" s="12">
        <f>SUM(E4:E30)</f>
        <v>3190000</v>
      </c>
      <c r="F32" s="12"/>
      <c r="G32" s="12">
        <f>D32-E32</f>
        <v>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1:5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1:5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 spans="1:5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 spans="1:5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 spans="1:5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 spans="1:5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 spans="1:5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 spans="1:5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 spans="1:5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 spans="1:5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 spans="1:5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 spans="1:5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 spans="1:5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 spans="1:5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 spans="1:5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 spans="1:5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 spans="1:5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 spans="1:5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 spans="1:5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 spans="1:5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 spans="1:5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 spans="1:5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 spans="1:5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 spans="1:5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 spans="1:5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 spans="1:5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 spans="1:5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 spans="1:5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 spans="1:5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 spans="1:5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 spans="1:5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 spans="1:5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 spans="1:5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 spans="1:5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 spans="1:5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 spans="1:5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 spans="1:5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 spans="1:5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 spans="1:5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 spans="1:5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 spans="1:5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 spans="1:5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 spans="1:5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 spans="1:5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 spans="1:5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 spans="1:5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 spans="1:5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 spans="1:5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 spans="1:5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 spans="1:5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 spans="1:5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 spans="1:5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 spans="1:5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 spans="1: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 spans="1:5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 spans="1:5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 spans="1:5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 spans="1:5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 spans="1:5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 spans="1:5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 spans="1:5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 spans="1:5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 spans="1:5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 spans="1:5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 spans="1:5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 spans="1:5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 spans="1:5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 spans="1:5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 spans="1:5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 spans="1:5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 spans="1:5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 spans="1:5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 spans="1:5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 spans="1:5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 spans="1:5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 spans="1:5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 spans="1:5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 spans="1:5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 spans="1:5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 spans="1:5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 spans="1:5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 spans="1:5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 spans="1:5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 spans="1:5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 spans="1:5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 spans="1:5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 spans="1:5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 spans="1:5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 spans="1:5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 spans="1:5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 spans="1:5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 spans="1:5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 spans="1:5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 spans="1:5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 spans="1:5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 spans="1:5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 spans="1:5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 spans="1:5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 spans="1:5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 spans="1:5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 spans="1:5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 spans="1:5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 spans="1:5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 spans="1:5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 spans="1:5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 spans="1:5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 spans="1:5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 spans="1:5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 spans="1:5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 spans="1:5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 spans="1:5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 spans="1:5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 spans="1:5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 spans="1:5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 spans="1:5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 spans="1:5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 spans="1:5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 spans="1:5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 spans="1:5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 spans="1:5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 spans="1:5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 spans="1:5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 spans="1:5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 spans="1:5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 spans="1:5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 spans="1:5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 spans="1:5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 spans="1:5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 spans="1:5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 spans="1:5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 spans="1:5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 spans="1:5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 spans="1:5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 spans="1:5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 spans="1:5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 spans="1:5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 spans="1:5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 spans="1:5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 spans="1:5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 spans="1:5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 spans="1:5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 spans="1:5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 spans="1:5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 spans="1:5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 spans="1:5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 spans="1:5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 spans="1:5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 spans="1:5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 spans="1:5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 spans="1:5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 spans="1:5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 spans="1:5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 spans="1:5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 spans="1: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 spans="1:5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 spans="1:5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 spans="1:5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 spans="1:5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 spans="1:5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 spans="1:5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 spans="1:5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 spans="1:5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 spans="1:5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 spans="1:5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 spans="1:5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 spans="1:5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 spans="1:5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 spans="1:5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 spans="1:5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 spans="1:5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 spans="1:5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 spans="1:5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 spans="1:5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 spans="1:5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 spans="1:5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 spans="1:5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 spans="1:5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 spans="1:5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 spans="1:5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 spans="1:5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 spans="1:5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 spans="1:5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 spans="1:5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 spans="1:5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 spans="1:5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 spans="1:5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 spans="1:5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 spans="1:5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 spans="1:5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 spans="1:5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 spans="1:5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 spans="1:5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 spans="1:5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 spans="1:5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 spans="1:5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 spans="1:5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 spans="1:5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 spans="1:5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 spans="1:5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 spans="1:5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 spans="1:5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 spans="1:5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 spans="1:5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 spans="1:5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 spans="1:5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 spans="1:5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 spans="1:5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 spans="1:5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 spans="1:5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 spans="1:5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 spans="1:5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 spans="1:5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 spans="1:5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 spans="1:5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 spans="1:5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 spans="1:5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 spans="1:5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 spans="1:5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 spans="1:5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 spans="1:5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 spans="1:5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 spans="1:5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 spans="1:5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 spans="1:5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 spans="1:5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 spans="1:5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 spans="1:5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 spans="1:5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 spans="1:5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 spans="1:5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 spans="1:5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 spans="1:5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 spans="1:5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 spans="1:5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 spans="1:5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 spans="1:5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 spans="1:5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 spans="1:5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 spans="1:5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 spans="1:5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 spans="1:5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 spans="1:5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 spans="1:5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 spans="1:5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 spans="1:5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 spans="1:5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 spans="1:5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 spans="1:5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 spans="1:5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 spans="1:5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 spans="1:5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 spans="1:5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 spans="1:5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 spans="1: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 spans="1:5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 spans="1:5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 spans="1:5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 spans="1:5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 spans="1:5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 spans="1:5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 spans="1:5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 spans="1:5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 spans="1:5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 spans="1:5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 spans="1:5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 spans="1:5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 spans="1:5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 spans="1:5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 spans="1:5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 spans="1:5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 spans="1:5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 spans="1:5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 spans="1:5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 spans="1:5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 spans="1:5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 spans="1:5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 spans="1:5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 spans="1:5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 spans="1:5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 spans="1:5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 spans="1:5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 spans="1:5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 spans="1:5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 spans="1:5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 spans="1:5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 spans="1:5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 spans="1:5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 spans="1:5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 spans="1:5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 spans="1:5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 spans="1:5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 spans="1:5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 spans="1:5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 spans="1:5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 spans="1:5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 spans="1:5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 spans="1:5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 spans="1:5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 spans="1:5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 spans="1:5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 spans="1:5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 spans="1:5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 spans="1:5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 spans="1:5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 spans="1:5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 spans="1:5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 spans="1:5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 spans="1:5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 spans="1:5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 spans="1:5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 spans="1:5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 spans="1:5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 spans="1:5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 spans="1:5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 spans="1:5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 spans="1:5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 spans="1:5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 spans="1:5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 spans="1:5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 spans="1:5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 spans="1:5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 spans="1:5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 spans="1:5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 spans="1:5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 spans="1:5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 spans="1:5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 spans="1:5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 spans="1:5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 spans="1:5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 spans="1:5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 spans="1:5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 spans="1:5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 spans="1:5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 spans="1:5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 spans="1:5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 spans="1:5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 spans="1:5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 spans="1:5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 spans="1:5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 spans="1:5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 spans="1:5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 spans="1:5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 spans="1:5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 spans="1:5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 spans="1:5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 spans="1:5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 spans="1:5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 spans="1:5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 spans="1:5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 spans="1:5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 spans="1:5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 spans="1:5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 spans="1:5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 spans="1: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 spans="1:5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 spans="1:5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 spans="1:5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 spans="1:5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 spans="1:5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 spans="1:5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 spans="1:5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 spans="1:5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 spans="1:5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 spans="1:5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 spans="1:5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 spans="1:5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 spans="1:5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 spans="1:5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 spans="1:5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 spans="1:5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 spans="1:5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 spans="1:5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 spans="1:5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 spans="1:5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 spans="1:5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 spans="1:5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 spans="1:5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 spans="1:5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 spans="1:5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 spans="1:5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 spans="1:5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 spans="1:5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 spans="1:5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 spans="1:5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 spans="1:5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 spans="1:5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 spans="1:5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 spans="1:5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 spans="1:5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 spans="1:5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 spans="1:5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 spans="1:5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 spans="1:5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 spans="1:5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 spans="1:5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 spans="1:5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 spans="1:5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 spans="1:5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 spans="1:5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 spans="1:5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 spans="1:5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 spans="1:5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 spans="1:5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 spans="1:5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 spans="1:5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 spans="1:5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 spans="1:5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 spans="1:5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 spans="1:5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 spans="1:5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 spans="1:5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 spans="1:5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 spans="1:5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 spans="1:5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 spans="1:5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 spans="1:5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 spans="1:5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 spans="1:5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 spans="1:5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 spans="1:5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 spans="1:5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 spans="1:5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 spans="1:5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 spans="1:5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 spans="1:5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 spans="1:5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 spans="1:5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 spans="1:5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 spans="1:5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 spans="1:5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 spans="1:5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 spans="1:5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 spans="1:5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 spans="1:5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 spans="1:5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 spans="1:5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 spans="1:5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 spans="1:5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 spans="1:5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 spans="1:5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 spans="1:5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 spans="1:5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 spans="1:5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 spans="1:5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 spans="1:5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 spans="1:5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 spans="1:5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 spans="1:5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 spans="1:5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 spans="1:5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 spans="1:5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 spans="1:5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 spans="1:5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 spans="1: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 spans="1:5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 spans="1:5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 spans="1:5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 spans="1:5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 spans="1:5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 spans="1:5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 spans="1:5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 spans="1:5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 spans="1:5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 spans="1:5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 spans="1:5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 spans="1:5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 spans="1:5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 spans="1:5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 spans="1:5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 spans="1:5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 spans="1:5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 spans="1:5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 spans="1:5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 spans="1:5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 spans="1:5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 spans="1:5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 spans="1:5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 spans="1:5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 spans="1:5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 spans="1:5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 spans="1:5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 spans="1:5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 spans="1:5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 spans="1:5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 spans="1:5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 spans="1:5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 spans="1:5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 spans="1:5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 spans="1:5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 spans="1:5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 spans="1:5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  <row r="990" spans="1:5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</row>
    <row r="991" spans="1:5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</row>
    <row r="992" spans="1:5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</row>
    <row r="993" spans="1:5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</row>
    <row r="994" spans="1:5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</row>
    <row r="995" spans="1:5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</row>
    <row r="996" spans="1:5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</row>
    <row r="997" spans="1:5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</row>
    <row r="998" spans="1:5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</row>
    <row r="999" spans="1:5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</row>
    <row r="1000" spans="1:5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1000"/>
  <sheetViews>
    <sheetView topLeftCell="C216" workbookViewId="0">
      <selection sqref="A1:N1"/>
    </sheetView>
  </sheetViews>
  <sheetFormatPr baseColWidth="10" defaultColWidth="8.83203125" defaultRowHeight="15"/>
  <cols>
    <col min="1" max="1" width="13" customWidth="1"/>
    <col min="2" max="2" width="14" customWidth="1"/>
    <col min="3" max="3" width="13" customWidth="1"/>
    <col min="4" max="4" width="30" customWidth="1"/>
    <col min="5" max="5" width="24" customWidth="1"/>
    <col min="6" max="6" width="11" customWidth="1"/>
    <col min="7" max="8" width="15" customWidth="1"/>
    <col min="9" max="10" width="17" customWidth="1"/>
    <col min="11" max="11" width="34" customWidth="1"/>
    <col min="12" max="12" width="18" customWidth="1"/>
    <col min="13" max="13" width="12" customWidth="1"/>
    <col min="14" max="14" width="10" customWidth="1"/>
  </cols>
  <sheetData>
    <row r="1" spans="1:52" ht="37.25" customHeight="1">
      <c r="A1" s="35" t="s">
        <v>130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16">
      <c r="A3" s="9" t="s">
        <v>131</v>
      </c>
      <c r="B3" s="9" t="s">
        <v>132</v>
      </c>
      <c r="C3" s="9" t="s">
        <v>46</v>
      </c>
      <c r="D3" s="9" t="s">
        <v>47</v>
      </c>
      <c r="E3" s="9" t="s">
        <v>49</v>
      </c>
      <c r="F3" s="9" t="s">
        <v>50</v>
      </c>
      <c r="G3" s="9" t="s">
        <v>125</v>
      </c>
      <c r="H3" s="9" t="s">
        <v>126</v>
      </c>
      <c r="I3" s="9" t="s">
        <v>133</v>
      </c>
      <c r="J3" s="9" t="s">
        <v>134</v>
      </c>
      <c r="K3" s="9" t="s">
        <v>135</v>
      </c>
      <c r="L3" s="9" t="s">
        <v>21</v>
      </c>
      <c r="M3" s="9" t="s">
        <v>136</v>
      </c>
      <c r="N3" s="9" t="s">
        <v>127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>
      <c r="A4" s="14" t="s">
        <v>137</v>
      </c>
      <c r="B4" s="26">
        <v>46044</v>
      </c>
      <c r="C4" s="14" t="s">
        <v>58</v>
      </c>
      <c r="D4" s="27" t="str">
        <f>IFERROR(VLOOKUP(C4,'Chart of Accounts'!$A$4:$F$30,2,FALSE),"")</f>
        <v>Trade Receivables</v>
      </c>
      <c r="E4" s="27" t="str">
        <f>IFERROR(VLOOKUP(C4,'Chart of Accounts'!$A$4:$F$30,4,FALSE),"")</f>
        <v>Trade Receivables</v>
      </c>
      <c r="F4" s="27" t="str">
        <f>IFERROR(VLOOKUP(C4,'Chart of Accounts'!$A$4:$F$30,5,FALSE),"")</f>
        <v>BS</v>
      </c>
      <c r="G4" s="15">
        <v>47208.300820170429</v>
      </c>
      <c r="H4" s="15">
        <v>0</v>
      </c>
      <c r="I4" s="10">
        <f t="shared" ref="I4:I67" si="0">G4-H4</f>
        <v>47208.300820170429</v>
      </c>
      <c r="J4" s="14" t="s">
        <v>138</v>
      </c>
      <c r="K4" s="14" t="s">
        <v>139</v>
      </c>
      <c r="L4" s="14" t="s">
        <v>140</v>
      </c>
      <c r="M4" s="8" t="str">
        <f t="shared" ref="M4:M67" si="1">TEXT(B4,"yyyy-mm")</f>
        <v>2026-01</v>
      </c>
      <c r="N4" s="8" t="str">
        <f t="shared" ref="N4:N67" si="2">"OK"</f>
        <v>OK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>
      <c r="A5" s="14" t="s">
        <v>137</v>
      </c>
      <c r="B5" s="26">
        <v>46044</v>
      </c>
      <c r="C5" s="14" t="s">
        <v>86</v>
      </c>
      <c r="D5" s="27" t="str">
        <f>IFERROR(VLOOKUP(C5,'Chart of Accounts'!$A$4:$F$30,2,FALSE),"")</f>
        <v>Product Sales</v>
      </c>
      <c r="E5" s="27" t="str">
        <f>IFERROR(VLOOKUP(C5,'Chart of Accounts'!$A$4:$F$30,4,FALSE),"")</f>
        <v>Revenue</v>
      </c>
      <c r="F5" s="27" t="str">
        <f>IFERROR(VLOOKUP(C5,'Chart of Accounts'!$A$4:$F$30,5,FALSE),"")</f>
        <v>PL</v>
      </c>
      <c r="G5" s="15">
        <v>0</v>
      </c>
      <c r="H5" s="15">
        <v>47208.300820170429</v>
      </c>
      <c r="I5" s="10">
        <f t="shared" si="0"/>
        <v>-47208.300820170429</v>
      </c>
      <c r="J5" s="14" t="s">
        <v>138</v>
      </c>
      <c r="K5" s="14" t="s">
        <v>139</v>
      </c>
      <c r="L5" s="14" t="s">
        <v>140</v>
      </c>
      <c r="M5" s="8" t="str">
        <f t="shared" si="1"/>
        <v>2026-01</v>
      </c>
      <c r="N5" s="8" t="str">
        <f t="shared" si="2"/>
        <v>OK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>
      <c r="A6" s="14" t="s">
        <v>137</v>
      </c>
      <c r="B6" s="26">
        <v>46044</v>
      </c>
      <c r="C6" s="14" t="s">
        <v>90</v>
      </c>
      <c r="D6" s="27" t="str">
        <f>IFERROR(VLOOKUP(C6,'Chart of Accounts'!$A$4:$F$30,2,FALSE),"")</f>
        <v>Cost of Goods Sold</v>
      </c>
      <c r="E6" s="27" t="str">
        <f>IFERROR(VLOOKUP(C6,'Chart of Accounts'!$A$4:$F$30,4,FALSE),"")</f>
        <v>COGS</v>
      </c>
      <c r="F6" s="27" t="str">
        <f>IFERROR(VLOOKUP(C6,'Chart of Accounts'!$A$4:$F$30,5,FALSE),"")</f>
        <v>PL</v>
      </c>
      <c r="G6" s="15">
        <v>26200.606955194587</v>
      </c>
      <c r="H6" s="15">
        <v>0</v>
      </c>
      <c r="I6" s="10">
        <f t="shared" si="0"/>
        <v>26200.606955194587</v>
      </c>
      <c r="J6" s="14" t="s">
        <v>138</v>
      </c>
      <c r="K6" s="14" t="s">
        <v>139</v>
      </c>
      <c r="L6" s="14" t="s">
        <v>140</v>
      </c>
      <c r="M6" s="8" t="str">
        <f t="shared" si="1"/>
        <v>2026-01</v>
      </c>
      <c r="N6" s="8" t="str">
        <f t="shared" si="2"/>
        <v>OK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>
      <c r="A7" s="14" t="s">
        <v>137</v>
      </c>
      <c r="B7" s="26">
        <v>46044</v>
      </c>
      <c r="C7" s="14" t="s">
        <v>63</v>
      </c>
      <c r="D7" s="27" t="str">
        <f>IFERROR(VLOOKUP(C7,'Chart of Accounts'!$A$4:$F$30,2,FALSE),"")</f>
        <v>Inventory</v>
      </c>
      <c r="E7" s="27" t="str">
        <f>IFERROR(VLOOKUP(C7,'Chart of Accounts'!$A$4:$F$30,4,FALSE),"")</f>
        <v>Inventory</v>
      </c>
      <c r="F7" s="27" t="str">
        <f>IFERROR(VLOOKUP(C7,'Chart of Accounts'!$A$4:$F$30,5,FALSE),"")</f>
        <v>BS</v>
      </c>
      <c r="G7" s="15">
        <v>0</v>
      </c>
      <c r="H7" s="15">
        <v>26200.606955194587</v>
      </c>
      <c r="I7" s="10">
        <f t="shared" si="0"/>
        <v>-26200.606955194587</v>
      </c>
      <c r="J7" s="14" t="s">
        <v>138</v>
      </c>
      <c r="K7" s="14" t="s">
        <v>139</v>
      </c>
      <c r="L7" s="14" t="s">
        <v>140</v>
      </c>
      <c r="M7" s="8" t="str">
        <f t="shared" si="1"/>
        <v>2026-01</v>
      </c>
      <c r="N7" s="8" t="str">
        <f t="shared" si="2"/>
        <v>OK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>
      <c r="A8" s="14" t="s">
        <v>141</v>
      </c>
      <c r="B8" s="26">
        <v>46028</v>
      </c>
      <c r="C8" s="14" t="s">
        <v>58</v>
      </c>
      <c r="D8" s="27" t="str">
        <f>IFERROR(VLOOKUP(C8,'Chart of Accounts'!$A$4:$F$30,2,FALSE),"")</f>
        <v>Trade Receivables</v>
      </c>
      <c r="E8" s="27" t="str">
        <f>IFERROR(VLOOKUP(C8,'Chart of Accounts'!$A$4:$F$30,4,FALSE),"")</f>
        <v>Trade Receivables</v>
      </c>
      <c r="F8" s="27" t="str">
        <f>IFERROR(VLOOKUP(C8,'Chart of Accounts'!$A$4:$F$30,5,FALSE),"")</f>
        <v>BS</v>
      </c>
      <c r="G8" s="15">
        <v>91301.08253262486</v>
      </c>
      <c r="H8" s="15">
        <v>0</v>
      </c>
      <c r="I8" s="10">
        <f t="shared" si="0"/>
        <v>91301.08253262486</v>
      </c>
      <c r="J8" s="14" t="s">
        <v>142</v>
      </c>
      <c r="K8" s="14" t="s">
        <v>143</v>
      </c>
      <c r="L8" s="14" t="s">
        <v>140</v>
      </c>
      <c r="M8" s="8" t="str">
        <f t="shared" si="1"/>
        <v>2026-01</v>
      </c>
      <c r="N8" s="8" t="str">
        <f t="shared" si="2"/>
        <v>OK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>
      <c r="A9" s="14" t="s">
        <v>141</v>
      </c>
      <c r="B9" s="26">
        <v>46028</v>
      </c>
      <c r="C9" s="14" t="s">
        <v>86</v>
      </c>
      <c r="D9" s="27" t="str">
        <f>IFERROR(VLOOKUP(C9,'Chart of Accounts'!$A$4:$F$30,2,FALSE),"")</f>
        <v>Product Sales</v>
      </c>
      <c r="E9" s="27" t="str">
        <f>IFERROR(VLOOKUP(C9,'Chart of Accounts'!$A$4:$F$30,4,FALSE),"")</f>
        <v>Revenue</v>
      </c>
      <c r="F9" s="27" t="str">
        <f>IFERROR(VLOOKUP(C9,'Chart of Accounts'!$A$4:$F$30,5,FALSE),"")</f>
        <v>PL</v>
      </c>
      <c r="G9" s="15">
        <v>0</v>
      </c>
      <c r="H9" s="15">
        <v>91301.08253262486</v>
      </c>
      <c r="I9" s="10">
        <f t="shared" si="0"/>
        <v>-91301.08253262486</v>
      </c>
      <c r="J9" s="14" t="s">
        <v>142</v>
      </c>
      <c r="K9" s="14" t="s">
        <v>143</v>
      </c>
      <c r="L9" s="14" t="s">
        <v>140</v>
      </c>
      <c r="M9" s="8" t="str">
        <f t="shared" si="1"/>
        <v>2026-01</v>
      </c>
      <c r="N9" s="8" t="str">
        <f t="shared" si="2"/>
        <v>OK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>
      <c r="A10" s="14" t="s">
        <v>141</v>
      </c>
      <c r="B10" s="26">
        <v>46028</v>
      </c>
      <c r="C10" s="14" t="s">
        <v>90</v>
      </c>
      <c r="D10" s="27" t="str">
        <f>IFERROR(VLOOKUP(C10,'Chart of Accounts'!$A$4:$F$30,2,FALSE),"")</f>
        <v>Cost of Goods Sold</v>
      </c>
      <c r="E10" s="27" t="str">
        <f>IFERROR(VLOOKUP(C10,'Chart of Accounts'!$A$4:$F$30,4,FALSE),"")</f>
        <v>COGS</v>
      </c>
      <c r="F10" s="27" t="str">
        <f>IFERROR(VLOOKUP(C10,'Chart of Accounts'!$A$4:$F$30,5,FALSE),"")</f>
        <v>PL</v>
      </c>
      <c r="G10" s="15">
        <v>50672.100805606795</v>
      </c>
      <c r="H10" s="15">
        <v>0</v>
      </c>
      <c r="I10" s="10">
        <f t="shared" si="0"/>
        <v>50672.100805606795</v>
      </c>
      <c r="J10" s="14" t="s">
        <v>142</v>
      </c>
      <c r="K10" s="14" t="s">
        <v>143</v>
      </c>
      <c r="L10" s="14" t="s">
        <v>140</v>
      </c>
      <c r="M10" s="8" t="str">
        <f t="shared" si="1"/>
        <v>2026-01</v>
      </c>
      <c r="N10" s="8" t="str">
        <f t="shared" si="2"/>
        <v>OK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>
      <c r="A11" s="14" t="s">
        <v>141</v>
      </c>
      <c r="B11" s="26">
        <v>46028</v>
      </c>
      <c r="C11" s="14" t="s">
        <v>63</v>
      </c>
      <c r="D11" s="27" t="str">
        <f>IFERROR(VLOOKUP(C11,'Chart of Accounts'!$A$4:$F$30,2,FALSE),"")</f>
        <v>Inventory</v>
      </c>
      <c r="E11" s="27" t="str">
        <f>IFERROR(VLOOKUP(C11,'Chart of Accounts'!$A$4:$F$30,4,FALSE),"")</f>
        <v>Inventory</v>
      </c>
      <c r="F11" s="27" t="str">
        <f>IFERROR(VLOOKUP(C11,'Chart of Accounts'!$A$4:$F$30,5,FALSE),"")</f>
        <v>BS</v>
      </c>
      <c r="G11" s="15">
        <v>0</v>
      </c>
      <c r="H11" s="15">
        <v>50672.100805606795</v>
      </c>
      <c r="I11" s="10">
        <f t="shared" si="0"/>
        <v>-50672.100805606795</v>
      </c>
      <c r="J11" s="14" t="s">
        <v>142</v>
      </c>
      <c r="K11" s="14" t="s">
        <v>143</v>
      </c>
      <c r="L11" s="14" t="s">
        <v>140</v>
      </c>
      <c r="M11" s="8" t="str">
        <f t="shared" si="1"/>
        <v>2026-01</v>
      </c>
      <c r="N11" s="8" t="str">
        <f t="shared" si="2"/>
        <v>OK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>
      <c r="A12" s="14" t="s">
        <v>144</v>
      </c>
      <c r="B12" s="26">
        <v>46043</v>
      </c>
      <c r="C12" s="14" t="s">
        <v>58</v>
      </c>
      <c r="D12" s="27" t="str">
        <f>IFERROR(VLOOKUP(C12,'Chart of Accounts'!$A$4:$F$30,2,FALSE),"")</f>
        <v>Trade Receivables</v>
      </c>
      <c r="E12" s="27" t="str">
        <f>IFERROR(VLOOKUP(C12,'Chart of Accounts'!$A$4:$F$30,4,FALSE),"")</f>
        <v>Trade Receivables</v>
      </c>
      <c r="F12" s="27" t="str">
        <f>IFERROR(VLOOKUP(C12,'Chart of Accounts'!$A$4:$F$30,5,FALSE),"")</f>
        <v>BS</v>
      </c>
      <c r="G12" s="15">
        <v>62537.911030190902</v>
      </c>
      <c r="H12" s="15">
        <v>0</v>
      </c>
      <c r="I12" s="10">
        <f t="shared" si="0"/>
        <v>62537.911030190902</v>
      </c>
      <c r="J12" s="14" t="s">
        <v>145</v>
      </c>
      <c r="K12" s="14" t="s">
        <v>146</v>
      </c>
      <c r="L12" s="14" t="s">
        <v>140</v>
      </c>
      <c r="M12" s="8" t="str">
        <f t="shared" si="1"/>
        <v>2026-01</v>
      </c>
      <c r="N12" s="8" t="str">
        <f t="shared" si="2"/>
        <v>OK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>
      <c r="A13" s="14" t="s">
        <v>144</v>
      </c>
      <c r="B13" s="26">
        <v>46043</v>
      </c>
      <c r="C13" s="14" t="s">
        <v>86</v>
      </c>
      <c r="D13" s="27" t="str">
        <f>IFERROR(VLOOKUP(C13,'Chart of Accounts'!$A$4:$F$30,2,FALSE),"")</f>
        <v>Product Sales</v>
      </c>
      <c r="E13" s="27" t="str">
        <f>IFERROR(VLOOKUP(C13,'Chart of Accounts'!$A$4:$F$30,4,FALSE),"")</f>
        <v>Revenue</v>
      </c>
      <c r="F13" s="27" t="str">
        <f>IFERROR(VLOOKUP(C13,'Chart of Accounts'!$A$4:$F$30,5,FALSE),"")</f>
        <v>PL</v>
      </c>
      <c r="G13" s="15">
        <v>0</v>
      </c>
      <c r="H13" s="15">
        <v>62537.911030190902</v>
      </c>
      <c r="I13" s="10">
        <f t="shared" si="0"/>
        <v>-62537.911030190902</v>
      </c>
      <c r="J13" s="14" t="s">
        <v>145</v>
      </c>
      <c r="K13" s="14" t="s">
        <v>146</v>
      </c>
      <c r="L13" s="14" t="s">
        <v>140</v>
      </c>
      <c r="M13" s="8" t="str">
        <f t="shared" si="1"/>
        <v>2026-01</v>
      </c>
      <c r="N13" s="8" t="str">
        <f t="shared" si="2"/>
        <v>OK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>
      <c r="A14" s="14" t="s">
        <v>144</v>
      </c>
      <c r="B14" s="26">
        <v>46043</v>
      </c>
      <c r="C14" s="14" t="s">
        <v>90</v>
      </c>
      <c r="D14" s="27" t="str">
        <f>IFERROR(VLOOKUP(C14,'Chart of Accounts'!$A$4:$F$30,2,FALSE),"")</f>
        <v>Cost of Goods Sold</v>
      </c>
      <c r="E14" s="27" t="str">
        <f>IFERROR(VLOOKUP(C14,'Chart of Accounts'!$A$4:$F$30,4,FALSE),"")</f>
        <v>COGS</v>
      </c>
      <c r="F14" s="27" t="str">
        <f>IFERROR(VLOOKUP(C14,'Chart of Accounts'!$A$4:$F$30,5,FALSE),"")</f>
        <v>PL</v>
      </c>
      <c r="G14" s="15">
        <v>34708.54062175595</v>
      </c>
      <c r="H14" s="15">
        <v>0</v>
      </c>
      <c r="I14" s="10">
        <f t="shared" si="0"/>
        <v>34708.54062175595</v>
      </c>
      <c r="J14" s="14" t="s">
        <v>145</v>
      </c>
      <c r="K14" s="14" t="s">
        <v>146</v>
      </c>
      <c r="L14" s="14" t="s">
        <v>140</v>
      </c>
      <c r="M14" s="8" t="str">
        <f t="shared" si="1"/>
        <v>2026-01</v>
      </c>
      <c r="N14" s="8" t="str">
        <f t="shared" si="2"/>
        <v>OK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>
      <c r="A15" s="14" t="s">
        <v>144</v>
      </c>
      <c r="B15" s="26">
        <v>46043</v>
      </c>
      <c r="C15" s="14" t="s">
        <v>63</v>
      </c>
      <c r="D15" s="27" t="str">
        <f>IFERROR(VLOOKUP(C15,'Chart of Accounts'!$A$4:$F$30,2,FALSE),"")</f>
        <v>Inventory</v>
      </c>
      <c r="E15" s="27" t="str">
        <f>IFERROR(VLOOKUP(C15,'Chart of Accounts'!$A$4:$F$30,4,FALSE),"")</f>
        <v>Inventory</v>
      </c>
      <c r="F15" s="27" t="str">
        <f>IFERROR(VLOOKUP(C15,'Chart of Accounts'!$A$4:$F$30,5,FALSE),"")</f>
        <v>BS</v>
      </c>
      <c r="G15" s="15">
        <v>0</v>
      </c>
      <c r="H15" s="15">
        <v>34708.54062175595</v>
      </c>
      <c r="I15" s="10">
        <f t="shared" si="0"/>
        <v>-34708.54062175595</v>
      </c>
      <c r="J15" s="14" t="s">
        <v>145</v>
      </c>
      <c r="K15" s="14" t="s">
        <v>146</v>
      </c>
      <c r="L15" s="14" t="s">
        <v>140</v>
      </c>
      <c r="M15" s="8" t="str">
        <f t="shared" si="1"/>
        <v>2026-01</v>
      </c>
      <c r="N15" s="8" t="str">
        <f t="shared" si="2"/>
        <v>OK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>
      <c r="A16" s="14" t="s">
        <v>147</v>
      </c>
      <c r="B16" s="26">
        <v>46025</v>
      </c>
      <c r="C16" s="14" t="s">
        <v>58</v>
      </c>
      <c r="D16" s="27" t="str">
        <f>IFERROR(VLOOKUP(C16,'Chart of Accounts'!$A$4:$F$30,2,FALSE),"")</f>
        <v>Trade Receivables</v>
      </c>
      <c r="E16" s="27" t="str">
        <f>IFERROR(VLOOKUP(C16,'Chart of Accounts'!$A$4:$F$30,4,FALSE),"")</f>
        <v>Trade Receivables</v>
      </c>
      <c r="F16" s="27" t="str">
        <f>IFERROR(VLOOKUP(C16,'Chart of Accounts'!$A$4:$F$30,5,FALSE),"")</f>
        <v>BS</v>
      </c>
      <c r="G16" s="15">
        <v>52894.647882827419</v>
      </c>
      <c r="H16" s="15">
        <v>0</v>
      </c>
      <c r="I16" s="10">
        <f t="shared" si="0"/>
        <v>52894.647882827419</v>
      </c>
      <c r="J16" s="14" t="s">
        <v>148</v>
      </c>
      <c r="K16" s="14" t="s">
        <v>149</v>
      </c>
      <c r="L16" s="14" t="s">
        <v>140</v>
      </c>
      <c r="M16" s="8" t="str">
        <f t="shared" si="1"/>
        <v>2026-01</v>
      </c>
      <c r="N16" s="8" t="str">
        <f t="shared" si="2"/>
        <v>OK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>
      <c r="A17" s="14" t="s">
        <v>147</v>
      </c>
      <c r="B17" s="26">
        <v>46025</v>
      </c>
      <c r="C17" s="14" t="s">
        <v>86</v>
      </c>
      <c r="D17" s="27" t="str">
        <f>IFERROR(VLOOKUP(C17,'Chart of Accounts'!$A$4:$F$30,2,FALSE),"")</f>
        <v>Product Sales</v>
      </c>
      <c r="E17" s="27" t="str">
        <f>IFERROR(VLOOKUP(C17,'Chart of Accounts'!$A$4:$F$30,4,FALSE),"")</f>
        <v>Revenue</v>
      </c>
      <c r="F17" s="27" t="str">
        <f>IFERROR(VLOOKUP(C17,'Chart of Accounts'!$A$4:$F$30,5,FALSE),"")</f>
        <v>PL</v>
      </c>
      <c r="G17" s="15">
        <v>0</v>
      </c>
      <c r="H17" s="15">
        <v>52894.647882827419</v>
      </c>
      <c r="I17" s="10">
        <f t="shared" si="0"/>
        <v>-52894.647882827419</v>
      </c>
      <c r="J17" s="14" t="s">
        <v>148</v>
      </c>
      <c r="K17" s="14" t="s">
        <v>149</v>
      </c>
      <c r="L17" s="14" t="s">
        <v>140</v>
      </c>
      <c r="M17" s="8" t="str">
        <f t="shared" si="1"/>
        <v>2026-01</v>
      </c>
      <c r="N17" s="8" t="str">
        <f t="shared" si="2"/>
        <v>OK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>
      <c r="A18" s="14" t="s">
        <v>147</v>
      </c>
      <c r="B18" s="26">
        <v>46025</v>
      </c>
      <c r="C18" s="14" t="s">
        <v>90</v>
      </c>
      <c r="D18" s="27" t="str">
        <f>IFERROR(VLOOKUP(C18,'Chart of Accounts'!$A$4:$F$30,2,FALSE),"")</f>
        <v>Cost of Goods Sold</v>
      </c>
      <c r="E18" s="27" t="str">
        <f>IFERROR(VLOOKUP(C18,'Chart of Accounts'!$A$4:$F$30,4,FALSE),"")</f>
        <v>COGS</v>
      </c>
      <c r="F18" s="27" t="str">
        <f>IFERROR(VLOOKUP(C18,'Chart of Accounts'!$A$4:$F$30,5,FALSE),"")</f>
        <v>PL</v>
      </c>
      <c r="G18" s="15">
        <v>29356.529574969216</v>
      </c>
      <c r="H18" s="15">
        <v>0</v>
      </c>
      <c r="I18" s="10">
        <f t="shared" si="0"/>
        <v>29356.529574969216</v>
      </c>
      <c r="J18" s="14" t="s">
        <v>148</v>
      </c>
      <c r="K18" s="14" t="s">
        <v>149</v>
      </c>
      <c r="L18" s="14" t="s">
        <v>140</v>
      </c>
      <c r="M18" s="8" t="str">
        <f t="shared" si="1"/>
        <v>2026-01</v>
      </c>
      <c r="N18" s="8" t="str">
        <f t="shared" si="2"/>
        <v>OK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>
      <c r="A19" s="14" t="s">
        <v>147</v>
      </c>
      <c r="B19" s="26">
        <v>46025</v>
      </c>
      <c r="C19" s="14" t="s">
        <v>63</v>
      </c>
      <c r="D19" s="27" t="str">
        <f>IFERROR(VLOOKUP(C19,'Chart of Accounts'!$A$4:$F$30,2,FALSE),"")</f>
        <v>Inventory</v>
      </c>
      <c r="E19" s="27" t="str">
        <f>IFERROR(VLOOKUP(C19,'Chart of Accounts'!$A$4:$F$30,4,FALSE),"")</f>
        <v>Inventory</v>
      </c>
      <c r="F19" s="27" t="str">
        <f>IFERROR(VLOOKUP(C19,'Chart of Accounts'!$A$4:$F$30,5,FALSE),"")</f>
        <v>BS</v>
      </c>
      <c r="G19" s="15">
        <v>0</v>
      </c>
      <c r="H19" s="15">
        <v>29356.529574969216</v>
      </c>
      <c r="I19" s="10">
        <f t="shared" si="0"/>
        <v>-29356.529574969216</v>
      </c>
      <c r="J19" s="14" t="s">
        <v>148</v>
      </c>
      <c r="K19" s="14" t="s">
        <v>149</v>
      </c>
      <c r="L19" s="14" t="s">
        <v>140</v>
      </c>
      <c r="M19" s="8" t="str">
        <f t="shared" si="1"/>
        <v>2026-01</v>
      </c>
      <c r="N19" s="8" t="str">
        <f t="shared" si="2"/>
        <v>OK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>
      <c r="A20" s="14" t="s">
        <v>150</v>
      </c>
      <c r="B20" s="26">
        <v>46031</v>
      </c>
      <c r="C20" s="14" t="s">
        <v>58</v>
      </c>
      <c r="D20" s="27" t="str">
        <f>IFERROR(VLOOKUP(C20,'Chart of Accounts'!$A$4:$F$30,2,FALSE),"")</f>
        <v>Trade Receivables</v>
      </c>
      <c r="E20" s="27" t="str">
        <f>IFERROR(VLOOKUP(C20,'Chart of Accounts'!$A$4:$F$30,4,FALSE),"")</f>
        <v>Trade Receivables</v>
      </c>
      <c r="F20" s="27" t="str">
        <f>IFERROR(VLOOKUP(C20,'Chart of Accounts'!$A$4:$F$30,5,FALSE),"")</f>
        <v>BS</v>
      </c>
      <c r="G20" s="15">
        <v>70380.988862565428</v>
      </c>
      <c r="H20" s="15">
        <v>0</v>
      </c>
      <c r="I20" s="10">
        <f t="shared" si="0"/>
        <v>70380.988862565428</v>
      </c>
      <c r="J20" s="14" t="s">
        <v>151</v>
      </c>
      <c r="K20" s="14" t="s">
        <v>152</v>
      </c>
      <c r="L20" s="14" t="s">
        <v>140</v>
      </c>
      <c r="M20" s="8" t="str">
        <f t="shared" si="1"/>
        <v>2026-01</v>
      </c>
      <c r="N20" s="8" t="str">
        <f t="shared" si="2"/>
        <v>OK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>
      <c r="A21" s="14" t="s">
        <v>150</v>
      </c>
      <c r="B21" s="26">
        <v>46031</v>
      </c>
      <c r="C21" s="14" t="s">
        <v>86</v>
      </c>
      <c r="D21" s="27" t="str">
        <f>IFERROR(VLOOKUP(C21,'Chart of Accounts'!$A$4:$F$30,2,FALSE),"")</f>
        <v>Product Sales</v>
      </c>
      <c r="E21" s="27" t="str">
        <f>IFERROR(VLOOKUP(C21,'Chart of Accounts'!$A$4:$F$30,4,FALSE),"")</f>
        <v>Revenue</v>
      </c>
      <c r="F21" s="27" t="str">
        <f>IFERROR(VLOOKUP(C21,'Chart of Accounts'!$A$4:$F$30,5,FALSE),"")</f>
        <v>PL</v>
      </c>
      <c r="G21" s="15">
        <v>0</v>
      </c>
      <c r="H21" s="15">
        <v>70380.988862565428</v>
      </c>
      <c r="I21" s="10">
        <f t="shared" si="0"/>
        <v>-70380.988862565428</v>
      </c>
      <c r="J21" s="14" t="s">
        <v>151</v>
      </c>
      <c r="K21" s="14" t="s">
        <v>152</v>
      </c>
      <c r="L21" s="14" t="s">
        <v>140</v>
      </c>
      <c r="M21" s="8" t="str">
        <f t="shared" si="1"/>
        <v>2026-01</v>
      </c>
      <c r="N21" s="8" t="str">
        <f t="shared" si="2"/>
        <v>OK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>
      <c r="A22" s="14" t="s">
        <v>150</v>
      </c>
      <c r="B22" s="26">
        <v>46031</v>
      </c>
      <c r="C22" s="14" t="s">
        <v>90</v>
      </c>
      <c r="D22" s="27" t="str">
        <f>IFERROR(VLOOKUP(C22,'Chart of Accounts'!$A$4:$F$30,2,FALSE),"")</f>
        <v>Cost of Goods Sold</v>
      </c>
      <c r="E22" s="27" t="str">
        <f>IFERROR(VLOOKUP(C22,'Chart of Accounts'!$A$4:$F$30,4,FALSE),"")</f>
        <v>COGS</v>
      </c>
      <c r="F22" s="27" t="str">
        <f>IFERROR(VLOOKUP(C22,'Chart of Accounts'!$A$4:$F$30,5,FALSE),"")</f>
        <v>PL</v>
      </c>
      <c r="G22" s="15">
        <v>39061.448818723809</v>
      </c>
      <c r="H22" s="15">
        <v>0</v>
      </c>
      <c r="I22" s="10">
        <f t="shared" si="0"/>
        <v>39061.448818723809</v>
      </c>
      <c r="J22" s="14" t="s">
        <v>151</v>
      </c>
      <c r="K22" s="14" t="s">
        <v>152</v>
      </c>
      <c r="L22" s="14" t="s">
        <v>140</v>
      </c>
      <c r="M22" s="8" t="str">
        <f t="shared" si="1"/>
        <v>2026-01</v>
      </c>
      <c r="N22" s="8" t="str">
        <f t="shared" si="2"/>
        <v>OK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>
      <c r="A23" s="14" t="s">
        <v>150</v>
      </c>
      <c r="B23" s="26">
        <v>46031</v>
      </c>
      <c r="C23" s="14" t="s">
        <v>63</v>
      </c>
      <c r="D23" s="27" t="str">
        <f>IFERROR(VLOOKUP(C23,'Chart of Accounts'!$A$4:$F$30,2,FALSE),"")</f>
        <v>Inventory</v>
      </c>
      <c r="E23" s="27" t="str">
        <f>IFERROR(VLOOKUP(C23,'Chart of Accounts'!$A$4:$F$30,4,FALSE),"")</f>
        <v>Inventory</v>
      </c>
      <c r="F23" s="27" t="str">
        <f>IFERROR(VLOOKUP(C23,'Chart of Accounts'!$A$4:$F$30,5,FALSE),"")</f>
        <v>BS</v>
      </c>
      <c r="G23" s="15">
        <v>0</v>
      </c>
      <c r="H23" s="15">
        <v>39061.448818723809</v>
      </c>
      <c r="I23" s="10">
        <f t="shared" si="0"/>
        <v>-39061.448818723809</v>
      </c>
      <c r="J23" s="14" t="s">
        <v>151</v>
      </c>
      <c r="K23" s="14" t="s">
        <v>152</v>
      </c>
      <c r="L23" s="14" t="s">
        <v>140</v>
      </c>
      <c r="M23" s="8" t="str">
        <f t="shared" si="1"/>
        <v>2026-01</v>
      </c>
      <c r="N23" s="8" t="str">
        <f t="shared" si="2"/>
        <v>OK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>
      <c r="A24" s="14" t="s">
        <v>153</v>
      </c>
      <c r="B24" s="26">
        <v>46039</v>
      </c>
      <c r="C24" s="14" t="s">
        <v>58</v>
      </c>
      <c r="D24" s="27" t="str">
        <f>IFERROR(VLOOKUP(C24,'Chart of Accounts'!$A$4:$F$30,2,FALSE),"")</f>
        <v>Trade Receivables</v>
      </c>
      <c r="E24" s="27" t="str">
        <f>IFERROR(VLOOKUP(C24,'Chart of Accounts'!$A$4:$F$30,4,FALSE),"")</f>
        <v>Trade Receivables</v>
      </c>
      <c r="F24" s="27" t="str">
        <f>IFERROR(VLOOKUP(C24,'Chart of Accounts'!$A$4:$F$30,5,FALSE),"")</f>
        <v>BS</v>
      </c>
      <c r="G24" s="15">
        <v>71703.164656757086</v>
      </c>
      <c r="H24" s="15">
        <v>0</v>
      </c>
      <c r="I24" s="10">
        <f t="shared" si="0"/>
        <v>71703.164656757086</v>
      </c>
      <c r="J24" s="14" t="s">
        <v>154</v>
      </c>
      <c r="K24" s="14" t="s">
        <v>155</v>
      </c>
      <c r="L24" s="14" t="s">
        <v>140</v>
      </c>
      <c r="M24" s="8" t="str">
        <f t="shared" si="1"/>
        <v>2026-01</v>
      </c>
      <c r="N24" s="8" t="str">
        <f t="shared" si="2"/>
        <v>OK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>
      <c r="A25" s="14" t="s">
        <v>153</v>
      </c>
      <c r="B25" s="26">
        <v>46039</v>
      </c>
      <c r="C25" s="14" t="s">
        <v>86</v>
      </c>
      <c r="D25" s="27" t="str">
        <f>IFERROR(VLOOKUP(C25,'Chart of Accounts'!$A$4:$F$30,2,FALSE),"")</f>
        <v>Product Sales</v>
      </c>
      <c r="E25" s="27" t="str">
        <f>IFERROR(VLOOKUP(C25,'Chart of Accounts'!$A$4:$F$30,4,FALSE),"")</f>
        <v>Revenue</v>
      </c>
      <c r="F25" s="27" t="str">
        <f>IFERROR(VLOOKUP(C25,'Chart of Accounts'!$A$4:$F$30,5,FALSE),"")</f>
        <v>PL</v>
      </c>
      <c r="G25" s="15">
        <v>0</v>
      </c>
      <c r="H25" s="15">
        <v>71703.164656757086</v>
      </c>
      <c r="I25" s="10">
        <f t="shared" si="0"/>
        <v>-71703.164656757086</v>
      </c>
      <c r="J25" s="14" t="s">
        <v>154</v>
      </c>
      <c r="K25" s="14" t="s">
        <v>155</v>
      </c>
      <c r="L25" s="14" t="s">
        <v>140</v>
      </c>
      <c r="M25" s="8" t="str">
        <f t="shared" si="1"/>
        <v>2026-01</v>
      </c>
      <c r="N25" s="8" t="str">
        <f t="shared" si="2"/>
        <v>OK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>
      <c r="A26" s="14" t="s">
        <v>153</v>
      </c>
      <c r="B26" s="26">
        <v>46039</v>
      </c>
      <c r="C26" s="14" t="s">
        <v>90</v>
      </c>
      <c r="D26" s="27" t="str">
        <f>IFERROR(VLOOKUP(C26,'Chart of Accounts'!$A$4:$F$30,2,FALSE),"")</f>
        <v>Cost of Goods Sold</v>
      </c>
      <c r="E26" s="27" t="str">
        <f>IFERROR(VLOOKUP(C26,'Chart of Accounts'!$A$4:$F$30,4,FALSE),"")</f>
        <v>COGS</v>
      </c>
      <c r="F26" s="27" t="str">
        <f>IFERROR(VLOOKUP(C26,'Chart of Accounts'!$A$4:$F$30,5,FALSE),"")</f>
        <v>PL</v>
      </c>
      <c r="G26" s="15">
        <v>39795.256384500179</v>
      </c>
      <c r="H26" s="15">
        <v>0</v>
      </c>
      <c r="I26" s="10">
        <f t="shared" si="0"/>
        <v>39795.256384500179</v>
      </c>
      <c r="J26" s="14" t="s">
        <v>154</v>
      </c>
      <c r="K26" s="14" t="s">
        <v>155</v>
      </c>
      <c r="L26" s="14" t="s">
        <v>140</v>
      </c>
      <c r="M26" s="8" t="str">
        <f t="shared" si="1"/>
        <v>2026-01</v>
      </c>
      <c r="N26" s="8" t="str">
        <f t="shared" si="2"/>
        <v>OK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>
      <c r="A27" s="14" t="s">
        <v>153</v>
      </c>
      <c r="B27" s="26">
        <v>46039</v>
      </c>
      <c r="C27" s="14" t="s">
        <v>63</v>
      </c>
      <c r="D27" s="27" t="str">
        <f>IFERROR(VLOOKUP(C27,'Chart of Accounts'!$A$4:$F$30,2,FALSE),"")</f>
        <v>Inventory</v>
      </c>
      <c r="E27" s="27" t="str">
        <f>IFERROR(VLOOKUP(C27,'Chart of Accounts'!$A$4:$F$30,4,FALSE),"")</f>
        <v>Inventory</v>
      </c>
      <c r="F27" s="27" t="str">
        <f>IFERROR(VLOOKUP(C27,'Chart of Accounts'!$A$4:$F$30,5,FALSE),"")</f>
        <v>BS</v>
      </c>
      <c r="G27" s="15">
        <v>0</v>
      </c>
      <c r="H27" s="15">
        <v>39795.256384500179</v>
      </c>
      <c r="I27" s="10">
        <f t="shared" si="0"/>
        <v>-39795.256384500179</v>
      </c>
      <c r="J27" s="14" t="s">
        <v>154</v>
      </c>
      <c r="K27" s="14" t="s">
        <v>155</v>
      </c>
      <c r="L27" s="14" t="s">
        <v>140</v>
      </c>
      <c r="M27" s="8" t="str">
        <f t="shared" si="1"/>
        <v>2026-01</v>
      </c>
      <c r="N27" s="8" t="str">
        <f t="shared" si="2"/>
        <v>OK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>
      <c r="A28" s="14" t="s">
        <v>156</v>
      </c>
      <c r="B28" s="26">
        <v>46031</v>
      </c>
      <c r="C28" s="14" t="s">
        <v>58</v>
      </c>
      <c r="D28" s="27" t="str">
        <f>IFERROR(VLOOKUP(C28,'Chart of Accounts'!$A$4:$F$30,2,FALSE),"")</f>
        <v>Trade Receivables</v>
      </c>
      <c r="E28" s="27" t="str">
        <f>IFERROR(VLOOKUP(C28,'Chart of Accounts'!$A$4:$F$30,4,FALSE),"")</f>
        <v>Trade Receivables</v>
      </c>
      <c r="F28" s="27" t="str">
        <f>IFERROR(VLOOKUP(C28,'Chart of Accounts'!$A$4:$F$30,5,FALSE),"")</f>
        <v>BS</v>
      </c>
      <c r="G28" s="15">
        <v>76424.222332736783</v>
      </c>
      <c r="H28" s="15">
        <v>0</v>
      </c>
      <c r="I28" s="10">
        <f t="shared" si="0"/>
        <v>76424.222332736783</v>
      </c>
      <c r="J28" s="14" t="s">
        <v>157</v>
      </c>
      <c r="K28" s="14" t="s">
        <v>158</v>
      </c>
      <c r="L28" s="14" t="s">
        <v>140</v>
      </c>
      <c r="M28" s="8" t="str">
        <f t="shared" si="1"/>
        <v>2026-01</v>
      </c>
      <c r="N28" s="8" t="str">
        <f t="shared" si="2"/>
        <v>OK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>
      <c r="A29" s="14" t="s">
        <v>156</v>
      </c>
      <c r="B29" s="26">
        <v>46031</v>
      </c>
      <c r="C29" s="14" t="s">
        <v>86</v>
      </c>
      <c r="D29" s="27" t="str">
        <f>IFERROR(VLOOKUP(C29,'Chart of Accounts'!$A$4:$F$30,2,FALSE),"")</f>
        <v>Product Sales</v>
      </c>
      <c r="E29" s="27" t="str">
        <f>IFERROR(VLOOKUP(C29,'Chart of Accounts'!$A$4:$F$30,4,FALSE),"")</f>
        <v>Revenue</v>
      </c>
      <c r="F29" s="27" t="str">
        <f>IFERROR(VLOOKUP(C29,'Chart of Accounts'!$A$4:$F$30,5,FALSE),"")</f>
        <v>PL</v>
      </c>
      <c r="G29" s="15">
        <v>0</v>
      </c>
      <c r="H29" s="15">
        <v>76424.222332736783</v>
      </c>
      <c r="I29" s="10">
        <f t="shared" si="0"/>
        <v>-76424.222332736783</v>
      </c>
      <c r="J29" s="14" t="s">
        <v>157</v>
      </c>
      <c r="K29" s="14" t="s">
        <v>158</v>
      </c>
      <c r="L29" s="14" t="s">
        <v>140</v>
      </c>
      <c r="M29" s="8" t="str">
        <f t="shared" si="1"/>
        <v>2026-01</v>
      </c>
      <c r="N29" s="8" t="str">
        <f t="shared" si="2"/>
        <v>OK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>
      <c r="A30" s="14" t="s">
        <v>156</v>
      </c>
      <c r="B30" s="26">
        <v>46031</v>
      </c>
      <c r="C30" s="14" t="s">
        <v>90</v>
      </c>
      <c r="D30" s="27" t="str">
        <f>IFERROR(VLOOKUP(C30,'Chart of Accounts'!$A$4:$F$30,2,FALSE),"")</f>
        <v>Cost of Goods Sold</v>
      </c>
      <c r="E30" s="27" t="str">
        <f>IFERROR(VLOOKUP(C30,'Chart of Accounts'!$A$4:$F$30,4,FALSE),"")</f>
        <v>COGS</v>
      </c>
      <c r="F30" s="27" t="str">
        <f>IFERROR(VLOOKUP(C30,'Chart of Accounts'!$A$4:$F$30,5,FALSE),"")</f>
        <v>PL</v>
      </c>
      <c r="G30" s="15">
        <v>42415.44339466891</v>
      </c>
      <c r="H30" s="15">
        <v>0</v>
      </c>
      <c r="I30" s="10">
        <f t="shared" si="0"/>
        <v>42415.44339466891</v>
      </c>
      <c r="J30" s="14" t="s">
        <v>157</v>
      </c>
      <c r="K30" s="14" t="s">
        <v>158</v>
      </c>
      <c r="L30" s="14" t="s">
        <v>140</v>
      </c>
      <c r="M30" s="8" t="str">
        <f t="shared" si="1"/>
        <v>2026-01</v>
      </c>
      <c r="N30" s="8" t="str">
        <f t="shared" si="2"/>
        <v>OK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>
      <c r="A31" s="14" t="s">
        <v>156</v>
      </c>
      <c r="B31" s="26">
        <v>46031</v>
      </c>
      <c r="C31" s="14" t="s">
        <v>63</v>
      </c>
      <c r="D31" s="27" t="str">
        <f>IFERROR(VLOOKUP(C31,'Chart of Accounts'!$A$4:$F$30,2,FALSE),"")</f>
        <v>Inventory</v>
      </c>
      <c r="E31" s="27" t="str">
        <f>IFERROR(VLOOKUP(C31,'Chart of Accounts'!$A$4:$F$30,4,FALSE),"")</f>
        <v>Inventory</v>
      </c>
      <c r="F31" s="27" t="str">
        <f>IFERROR(VLOOKUP(C31,'Chart of Accounts'!$A$4:$F$30,5,FALSE),"")</f>
        <v>BS</v>
      </c>
      <c r="G31" s="15">
        <v>0</v>
      </c>
      <c r="H31" s="15">
        <v>42415.44339466891</v>
      </c>
      <c r="I31" s="10">
        <f t="shared" si="0"/>
        <v>-42415.44339466891</v>
      </c>
      <c r="J31" s="14" t="s">
        <v>157</v>
      </c>
      <c r="K31" s="14" t="s">
        <v>158</v>
      </c>
      <c r="L31" s="14" t="s">
        <v>140</v>
      </c>
      <c r="M31" s="8" t="str">
        <f t="shared" si="1"/>
        <v>2026-01</v>
      </c>
      <c r="N31" s="8" t="str">
        <f t="shared" si="2"/>
        <v>OK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>
      <c r="A32" s="14" t="s">
        <v>159</v>
      </c>
      <c r="B32" s="26">
        <v>46034</v>
      </c>
      <c r="C32" s="14" t="s">
        <v>58</v>
      </c>
      <c r="D32" s="27" t="str">
        <f>IFERROR(VLOOKUP(C32,'Chart of Accounts'!$A$4:$F$30,2,FALSE),"")</f>
        <v>Trade Receivables</v>
      </c>
      <c r="E32" s="27" t="str">
        <f>IFERROR(VLOOKUP(C32,'Chart of Accounts'!$A$4:$F$30,4,FALSE),"")</f>
        <v>Trade Receivables</v>
      </c>
      <c r="F32" s="27" t="str">
        <f>IFERROR(VLOOKUP(C32,'Chart of Accounts'!$A$4:$F$30,5,FALSE),"")</f>
        <v>BS</v>
      </c>
      <c r="G32" s="15">
        <v>71284.589181015981</v>
      </c>
      <c r="H32" s="15">
        <v>0</v>
      </c>
      <c r="I32" s="10">
        <f t="shared" si="0"/>
        <v>71284.589181015981</v>
      </c>
      <c r="J32" s="14" t="s">
        <v>160</v>
      </c>
      <c r="K32" s="14" t="s">
        <v>161</v>
      </c>
      <c r="L32" s="14" t="s">
        <v>140</v>
      </c>
      <c r="M32" s="8" t="str">
        <f t="shared" si="1"/>
        <v>2026-01</v>
      </c>
      <c r="N32" s="8" t="str">
        <f t="shared" si="2"/>
        <v>OK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>
      <c r="A33" s="14" t="s">
        <v>159</v>
      </c>
      <c r="B33" s="26">
        <v>46034</v>
      </c>
      <c r="C33" s="14" t="s">
        <v>86</v>
      </c>
      <c r="D33" s="27" t="str">
        <f>IFERROR(VLOOKUP(C33,'Chart of Accounts'!$A$4:$F$30,2,FALSE),"")</f>
        <v>Product Sales</v>
      </c>
      <c r="E33" s="27" t="str">
        <f>IFERROR(VLOOKUP(C33,'Chart of Accounts'!$A$4:$F$30,4,FALSE),"")</f>
        <v>Revenue</v>
      </c>
      <c r="F33" s="27" t="str">
        <f>IFERROR(VLOOKUP(C33,'Chart of Accounts'!$A$4:$F$30,5,FALSE),"")</f>
        <v>PL</v>
      </c>
      <c r="G33" s="15">
        <v>0</v>
      </c>
      <c r="H33" s="15">
        <v>71284.589181015981</v>
      </c>
      <c r="I33" s="10">
        <f t="shared" si="0"/>
        <v>-71284.589181015981</v>
      </c>
      <c r="J33" s="14" t="s">
        <v>160</v>
      </c>
      <c r="K33" s="14" t="s">
        <v>161</v>
      </c>
      <c r="L33" s="14" t="s">
        <v>140</v>
      </c>
      <c r="M33" s="8" t="str">
        <f t="shared" si="1"/>
        <v>2026-01</v>
      </c>
      <c r="N33" s="8" t="str">
        <f t="shared" si="2"/>
        <v>OK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>
      <c r="A34" s="14" t="s">
        <v>159</v>
      </c>
      <c r="B34" s="26">
        <v>46034</v>
      </c>
      <c r="C34" s="14" t="s">
        <v>90</v>
      </c>
      <c r="D34" s="27" t="str">
        <f>IFERROR(VLOOKUP(C34,'Chart of Accounts'!$A$4:$F$30,2,FALSE),"")</f>
        <v>Cost of Goods Sold</v>
      </c>
      <c r="E34" s="27" t="str">
        <f>IFERROR(VLOOKUP(C34,'Chart of Accounts'!$A$4:$F$30,4,FALSE),"")</f>
        <v>COGS</v>
      </c>
      <c r="F34" s="27" t="str">
        <f>IFERROR(VLOOKUP(C34,'Chart of Accounts'!$A$4:$F$30,5,FALSE),"")</f>
        <v>PL</v>
      </c>
      <c r="G34" s="15">
        <v>39562.94699546387</v>
      </c>
      <c r="H34" s="15">
        <v>0</v>
      </c>
      <c r="I34" s="10">
        <f t="shared" si="0"/>
        <v>39562.94699546387</v>
      </c>
      <c r="J34" s="14" t="s">
        <v>160</v>
      </c>
      <c r="K34" s="14" t="s">
        <v>161</v>
      </c>
      <c r="L34" s="14" t="s">
        <v>140</v>
      </c>
      <c r="M34" s="8" t="str">
        <f t="shared" si="1"/>
        <v>2026-01</v>
      </c>
      <c r="N34" s="8" t="str">
        <f t="shared" si="2"/>
        <v>OK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>
      <c r="A35" s="14" t="s">
        <v>159</v>
      </c>
      <c r="B35" s="26">
        <v>46034</v>
      </c>
      <c r="C35" s="14" t="s">
        <v>63</v>
      </c>
      <c r="D35" s="27" t="str">
        <f>IFERROR(VLOOKUP(C35,'Chart of Accounts'!$A$4:$F$30,2,FALSE),"")</f>
        <v>Inventory</v>
      </c>
      <c r="E35" s="27" t="str">
        <f>IFERROR(VLOOKUP(C35,'Chart of Accounts'!$A$4:$F$30,4,FALSE),"")</f>
        <v>Inventory</v>
      </c>
      <c r="F35" s="27" t="str">
        <f>IFERROR(VLOOKUP(C35,'Chart of Accounts'!$A$4:$F$30,5,FALSE),"")</f>
        <v>BS</v>
      </c>
      <c r="G35" s="15">
        <v>0</v>
      </c>
      <c r="H35" s="15">
        <v>39562.94699546387</v>
      </c>
      <c r="I35" s="10">
        <f t="shared" si="0"/>
        <v>-39562.94699546387</v>
      </c>
      <c r="J35" s="14" t="s">
        <v>160</v>
      </c>
      <c r="K35" s="14" t="s">
        <v>161</v>
      </c>
      <c r="L35" s="14" t="s">
        <v>140</v>
      </c>
      <c r="M35" s="8" t="str">
        <f t="shared" si="1"/>
        <v>2026-01</v>
      </c>
      <c r="N35" s="8" t="str">
        <f t="shared" si="2"/>
        <v>OK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>
      <c r="A36" s="14" t="s">
        <v>162</v>
      </c>
      <c r="B36" s="26">
        <v>46034</v>
      </c>
      <c r="C36" s="14" t="s">
        <v>58</v>
      </c>
      <c r="D36" s="27" t="str">
        <f>IFERROR(VLOOKUP(C36,'Chart of Accounts'!$A$4:$F$30,2,FALSE),"")</f>
        <v>Trade Receivables</v>
      </c>
      <c r="E36" s="27" t="str">
        <f>IFERROR(VLOOKUP(C36,'Chart of Accounts'!$A$4:$F$30,4,FALSE),"")</f>
        <v>Trade Receivables</v>
      </c>
      <c r="F36" s="27" t="str">
        <f>IFERROR(VLOOKUP(C36,'Chart of Accounts'!$A$4:$F$30,5,FALSE),"")</f>
        <v>BS</v>
      </c>
      <c r="G36" s="15">
        <v>48328.945413524983</v>
      </c>
      <c r="H36" s="15">
        <v>0</v>
      </c>
      <c r="I36" s="10">
        <f t="shared" si="0"/>
        <v>48328.945413524983</v>
      </c>
      <c r="J36" s="14" t="s">
        <v>163</v>
      </c>
      <c r="K36" s="14" t="s">
        <v>164</v>
      </c>
      <c r="L36" s="14" t="s">
        <v>140</v>
      </c>
      <c r="M36" s="8" t="str">
        <f t="shared" si="1"/>
        <v>2026-01</v>
      </c>
      <c r="N36" s="8" t="str">
        <f t="shared" si="2"/>
        <v>OK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>
      <c r="A37" s="14" t="s">
        <v>162</v>
      </c>
      <c r="B37" s="26">
        <v>46034</v>
      </c>
      <c r="C37" s="14" t="s">
        <v>86</v>
      </c>
      <c r="D37" s="27" t="str">
        <f>IFERROR(VLOOKUP(C37,'Chart of Accounts'!$A$4:$F$30,2,FALSE),"")</f>
        <v>Product Sales</v>
      </c>
      <c r="E37" s="27" t="str">
        <f>IFERROR(VLOOKUP(C37,'Chart of Accounts'!$A$4:$F$30,4,FALSE),"")</f>
        <v>Revenue</v>
      </c>
      <c r="F37" s="27" t="str">
        <f>IFERROR(VLOOKUP(C37,'Chart of Accounts'!$A$4:$F$30,5,FALSE),"")</f>
        <v>PL</v>
      </c>
      <c r="G37" s="15">
        <v>0</v>
      </c>
      <c r="H37" s="15">
        <v>48328.945413524983</v>
      </c>
      <c r="I37" s="10">
        <f t="shared" si="0"/>
        <v>-48328.945413524983</v>
      </c>
      <c r="J37" s="14" t="s">
        <v>163</v>
      </c>
      <c r="K37" s="14" t="s">
        <v>164</v>
      </c>
      <c r="L37" s="14" t="s">
        <v>140</v>
      </c>
      <c r="M37" s="8" t="str">
        <f t="shared" si="1"/>
        <v>2026-01</v>
      </c>
      <c r="N37" s="8" t="str">
        <f t="shared" si="2"/>
        <v>OK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>
      <c r="A38" s="14" t="s">
        <v>162</v>
      </c>
      <c r="B38" s="26">
        <v>46034</v>
      </c>
      <c r="C38" s="14" t="s">
        <v>90</v>
      </c>
      <c r="D38" s="27" t="str">
        <f>IFERROR(VLOOKUP(C38,'Chart of Accounts'!$A$4:$F$30,2,FALSE),"")</f>
        <v>Cost of Goods Sold</v>
      </c>
      <c r="E38" s="27" t="str">
        <f>IFERROR(VLOOKUP(C38,'Chart of Accounts'!$A$4:$F$30,4,FALSE),"")</f>
        <v>COGS</v>
      </c>
      <c r="F38" s="27" t="str">
        <f>IFERROR(VLOOKUP(C38,'Chart of Accounts'!$A$4:$F$30,5,FALSE),"")</f>
        <v>PL</v>
      </c>
      <c r="G38" s="15">
        <v>26822.564704506363</v>
      </c>
      <c r="H38" s="15">
        <v>0</v>
      </c>
      <c r="I38" s="10">
        <f t="shared" si="0"/>
        <v>26822.564704506363</v>
      </c>
      <c r="J38" s="14" t="s">
        <v>163</v>
      </c>
      <c r="K38" s="14" t="s">
        <v>164</v>
      </c>
      <c r="L38" s="14" t="s">
        <v>140</v>
      </c>
      <c r="M38" s="8" t="str">
        <f t="shared" si="1"/>
        <v>2026-01</v>
      </c>
      <c r="N38" s="8" t="str">
        <f t="shared" si="2"/>
        <v>OK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>
      <c r="A39" s="14" t="s">
        <v>162</v>
      </c>
      <c r="B39" s="26">
        <v>46034</v>
      </c>
      <c r="C39" s="14" t="s">
        <v>63</v>
      </c>
      <c r="D39" s="27" t="str">
        <f>IFERROR(VLOOKUP(C39,'Chart of Accounts'!$A$4:$F$30,2,FALSE),"")</f>
        <v>Inventory</v>
      </c>
      <c r="E39" s="27" t="str">
        <f>IFERROR(VLOOKUP(C39,'Chart of Accounts'!$A$4:$F$30,4,FALSE),"")</f>
        <v>Inventory</v>
      </c>
      <c r="F39" s="27" t="str">
        <f>IFERROR(VLOOKUP(C39,'Chart of Accounts'!$A$4:$F$30,5,FALSE),"")</f>
        <v>BS</v>
      </c>
      <c r="G39" s="15">
        <v>0</v>
      </c>
      <c r="H39" s="15">
        <v>26822.564704506363</v>
      </c>
      <c r="I39" s="10">
        <f t="shared" si="0"/>
        <v>-26822.564704506363</v>
      </c>
      <c r="J39" s="14" t="s">
        <v>163</v>
      </c>
      <c r="K39" s="14" t="s">
        <v>164</v>
      </c>
      <c r="L39" s="14" t="s">
        <v>140</v>
      </c>
      <c r="M39" s="8" t="str">
        <f t="shared" si="1"/>
        <v>2026-01</v>
      </c>
      <c r="N39" s="8" t="str">
        <f t="shared" si="2"/>
        <v>OK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>
      <c r="A40" s="14" t="s">
        <v>165</v>
      </c>
      <c r="B40" s="26">
        <v>46032</v>
      </c>
      <c r="C40" s="14" t="s">
        <v>58</v>
      </c>
      <c r="D40" s="27" t="str">
        <f>IFERROR(VLOOKUP(C40,'Chart of Accounts'!$A$4:$F$30,2,FALSE),"")</f>
        <v>Trade Receivables</v>
      </c>
      <c r="E40" s="27" t="str">
        <f>IFERROR(VLOOKUP(C40,'Chart of Accounts'!$A$4:$F$30,4,FALSE),"")</f>
        <v>Trade Receivables</v>
      </c>
      <c r="F40" s="27" t="str">
        <f>IFERROR(VLOOKUP(C40,'Chart of Accounts'!$A$4:$F$30,5,FALSE),"")</f>
        <v>BS</v>
      </c>
      <c r="G40" s="15">
        <v>78600.971890906629</v>
      </c>
      <c r="H40" s="15">
        <v>0</v>
      </c>
      <c r="I40" s="10">
        <f t="shared" si="0"/>
        <v>78600.971890906629</v>
      </c>
      <c r="J40" s="14" t="s">
        <v>166</v>
      </c>
      <c r="K40" s="14" t="s">
        <v>167</v>
      </c>
      <c r="L40" s="14" t="s">
        <v>140</v>
      </c>
      <c r="M40" s="8" t="str">
        <f t="shared" si="1"/>
        <v>2026-01</v>
      </c>
      <c r="N40" s="8" t="str">
        <f t="shared" si="2"/>
        <v>OK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>
      <c r="A41" s="14" t="s">
        <v>165</v>
      </c>
      <c r="B41" s="26">
        <v>46032</v>
      </c>
      <c r="C41" s="14" t="s">
        <v>86</v>
      </c>
      <c r="D41" s="27" t="str">
        <f>IFERROR(VLOOKUP(C41,'Chart of Accounts'!$A$4:$F$30,2,FALSE),"")</f>
        <v>Product Sales</v>
      </c>
      <c r="E41" s="27" t="str">
        <f>IFERROR(VLOOKUP(C41,'Chart of Accounts'!$A$4:$F$30,4,FALSE),"")</f>
        <v>Revenue</v>
      </c>
      <c r="F41" s="27" t="str">
        <f>IFERROR(VLOOKUP(C41,'Chart of Accounts'!$A$4:$F$30,5,FALSE),"")</f>
        <v>PL</v>
      </c>
      <c r="G41" s="15">
        <v>0</v>
      </c>
      <c r="H41" s="15">
        <v>78600.971890906629</v>
      </c>
      <c r="I41" s="10">
        <f t="shared" si="0"/>
        <v>-78600.971890906629</v>
      </c>
      <c r="J41" s="14" t="s">
        <v>166</v>
      </c>
      <c r="K41" s="14" t="s">
        <v>167</v>
      </c>
      <c r="L41" s="14" t="s">
        <v>140</v>
      </c>
      <c r="M41" s="8" t="str">
        <f t="shared" si="1"/>
        <v>2026-01</v>
      </c>
      <c r="N41" s="8" t="str">
        <f t="shared" si="2"/>
        <v>OK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>
      <c r="A42" s="14" t="s">
        <v>165</v>
      </c>
      <c r="B42" s="26">
        <v>46032</v>
      </c>
      <c r="C42" s="14" t="s">
        <v>90</v>
      </c>
      <c r="D42" s="27" t="str">
        <f>IFERROR(VLOOKUP(C42,'Chart of Accounts'!$A$4:$F$30,2,FALSE),"")</f>
        <v>Cost of Goods Sold</v>
      </c>
      <c r="E42" s="27" t="str">
        <f>IFERROR(VLOOKUP(C42,'Chart of Accounts'!$A$4:$F$30,4,FALSE),"")</f>
        <v>COGS</v>
      </c>
      <c r="F42" s="27" t="str">
        <f>IFERROR(VLOOKUP(C42,'Chart of Accounts'!$A$4:$F$30,5,FALSE),"")</f>
        <v>PL</v>
      </c>
      <c r="G42" s="15">
        <v>43623.53939945317</v>
      </c>
      <c r="H42" s="15">
        <v>0</v>
      </c>
      <c r="I42" s="10">
        <f t="shared" si="0"/>
        <v>43623.53939945317</v>
      </c>
      <c r="J42" s="14" t="s">
        <v>166</v>
      </c>
      <c r="K42" s="14" t="s">
        <v>167</v>
      </c>
      <c r="L42" s="14" t="s">
        <v>140</v>
      </c>
      <c r="M42" s="8" t="str">
        <f t="shared" si="1"/>
        <v>2026-01</v>
      </c>
      <c r="N42" s="8" t="str">
        <f t="shared" si="2"/>
        <v>OK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>
      <c r="A43" s="14" t="s">
        <v>165</v>
      </c>
      <c r="B43" s="26">
        <v>46032</v>
      </c>
      <c r="C43" s="14" t="s">
        <v>63</v>
      </c>
      <c r="D43" s="27" t="str">
        <f>IFERROR(VLOOKUP(C43,'Chart of Accounts'!$A$4:$F$30,2,FALSE),"")</f>
        <v>Inventory</v>
      </c>
      <c r="E43" s="27" t="str">
        <f>IFERROR(VLOOKUP(C43,'Chart of Accounts'!$A$4:$F$30,4,FALSE),"")</f>
        <v>Inventory</v>
      </c>
      <c r="F43" s="27" t="str">
        <f>IFERROR(VLOOKUP(C43,'Chart of Accounts'!$A$4:$F$30,5,FALSE),"")</f>
        <v>BS</v>
      </c>
      <c r="G43" s="15">
        <v>0</v>
      </c>
      <c r="H43" s="15">
        <v>43623.53939945317</v>
      </c>
      <c r="I43" s="10">
        <f t="shared" si="0"/>
        <v>-43623.53939945317</v>
      </c>
      <c r="J43" s="14" t="s">
        <v>166</v>
      </c>
      <c r="K43" s="14" t="s">
        <v>167</v>
      </c>
      <c r="L43" s="14" t="s">
        <v>140</v>
      </c>
      <c r="M43" s="8" t="str">
        <f t="shared" si="1"/>
        <v>2026-01</v>
      </c>
      <c r="N43" s="8" t="str">
        <f t="shared" si="2"/>
        <v>OK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>
      <c r="A44" s="14" t="s">
        <v>168</v>
      </c>
      <c r="B44" s="26">
        <v>46040</v>
      </c>
      <c r="C44" s="14" t="s">
        <v>58</v>
      </c>
      <c r="D44" s="27" t="str">
        <f>IFERROR(VLOOKUP(C44,'Chart of Accounts'!$A$4:$F$30,2,FALSE),"")</f>
        <v>Trade Receivables</v>
      </c>
      <c r="E44" s="27" t="str">
        <f>IFERROR(VLOOKUP(C44,'Chart of Accounts'!$A$4:$F$30,4,FALSE),"")</f>
        <v>Trade Receivables</v>
      </c>
      <c r="F44" s="27" t="str">
        <f>IFERROR(VLOOKUP(C44,'Chart of Accounts'!$A$4:$F$30,5,FALSE),"")</f>
        <v>BS</v>
      </c>
      <c r="G44" s="15">
        <v>64408.184546923527</v>
      </c>
      <c r="H44" s="15">
        <v>0</v>
      </c>
      <c r="I44" s="10">
        <f t="shared" si="0"/>
        <v>64408.184546923527</v>
      </c>
      <c r="J44" s="14" t="s">
        <v>169</v>
      </c>
      <c r="K44" s="14" t="s">
        <v>139</v>
      </c>
      <c r="L44" s="14" t="s">
        <v>140</v>
      </c>
      <c r="M44" s="8" t="str">
        <f t="shared" si="1"/>
        <v>2026-01</v>
      </c>
      <c r="N44" s="8" t="str">
        <f t="shared" si="2"/>
        <v>OK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>
      <c r="A45" s="14" t="s">
        <v>168</v>
      </c>
      <c r="B45" s="26">
        <v>46040</v>
      </c>
      <c r="C45" s="14" t="s">
        <v>86</v>
      </c>
      <c r="D45" s="27" t="str">
        <f>IFERROR(VLOOKUP(C45,'Chart of Accounts'!$A$4:$F$30,2,FALSE),"")</f>
        <v>Product Sales</v>
      </c>
      <c r="E45" s="27" t="str">
        <f>IFERROR(VLOOKUP(C45,'Chart of Accounts'!$A$4:$F$30,4,FALSE),"")</f>
        <v>Revenue</v>
      </c>
      <c r="F45" s="27" t="str">
        <f>IFERROR(VLOOKUP(C45,'Chart of Accounts'!$A$4:$F$30,5,FALSE),"")</f>
        <v>PL</v>
      </c>
      <c r="G45" s="15">
        <v>0</v>
      </c>
      <c r="H45" s="15">
        <v>64408.184546923527</v>
      </c>
      <c r="I45" s="10">
        <f t="shared" si="0"/>
        <v>-64408.184546923527</v>
      </c>
      <c r="J45" s="14" t="s">
        <v>169</v>
      </c>
      <c r="K45" s="14" t="s">
        <v>139</v>
      </c>
      <c r="L45" s="14" t="s">
        <v>140</v>
      </c>
      <c r="M45" s="8" t="str">
        <f t="shared" si="1"/>
        <v>2026-01</v>
      </c>
      <c r="N45" s="8" t="str">
        <f t="shared" si="2"/>
        <v>OK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>
      <c r="A46" s="14" t="s">
        <v>168</v>
      </c>
      <c r="B46" s="26">
        <v>46040</v>
      </c>
      <c r="C46" s="14" t="s">
        <v>90</v>
      </c>
      <c r="D46" s="27" t="str">
        <f>IFERROR(VLOOKUP(C46,'Chart of Accounts'!$A$4:$F$30,2,FALSE),"")</f>
        <v>Cost of Goods Sold</v>
      </c>
      <c r="E46" s="27" t="str">
        <f>IFERROR(VLOOKUP(C46,'Chart of Accounts'!$A$4:$F$30,4,FALSE),"")</f>
        <v>COGS</v>
      </c>
      <c r="F46" s="27" t="str">
        <f>IFERROR(VLOOKUP(C46,'Chart of Accounts'!$A$4:$F$30,5,FALSE),"")</f>
        <v>PL</v>
      </c>
      <c r="G46" s="15">
        <v>35746.542423542553</v>
      </c>
      <c r="H46" s="15">
        <v>0</v>
      </c>
      <c r="I46" s="10">
        <f t="shared" si="0"/>
        <v>35746.542423542553</v>
      </c>
      <c r="J46" s="14" t="s">
        <v>169</v>
      </c>
      <c r="K46" s="14" t="s">
        <v>139</v>
      </c>
      <c r="L46" s="14" t="s">
        <v>140</v>
      </c>
      <c r="M46" s="8" t="str">
        <f t="shared" si="1"/>
        <v>2026-01</v>
      </c>
      <c r="N46" s="8" t="str">
        <f t="shared" si="2"/>
        <v>OK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>
      <c r="A47" s="14" t="s">
        <v>168</v>
      </c>
      <c r="B47" s="26">
        <v>46040</v>
      </c>
      <c r="C47" s="14" t="s">
        <v>63</v>
      </c>
      <c r="D47" s="27" t="str">
        <f>IFERROR(VLOOKUP(C47,'Chart of Accounts'!$A$4:$F$30,2,FALSE),"")</f>
        <v>Inventory</v>
      </c>
      <c r="E47" s="27" t="str">
        <f>IFERROR(VLOOKUP(C47,'Chart of Accounts'!$A$4:$F$30,4,FALSE),"")</f>
        <v>Inventory</v>
      </c>
      <c r="F47" s="27" t="str">
        <f>IFERROR(VLOOKUP(C47,'Chart of Accounts'!$A$4:$F$30,5,FALSE),"")</f>
        <v>BS</v>
      </c>
      <c r="G47" s="15">
        <v>0</v>
      </c>
      <c r="H47" s="15">
        <v>35746.542423542553</v>
      </c>
      <c r="I47" s="10">
        <f t="shared" si="0"/>
        <v>-35746.542423542553</v>
      </c>
      <c r="J47" s="14" t="s">
        <v>169</v>
      </c>
      <c r="K47" s="14" t="s">
        <v>139</v>
      </c>
      <c r="L47" s="14" t="s">
        <v>140</v>
      </c>
      <c r="M47" s="8" t="str">
        <f t="shared" si="1"/>
        <v>2026-01</v>
      </c>
      <c r="N47" s="8" t="str">
        <f t="shared" si="2"/>
        <v>OK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>
      <c r="A48" s="14" t="s">
        <v>170</v>
      </c>
      <c r="B48" s="26">
        <v>46046</v>
      </c>
      <c r="C48" s="14" t="s">
        <v>58</v>
      </c>
      <c r="D48" s="27" t="str">
        <f>IFERROR(VLOOKUP(C48,'Chart of Accounts'!$A$4:$F$30,2,FALSE),"")</f>
        <v>Trade Receivables</v>
      </c>
      <c r="E48" s="27" t="str">
        <f>IFERROR(VLOOKUP(C48,'Chart of Accounts'!$A$4:$F$30,4,FALSE),"")</f>
        <v>Trade Receivables</v>
      </c>
      <c r="F48" s="27" t="str">
        <f>IFERROR(VLOOKUP(C48,'Chart of Accounts'!$A$4:$F$30,5,FALSE),"")</f>
        <v>BS</v>
      </c>
      <c r="G48" s="15">
        <v>84926.990849755937</v>
      </c>
      <c r="H48" s="15">
        <v>0</v>
      </c>
      <c r="I48" s="10">
        <f t="shared" si="0"/>
        <v>84926.990849755937</v>
      </c>
      <c r="J48" s="14" t="s">
        <v>171</v>
      </c>
      <c r="K48" s="14" t="s">
        <v>172</v>
      </c>
      <c r="L48" s="14" t="s">
        <v>140</v>
      </c>
      <c r="M48" s="8" t="str">
        <f t="shared" si="1"/>
        <v>2026-01</v>
      </c>
      <c r="N48" s="8" t="str">
        <f t="shared" si="2"/>
        <v>OK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>
      <c r="A49" s="14" t="s">
        <v>170</v>
      </c>
      <c r="B49" s="26">
        <v>46046</v>
      </c>
      <c r="C49" s="14" t="s">
        <v>86</v>
      </c>
      <c r="D49" s="27" t="str">
        <f>IFERROR(VLOOKUP(C49,'Chart of Accounts'!$A$4:$F$30,2,FALSE),"")</f>
        <v>Product Sales</v>
      </c>
      <c r="E49" s="27" t="str">
        <f>IFERROR(VLOOKUP(C49,'Chart of Accounts'!$A$4:$F$30,4,FALSE),"")</f>
        <v>Revenue</v>
      </c>
      <c r="F49" s="27" t="str">
        <f>IFERROR(VLOOKUP(C49,'Chart of Accounts'!$A$4:$F$30,5,FALSE),"")</f>
        <v>PL</v>
      </c>
      <c r="G49" s="15">
        <v>0</v>
      </c>
      <c r="H49" s="15">
        <v>84926.990849755937</v>
      </c>
      <c r="I49" s="10">
        <f t="shared" si="0"/>
        <v>-84926.990849755937</v>
      </c>
      <c r="J49" s="14" t="s">
        <v>171</v>
      </c>
      <c r="K49" s="14" t="s">
        <v>172</v>
      </c>
      <c r="L49" s="14" t="s">
        <v>140</v>
      </c>
      <c r="M49" s="8" t="str">
        <f t="shared" si="1"/>
        <v>2026-01</v>
      </c>
      <c r="N49" s="8" t="str">
        <f t="shared" si="2"/>
        <v>OK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>
      <c r="A50" s="14" t="s">
        <v>170</v>
      </c>
      <c r="B50" s="26">
        <v>46046</v>
      </c>
      <c r="C50" s="14" t="s">
        <v>90</v>
      </c>
      <c r="D50" s="27" t="str">
        <f>IFERROR(VLOOKUP(C50,'Chart of Accounts'!$A$4:$F$30,2,FALSE),"")</f>
        <v>Cost of Goods Sold</v>
      </c>
      <c r="E50" s="27" t="str">
        <f>IFERROR(VLOOKUP(C50,'Chart of Accounts'!$A$4:$F$30,4,FALSE),"")</f>
        <v>COGS</v>
      </c>
      <c r="F50" s="27" t="str">
        <f>IFERROR(VLOOKUP(C50,'Chart of Accounts'!$A$4:$F$30,5,FALSE),"")</f>
        <v>PL</v>
      </c>
      <c r="G50" s="15">
        <v>47134.47992161454</v>
      </c>
      <c r="H50" s="15">
        <v>0</v>
      </c>
      <c r="I50" s="10">
        <f t="shared" si="0"/>
        <v>47134.47992161454</v>
      </c>
      <c r="J50" s="14" t="s">
        <v>171</v>
      </c>
      <c r="K50" s="14" t="s">
        <v>172</v>
      </c>
      <c r="L50" s="14" t="s">
        <v>140</v>
      </c>
      <c r="M50" s="8" t="str">
        <f t="shared" si="1"/>
        <v>2026-01</v>
      </c>
      <c r="N50" s="8" t="str">
        <f t="shared" si="2"/>
        <v>OK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>
      <c r="A51" s="14" t="s">
        <v>170</v>
      </c>
      <c r="B51" s="26">
        <v>46046</v>
      </c>
      <c r="C51" s="14" t="s">
        <v>63</v>
      </c>
      <c r="D51" s="27" t="str">
        <f>IFERROR(VLOOKUP(C51,'Chart of Accounts'!$A$4:$F$30,2,FALSE),"")</f>
        <v>Inventory</v>
      </c>
      <c r="E51" s="27" t="str">
        <f>IFERROR(VLOOKUP(C51,'Chart of Accounts'!$A$4:$F$30,4,FALSE),"")</f>
        <v>Inventory</v>
      </c>
      <c r="F51" s="27" t="str">
        <f>IFERROR(VLOOKUP(C51,'Chart of Accounts'!$A$4:$F$30,5,FALSE),"")</f>
        <v>BS</v>
      </c>
      <c r="G51" s="15">
        <v>0</v>
      </c>
      <c r="H51" s="15">
        <v>47134.47992161454</v>
      </c>
      <c r="I51" s="10">
        <f t="shared" si="0"/>
        <v>-47134.47992161454</v>
      </c>
      <c r="J51" s="14" t="s">
        <v>171</v>
      </c>
      <c r="K51" s="14" t="s">
        <v>172</v>
      </c>
      <c r="L51" s="14" t="s">
        <v>140</v>
      </c>
      <c r="M51" s="8" t="str">
        <f t="shared" si="1"/>
        <v>2026-01</v>
      </c>
      <c r="N51" s="8" t="str">
        <f t="shared" si="2"/>
        <v>OK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>
      <c r="A52" s="14" t="s">
        <v>173</v>
      </c>
      <c r="B52" s="26">
        <v>46049</v>
      </c>
      <c r="C52" s="14" t="s">
        <v>52</v>
      </c>
      <c r="D52" s="27" t="str">
        <f>IFERROR(VLOOKUP(C52,'Chart of Accounts'!$A$4:$F$30,2,FALSE),"")</f>
        <v>Bank</v>
      </c>
      <c r="E52" s="27" t="str">
        <f>IFERROR(VLOOKUP(C52,'Chart of Accounts'!$A$4:$F$30,4,FALSE),"")</f>
        <v>Cash</v>
      </c>
      <c r="F52" s="27" t="str">
        <f>IFERROR(VLOOKUP(C52,'Chart of Accounts'!$A$4:$F$30,5,FALSE),"")</f>
        <v>BS</v>
      </c>
      <c r="G52" s="15">
        <v>108300.37284117821</v>
      </c>
      <c r="H52" s="15">
        <v>0</v>
      </c>
      <c r="I52" s="10">
        <f t="shared" si="0"/>
        <v>108300.37284117821</v>
      </c>
      <c r="J52" s="14" t="s">
        <v>174</v>
      </c>
      <c r="K52" s="14" t="s">
        <v>175</v>
      </c>
      <c r="L52" s="14" t="s">
        <v>176</v>
      </c>
      <c r="M52" s="8" t="str">
        <f t="shared" si="1"/>
        <v>2026-01</v>
      </c>
      <c r="N52" s="8" t="str">
        <f t="shared" si="2"/>
        <v>OK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>
      <c r="A53" s="14" t="s">
        <v>173</v>
      </c>
      <c r="B53" s="26">
        <v>46049</v>
      </c>
      <c r="C53" s="14" t="s">
        <v>58</v>
      </c>
      <c r="D53" s="27" t="str">
        <f>IFERROR(VLOOKUP(C53,'Chart of Accounts'!$A$4:$F$30,2,FALSE),"")</f>
        <v>Trade Receivables</v>
      </c>
      <c r="E53" s="27" t="str">
        <f>IFERROR(VLOOKUP(C53,'Chart of Accounts'!$A$4:$F$30,4,FALSE),"")</f>
        <v>Trade Receivables</v>
      </c>
      <c r="F53" s="27" t="str">
        <f>IFERROR(VLOOKUP(C53,'Chart of Accounts'!$A$4:$F$30,5,FALSE),"")</f>
        <v>BS</v>
      </c>
      <c r="G53" s="15">
        <v>0</v>
      </c>
      <c r="H53" s="15">
        <v>108300.37284117821</v>
      </c>
      <c r="I53" s="10">
        <f t="shared" si="0"/>
        <v>-108300.37284117821</v>
      </c>
      <c r="J53" s="14" t="s">
        <v>174</v>
      </c>
      <c r="K53" s="14" t="s">
        <v>175</v>
      </c>
      <c r="L53" s="14" t="s">
        <v>176</v>
      </c>
      <c r="M53" s="8" t="str">
        <f t="shared" si="1"/>
        <v>2026-01</v>
      </c>
      <c r="N53" s="8" t="str">
        <f t="shared" si="2"/>
        <v>OK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>
      <c r="A54" s="14" t="s">
        <v>177</v>
      </c>
      <c r="B54" s="26">
        <v>46036</v>
      </c>
      <c r="C54" s="14" t="s">
        <v>52</v>
      </c>
      <c r="D54" s="27" t="str">
        <f>IFERROR(VLOOKUP(C54,'Chart of Accounts'!$A$4:$F$30,2,FALSE),"")</f>
        <v>Bank</v>
      </c>
      <c r="E54" s="27" t="str">
        <f>IFERROR(VLOOKUP(C54,'Chart of Accounts'!$A$4:$F$30,4,FALSE),"")</f>
        <v>Cash</v>
      </c>
      <c r="F54" s="27" t="str">
        <f>IFERROR(VLOOKUP(C54,'Chart of Accounts'!$A$4:$F$30,5,FALSE),"")</f>
        <v>BS</v>
      </c>
      <c r="G54" s="15">
        <v>145412.311507198</v>
      </c>
      <c r="H54" s="15">
        <v>0</v>
      </c>
      <c r="I54" s="10">
        <f t="shared" si="0"/>
        <v>145412.311507198</v>
      </c>
      <c r="J54" s="14" t="s">
        <v>178</v>
      </c>
      <c r="K54" s="14" t="s">
        <v>175</v>
      </c>
      <c r="L54" s="14" t="s">
        <v>176</v>
      </c>
      <c r="M54" s="8" t="str">
        <f t="shared" si="1"/>
        <v>2026-01</v>
      </c>
      <c r="N54" s="8" t="str">
        <f t="shared" si="2"/>
        <v>OK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>
      <c r="A55" s="14" t="s">
        <v>177</v>
      </c>
      <c r="B55" s="26">
        <v>46036</v>
      </c>
      <c r="C55" s="14" t="s">
        <v>58</v>
      </c>
      <c r="D55" s="27" t="str">
        <f>IFERROR(VLOOKUP(C55,'Chart of Accounts'!$A$4:$F$30,2,FALSE),"")</f>
        <v>Trade Receivables</v>
      </c>
      <c r="E55" s="27" t="str">
        <f>IFERROR(VLOOKUP(C55,'Chart of Accounts'!$A$4:$F$30,4,FALSE),"")</f>
        <v>Trade Receivables</v>
      </c>
      <c r="F55" s="27" t="str">
        <f>IFERROR(VLOOKUP(C55,'Chart of Accounts'!$A$4:$F$30,5,FALSE),"")</f>
        <v>BS</v>
      </c>
      <c r="G55" s="15">
        <v>0</v>
      </c>
      <c r="H55" s="15">
        <v>145412.311507198</v>
      </c>
      <c r="I55" s="10">
        <f t="shared" si="0"/>
        <v>-145412.311507198</v>
      </c>
      <c r="J55" s="14" t="s">
        <v>178</v>
      </c>
      <c r="K55" s="14" t="s">
        <v>175</v>
      </c>
      <c r="L55" s="14" t="s">
        <v>176</v>
      </c>
      <c r="M55" s="8" t="str">
        <f t="shared" si="1"/>
        <v>2026-01</v>
      </c>
      <c r="N55" s="8" t="str">
        <f t="shared" si="2"/>
        <v>OK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>
      <c r="A56" s="14" t="s">
        <v>179</v>
      </c>
      <c r="B56" s="26">
        <v>46036</v>
      </c>
      <c r="C56" s="14" t="s">
        <v>52</v>
      </c>
      <c r="D56" s="27" t="str">
        <f>IFERROR(VLOOKUP(C56,'Chart of Accounts'!$A$4:$F$30,2,FALSE),"")</f>
        <v>Bank</v>
      </c>
      <c r="E56" s="27" t="str">
        <f>IFERROR(VLOOKUP(C56,'Chart of Accounts'!$A$4:$F$30,4,FALSE),"")</f>
        <v>Cash</v>
      </c>
      <c r="F56" s="27" t="str">
        <f>IFERROR(VLOOKUP(C56,'Chart of Accounts'!$A$4:$F$30,5,FALSE),"")</f>
        <v>BS</v>
      </c>
      <c r="G56" s="15">
        <v>107655.18928621667</v>
      </c>
      <c r="H56" s="15">
        <v>0</v>
      </c>
      <c r="I56" s="10">
        <f t="shared" si="0"/>
        <v>107655.18928621667</v>
      </c>
      <c r="J56" s="14" t="s">
        <v>180</v>
      </c>
      <c r="K56" s="14" t="s">
        <v>175</v>
      </c>
      <c r="L56" s="14" t="s">
        <v>176</v>
      </c>
      <c r="M56" s="8" t="str">
        <f t="shared" si="1"/>
        <v>2026-01</v>
      </c>
      <c r="N56" s="8" t="str">
        <f t="shared" si="2"/>
        <v>OK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>
      <c r="A57" s="14" t="s">
        <v>179</v>
      </c>
      <c r="B57" s="26">
        <v>46036</v>
      </c>
      <c r="C57" s="14" t="s">
        <v>58</v>
      </c>
      <c r="D57" s="27" t="str">
        <f>IFERROR(VLOOKUP(C57,'Chart of Accounts'!$A$4:$F$30,2,FALSE),"")</f>
        <v>Trade Receivables</v>
      </c>
      <c r="E57" s="27" t="str">
        <f>IFERROR(VLOOKUP(C57,'Chart of Accounts'!$A$4:$F$30,4,FALSE),"")</f>
        <v>Trade Receivables</v>
      </c>
      <c r="F57" s="27" t="str">
        <f>IFERROR(VLOOKUP(C57,'Chart of Accounts'!$A$4:$F$30,5,FALSE),"")</f>
        <v>BS</v>
      </c>
      <c r="G57" s="15">
        <v>0</v>
      </c>
      <c r="H57" s="15">
        <v>107655.18928621667</v>
      </c>
      <c r="I57" s="10">
        <f t="shared" si="0"/>
        <v>-107655.18928621667</v>
      </c>
      <c r="J57" s="14" t="s">
        <v>180</v>
      </c>
      <c r="K57" s="14" t="s">
        <v>175</v>
      </c>
      <c r="L57" s="14" t="s">
        <v>176</v>
      </c>
      <c r="M57" s="8" t="str">
        <f t="shared" si="1"/>
        <v>2026-01</v>
      </c>
      <c r="N57" s="8" t="str">
        <f t="shared" si="2"/>
        <v>OK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>
      <c r="A58" s="14" t="s">
        <v>181</v>
      </c>
      <c r="B58" s="26">
        <v>46041</v>
      </c>
      <c r="C58" s="14" t="s">
        <v>52</v>
      </c>
      <c r="D58" s="27" t="str">
        <f>IFERROR(VLOOKUP(C58,'Chart of Accounts'!$A$4:$F$30,2,FALSE),"")</f>
        <v>Bank</v>
      </c>
      <c r="E58" s="27" t="str">
        <f>IFERROR(VLOOKUP(C58,'Chart of Accounts'!$A$4:$F$30,4,FALSE),"")</f>
        <v>Cash</v>
      </c>
      <c r="F58" s="27" t="str">
        <f>IFERROR(VLOOKUP(C58,'Chart of Accounts'!$A$4:$F$30,5,FALSE),"")</f>
        <v>BS</v>
      </c>
      <c r="G58" s="15">
        <v>121891.00624023106</v>
      </c>
      <c r="H58" s="15">
        <v>0</v>
      </c>
      <c r="I58" s="10">
        <f t="shared" si="0"/>
        <v>121891.00624023106</v>
      </c>
      <c r="J58" s="14" t="s">
        <v>182</v>
      </c>
      <c r="K58" s="14" t="s">
        <v>175</v>
      </c>
      <c r="L58" s="14" t="s">
        <v>176</v>
      </c>
      <c r="M58" s="8" t="str">
        <f t="shared" si="1"/>
        <v>2026-01</v>
      </c>
      <c r="N58" s="8" t="str">
        <f t="shared" si="2"/>
        <v>OK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>
      <c r="A59" s="14" t="s">
        <v>181</v>
      </c>
      <c r="B59" s="26">
        <v>46041</v>
      </c>
      <c r="C59" s="14" t="s">
        <v>58</v>
      </c>
      <c r="D59" s="27" t="str">
        <f>IFERROR(VLOOKUP(C59,'Chart of Accounts'!$A$4:$F$30,2,FALSE),"")</f>
        <v>Trade Receivables</v>
      </c>
      <c r="E59" s="27" t="str">
        <f>IFERROR(VLOOKUP(C59,'Chart of Accounts'!$A$4:$F$30,4,FALSE),"")</f>
        <v>Trade Receivables</v>
      </c>
      <c r="F59" s="27" t="str">
        <f>IFERROR(VLOOKUP(C59,'Chart of Accounts'!$A$4:$F$30,5,FALSE),"")</f>
        <v>BS</v>
      </c>
      <c r="G59" s="15">
        <v>0</v>
      </c>
      <c r="H59" s="15">
        <v>121891.00624023106</v>
      </c>
      <c r="I59" s="10">
        <f t="shared" si="0"/>
        <v>-121891.00624023106</v>
      </c>
      <c r="J59" s="14" t="s">
        <v>182</v>
      </c>
      <c r="K59" s="14" t="s">
        <v>175</v>
      </c>
      <c r="L59" s="14" t="s">
        <v>176</v>
      </c>
      <c r="M59" s="8" t="str">
        <f t="shared" si="1"/>
        <v>2026-01</v>
      </c>
      <c r="N59" s="8" t="str">
        <f t="shared" si="2"/>
        <v>OK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>
      <c r="A60" s="14" t="s">
        <v>183</v>
      </c>
      <c r="B60" s="26">
        <v>46033</v>
      </c>
      <c r="C60" s="14" t="s">
        <v>52</v>
      </c>
      <c r="D60" s="27" t="str">
        <f>IFERROR(VLOOKUP(C60,'Chart of Accounts'!$A$4:$F$30,2,FALSE),"")</f>
        <v>Bank</v>
      </c>
      <c r="E60" s="27" t="str">
        <f>IFERROR(VLOOKUP(C60,'Chart of Accounts'!$A$4:$F$30,4,FALSE),"")</f>
        <v>Cash</v>
      </c>
      <c r="F60" s="27" t="str">
        <f>IFERROR(VLOOKUP(C60,'Chart of Accounts'!$A$4:$F$30,5,FALSE),"")</f>
        <v>BS</v>
      </c>
      <c r="G60" s="15">
        <v>165954.16938438235</v>
      </c>
      <c r="H60" s="15">
        <v>0</v>
      </c>
      <c r="I60" s="10">
        <f t="shared" si="0"/>
        <v>165954.16938438235</v>
      </c>
      <c r="J60" s="14" t="s">
        <v>184</v>
      </c>
      <c r="K60" s="14" t="s">
        <v>175</v>
      </c>
      <c r="L60" s="14" t="s">
        <v>176</v>
      </c>
      <c r="M60" s="8" t="str">
        <f t="shared" si="1"/>
        <v>2026-01</v>
      </c>
      <c r="N60" s="8" t="str">
        <f t="shared" si="2"/>
        <v>OK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>
      <c r="A61" s="14" t="s">
        <v>183</v>
      </c>
      <c r="B61" s="26">
        <v>46033</v>
      </c>
      <c r="C61" s="14" t="s">
        <v>58</v>
      </c>
      <c r="D61" s="27" t="str">
        <f>IFERROR(VLOOKUP(C61,'Chart of Accounts'!$A$4:$F$30,2,FALSE),"")</f>
        <v>Trade Receivables</v>
      </c>
      <c r="E61" s="27" t="str">
        <f>IFERROR(VLOOKUP(C61,'Chart of Accounts'!$A$4:$F$30,4,FALSE),"")</f>
        <v>Trade Receivables</v>
      </c>
      <c r="F61" s="27" t="str">
        <f>IFERROR(VLOOKUP(C61,'Chart of Accounts'!$A$4:$F$30,5,FALSE),"")</f>
        <v>BS</v>
      </c>
      <c r="G61" s="15">
        <v>0</v>
      </c>
      <c r="H61" s="15">
        <v>165954.16938438235</v>
      </c>
      <c r="I61" s="10">
        <f t="shared" si="0"/>
        <v>-165954.16938438235</v>
      </c>
      <c r="J61" s="14" t="s">
        <v>184</v>
      </c>
      <c r="K61" s="14" t="s">
        <v>175</v>
      </c>
      <c r="L61" s="14" t="s">
        <v>176</v>
      </c>
      <c r="M61" s="8" t="str">
        <f t="shared" si="1"/>
        <v>2026-01</v>
      </c>
      <c r="N61" s="8" t="str">
        <f t="shared" si="2"/>
        <v>OK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>
      <c r="A62" s="14" t="s">
        <v>185</v>
      </c>
      <c r="B62" s="26">
        <v>46031</v>
      </c>
      <c r="C62" s="14" t="s">
        <v>52</v>
      </c>
      <c r="D62" s="27" t="str">
        <f>IFERROR(VLOOKUP(C62,'Chart of Accounts'!$A$4:$F$30,2,FALSE),"")</f>
        <v>Bank</v>
      </c>
      <c r="E62" s="27" t="str">
        <f>IFERROR(VLOOKUP(C62,'Chart of Accounts'!$A$4:$F$30,4,FALSE),"")</f>
        <v>Cash</v>
      </c>
      <c r="F62" s="27" t="str">
        <f>IFERROR(VLOOKUP(C62,'Chart of Accounts'!$A$4:$F$30,5,FALSE),"")</f>
        <v>BS</v>
      </c>
      <c r="G62" s="15">
        <v>133886.95074079378</v>
      </c>
      <c r="H62" s="15">
        <v>0</v>
      </c>
      <c r="I62" s="10">
        <f t="shared" si="0"/>
        <v>133886.95074079378</v>
      </c>
      <c r="J62" s="14" t="s">
        <v>186</v>
      </c>
      <c r="K62" s="14" t="s">
        <v>175</v>
      </c>
      <c r="L62" s="14" t="s">
        <v>176</v>
      </c>
      <c r="M62" s="8" t="str">
        <f t="shared" si="1"/>
        <v>2026-01</v>
      </c>
      <c r="N62" s="8" t="str">
        <f t="shared" si="2"/>
        <v>OK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>
      <c r="A63" s="14" t="s">
        <v>185</v>
      </c>
      <c r="B63" s="26">
        <v>46031</v>
      </c>
      <c r="C63" s="14" t="s">
        <v>58</v>
      </c>
      <c r="D63" s="27" t="str">
        <f>IFERROR(VLOOKUP(C63,'Chart of Accounts'!$A$4:$F$30,2,FALSE),"")</f>
        <v>Trade Receivables</v>
      </c>
      <c r="E63" s="27" t="str">
        <f>IFERROR(VLOOKUP(C63,'Chart of Accounts'!$A$4:$F$30,4,FALSE),"")</f>
        <v>Trade Receivables</v>
      </c>
      <c r="F63" s="27" t="str">
        <f>IFERROR(VLOOKUP(C63,'Chart of Accounts'!$A$4:$F$30,5,FALSE),"")</f>
        <v>BS</v>
      </c>
      <c r="G63" s="15">
        <v>0</v>
      </c>
      <c r="H63" s="15">
        <v>133886.95074079378</v>
      </c>
      <c r="I63" s="10">
        <f t="shared" si="0"/>
        <v>-133886.95074079378</v>
      </c>
      <c r="J63" s="14" t="s">
        <v>186</v>
      </c>
      <c r="K63" s="14" t="s">
        <v>175</v>
      </c>
      <c r="L63" s="14" t="s">
        <v>176</v>
      </c>
      <c r="M63" s="8" t="str">
        <f t="shared" si="1"/>
        <v>2026-01</v>
      </c>
      <c r="N63" s="8" t="str">
        <f t="shared" si="2"/>
        <v>OK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>
      <c r="A64" s="14" t="s">
        <v>187</v>
      </c>
      <c r="B64" s="26">
        <v>46026</v>
      </c>
      <c r="C64" s="14" t="s">
        <v>63</v>
      </c>
      <c r="D64" s="27" t="str">
        <f>IFERROR(VLOOKUP(C64,'Chart of Accounts'!$A$4:$F$30,2,FALSE),"")</f>
        <v>Inventory</v>
      </c>
      <c r="E64" s="27" t="str">
        <f>IFERROR(VLOOKUP(C64,'Chart of Accounts'!$A$4:$F$30,4,FALSE),"")</f>
        <v>Inventory</v>
      </c>
      <c r="F64" s="27" t="str">
        <f>IFERROR(VLOOKUP(C64,'Chart of Accounts'!$A$4:$F$30,5,FALSE),"")</f>
        <v>BS</v>
      </c>
      <c r="G64" s="15">
        <v>86011.080412887386</v>
      </c>
      <c r="H64" s="15">
        <v>0</v>
      </c>
      <c r="I64" s="10">
        <f t="shared" si="0"/>
        <v>86011.080412887386</v>
      </c>
      <c r="J64" s="14" t="s">
        <v>188</v>
      </c>
      <c r="K64" s="14" t="s">
        <v>189</v>
      </c>
      <c r="L64" s="14" t="s">
        <v>190</v>
      </c>
      <c r="M64" s="8" t="str">
        <f t="shared" si="1"/>
        <v>2026-01</v>
      </c>
      <c r="N64" s="8" t="str">
        <f t="shared" si="2"/>
        <v>OK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>
      <c r="A65" s="14" t="s">
        <v>187</v>
      </c>
      <c r="B65" s="26">
        <v>46026</v>
      </c>
      <c r="C65" s="14" t="s">
        <v>71</v>
      </c>
      <c r="D65" s="27" t="str">
        <f>IFERROR(VLOOKUP(C65,'Chart of Accounts'!$A$4:$F$30,2,FALSE),"")</f>
        <v>Trade Payables</v>
      </c>
      <c r="E65" s="27" t="str">
        <f>IFERROR(VLOOKUP(C65,'Chart of Accounts'!$A$4:$F$30,4,FALSE),"")</f>
        <v>Trade Payables</v>
      </c>
      <c r="F65" s="27" t="str">
        <f>IFERROR(VLOOKUP(C65,'Chart of Accounts'!$A$4:$F$30,5,FALSE),"")</f>
        <v>BS</v>
      </c>
      <c r="G65" s="15">
        <v>0</v>
      </c>
      <c r="H65" s="15">
        <v>86011.080412887386</v>
      </c>
      <c r="I65" s="10">
        <f t="shared" si="0"/>
        <v>-86011.080412887386</v>
      </c>
      <c r="J65" s="14" t="s">
        <v>188</v>
      </c>
      <c r="K65" s="14" t="s">
        <v>189</v>
      </c>
      <c r="L65" s="14" t="s">
        <v>190</v>
      </c>
      <c r="M65" s="8" t="str">
        <f t="shared" si="1"/>
        <v>2026-01</v>
      </c>
      <c r="N65" s="8" t="str">
        <f t="shared" si="2"/>
        <v>OK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>
      <c r="A66" s="14" t="s">
        <v>191</v>
      </c>
      <c r="B66" s="26">
        <v>46040</v>
      </c>
      <c r="C66" s="14" t="s">
        <v>63</v>
      </c>
      <c r="D66" s="27" t="str">
        <f>IFERROR(VLOOKUP(C66,'Chart of Accounts'!$A$4:$F$30,2,FALSE),"")</f>
        <v>Inventory</v>
      </c>
      <c r="E66" s="27" t="str">
        <f>IFERROR(VLOOKUP(C66,'Chart of Accounts'!$A$4:$F$30,4,FALSE),"")</f>
        <v>Inventory</v>
      </c>
      <c r="F66" s="27" t="str">
        <f>IFERROR(VLOOKUP(C66,'Chart of Accounts'!$A$4:$F$30,5,FALSE),"")</f>
        <v>BS</v>
      </c>
      <c r="G66" s="15">
        <v>80279.886055307652</v>
      </c>
      <c r="H66" s="15">
        <v>0</v>
      </c>
      <c r="I66" s="10">
        <f t="shared" si="0"/>
        <v>80279.886055307652</v>
      </c>
      <c r="J66" s="14" t="s">
        <v>192</v>
      </c>
      <c r="K66" s="14" t="s">
        <v>193</v>
      </c>
      <c r="L66" s="14" t="s">
        <v>190</v>
      </c>
      <c r="M66" s="8" t="str">
        <f t="shared" si="1"/>
        <v>2026-01</v>
      </c>
      <c r="N66" s="8" t="str">
        <f t="shared" si="2"/>
        <v>OK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>
      <c r="A67" s="14" t="s">
        <v>191</v>
      </c>
      <c r="B67" s="26">
        <v>46040</v>
      </c>
      <c r="C67" s="14" t="s">
        <v>71</v>
      </c>
      <c r="D67" s="27" t="str">
        <f>IFERROR(VLOOKUP(C67,'Chart of Accounts'!$A$4:$F$30,2,FALSE),"")</f>
        <v>Trade Payables</v>
      </c>
      <c r="E67" s="27" t="str">
        <f>IFERROR(VLOOKUP(C67,'Chart of Accounts'!$A$4:$F$30,4,FALSE),"")</f>
        <v>Trade Payables</v>
      </c>
      <c r="F67" s="27" t="str">
        <f>IFERROR(VLOOKUP(C67,'Chart of Accounts'!$A$4:$F$30,5,FALSE),"")</f>
        <v>BS</v>
      </c>
      <c r="G67" s="15">
        <v>0</v>
      </c>
      <c r="H67" s="15">
        <v>80279.886055307652</v>
      </c>
      <c r="I67" s="10">
        <f t="shared" si="0"/>
        <v>-80279.886055307652</v>
      </c>
      <c r="J67" s="14" t="s">
        <v>192</v>
      </c>
      <c r="K67" s="14" t="s">
        <v>193</v>
      </c>
      <c r="L67" s="14" t="s">
        <v>190</v>
      </c>
      <c r="M67" s="8" t="str">
        <f t="shared" si="1"/>
        <v>2026-01</v>
      </c>
      <c r="N67" s="8" t="str">
        <f t="shared" si="2"/>
        <v>OK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>
      <c r="A68" s="14" t="s">
        <v>194</v>
      </c>
      <c r="B68" s="26">
        <v>46040</v>
      </c>
      <c r="C68" s="14" t="s">
        <v>63</v>
      </c>
      <c r="D68" s="27" t="str">
        <f>IFERROR(VLOOKUP(C68,'Chart of Accounts'!$A$4:$F$30,2,FALSE),"")</f>
        <v>Inventory</v>
      </c>
      <c r="E68" s="27" t="str">
        <f>IFERROR(VLOOKUP(C68,'Chart of Accounts'!$A$4:$F$30,4,FALSE),"")</f>
        <v>Inventory</v>
      </c>
      <c r="F68" s="27" t="str">
        <f>IFERROR(VLOOKUP(C68,'Chart of Accounts'!$A$4:$F$30,5,FALSE),"")</f>
        <v>BS</v>
      </c>
      <c r="G68" s="15">
        <v>67047.409881699452</v>
      </c>
      <c r="H68" s="15">
        <v>0</v>
      </c>
      <c r="I68" s="10">
        <f t="shared" ref="I68:I131" si="3">G68-H68</f>
        <v>67047.409881699452</v>
      </c>
      <c r="J68" s="14" t="s">
        <v>195</v>
      </c>
      <c r="K68" s="14" t="s">
        <v>196</v>
      </c>
      <c r="L68" s="14" t="s">
        <v>190</v>
      </c>
      <c r="M68" s="8" t="str">
        <f t="shared" ref="M68:M131" si="4">TEXT(B68,"yyyy-mm")</f>
        <v>2026-01</v>
      </c>
      <c r="N68" s="8" t="str">
        <f t="shared" ref="N68:N131" si="5">"OK"</f>
        <v>OK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>
      <c r="A69" s="14" t="s">
        <v>194</v>
      </c>
      <c r="B69" s="26">
        <v>46040</v>
      </c>
      <c r="C69" s="14" t="s">
        <v>71</v>
      </c>
      <c r="D69" s="27" t="str">
        <f>IFERROR(VLOOKUP(C69,'Chart of Accounts'!$A$4:$F$30,2,FALSE),"")</f>
        <v>Trade Payables</v>
      </c>
      <c r="E69" s="27" t="str">
        <f>IFERROR(VLOOKUP(C69,'Chart of Accounts'!$A$4:$F$30,4,FALSE),"")</f>
        <v>Trade Payables</v>
      </c>
      <c r="F69" s="27" t="str">
        <f>IFERROR(VLOOKUP(C69,'Chart of Accounts'!$A$4:$F$30,5,FALSE),"")</f>
        <v>BS</v>
      </c>
      <c r="G69" s="15">
        <v>0</v>
      </c>
      <c r="H69" s="15">
        <v>67047.409881699452</v>
      </c>
      <c r="I69" s="10">
        <f t="shared" si="3"/>
        <v>-67047.409881699452</v>
      </c>
      <c r="J69" s="14" t="s">
        <v>195</v>
      </c>
      <c r="K69" s="14" t="s">
        <v>196</v>
      </c>
      <c r="L69" s="14" t="s">
        <v>190</v>
      </c>
      <c r="M69" s="8" t="str">
        <f t="shared" si="4"/>
        <v>2026-01</v>
      </c>
      <c r="N69" s="8" t="str">
        <f t="shared" si="5"/>
        <v>OK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>
      <c r="A70" s="14" t="s">
        <v>197</v>
      </c>
      <c r="B70" s="26">
        <v>46039</v>
      </c>
      <c r="C70" s="14" t="s">
        <v>63</v>
      </c>
      <c r="D70" s="27" t="str">
        <f>IFERROR(VLOOKUP(C70,'Chart of Accounts'!$A$4:$F$30,2,FALSE),"")</f>
        <v>Inventory</v>
      </c>
      <c r="E70" s="27" t="str">
        <f>IFERROR(VLOOKUP(C70,'Chart of Accounts'!$A$4:$F$30,4,FALSE),"")</f>
        <v>Inventory</v>
      </c>
      <c r="F70" s="27" t="str">
        <f>IFERROR(VLOOKUP(C70,'Chart of Accounts'!$A$4:$F$30,5,FALSE),"")</f>
        <v>BS</v>
      </c>
      <c r="G70" s="15">
        <v>75293.742489404685</v>
      </c>
      <c r="H70" s="15">
        <v>0</v>
      </c>
      <c r="I70" s="10">
        <f t="shared" si="3"/>
        <v>75293.742489404685</v>
      </c>
      <c r="J70" s="14" t="s">
        <v>198</v>
      </c>
      <c r="K70" s="14" t="s">
        <v>199</v>
      </c>
      <c r="L70" s="14" t="s">
        <v>190</v>
      </c>
      <c r="M70" s="8" t="str">
        <f t="shared" si="4"/>
        <v>2026-01</v>
      </c>
      <c r="N70" s="8" t="str">
        <f t="shared" si="5"/>
        <v>OK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>
      <c r="A71" s="14" t="s">
        <v>197</v>
      </c>
      <c r="B71" s="26">
        <v>46039</v>
      </c>
      <c r="C71" s="14" t="s">
        <v>71</v>
      </c>
      <c r="D71" s="27" t="str">
        <f>IFERROR(VLOOKUP(C71,'Chart of Accounts'!$A$4:$F$30,2,FALSE),"")</f>
        <v>Trade Payables</v>
      </c>
      <c r="E71" s="27" t="str">
        <f>IFERROR(VLOOKUP(C71,'Chart of Accounts'!$A$4:$F$30,4,FALSE),"")</f>
        <v>Trade Payables</v>
      </c>
      <c r="F71" s="27" t="str">
        <f>IFERROR(VLOOKUP(C71,'Chart of Accounts'!$A$4:$F$30,5,FALSE),"")</f>
        <v>BS</v>
      </c>
      <c r="G71" s="15">
        <v>0</v>
      </c>
      <c r="H71" s="15">
        <v>75293.742489404685</v>
      </c>
      <c r="I71" s="10">
        <f t="shared" si="3"/>
        <v>-75293.742489404685</v>
      </c>
      <c r="J71" s="14" t="s">
        <v>198</v>
      </c>
      <c r="K71" s="14" t="s">
        <v>199</v>
      </c>
      <c r="L71" s="14" t="s">
        <v>190</v>
      </c>
      <c r="M71" s="8" t="str">
        <f t="shared" si="4"/>
        <v>2026-01</v>
      </c>
      <c r="N71" s="8" t="str">
        <f t="shared" si="5"/>
        <v>OK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>
      <c r="A72" s="14" t="s">
        <v>200</v>
      </c>
      <c r="B72" s="26">
        <v>46036</v>
      </c>
      <c r="C72" s="14" t="s">
        <v>63</v>
      </c>
      <c r="D72" s="27" t="str">
        <f>IFERROR(VLOOKUP(C72,'Chart of Accounts'!$A$4:$F$30,2,FALSE),"")</f>
        <v>Inventory</v>
      </c>
      <c r="E72" s="27" t="str">
        <f>IFERROR(VLOOKUP(C72,'Chart of Accounts'!$A$4:$F$30,4,FALSE),"")</f>
        <v>Inventory</v>
      </c>
      <c r="F72" s="27" t="str">
        <f>IFERROR(VLOOKUP(C72,'Chart of Accounts'!$A$4:$F$30,5,FALSE),"")</f>
        <v>BS</v>
      </c>
      <c r="G72" s="15">
        <v>69666.007023930913</v>
      </c>
      <c r="H72" s="15">
        <v>0</v>
      </c>
      <c r="I72" s="10">
        <f t="shared" si="3"/>
        <v>69666.007023930913</v>
      </c>
      <c r="J72" s="14" t="s">
        <v>201</v>
      </c>
      <c r="K72" s="14" t="s">
        <v>202</v>
      </c>
      <c r="L72" s="14" t="s">
        <v>190</v>
      </c>
      <c r="M72" s="8" t="str">
        <f t="shared" si="4"/>
        <v>2026-01</v>
      </c>
      <c r="N72" s="8" t="str">
        <f t="shared" si="5"/>
        <v>OK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>
      <c r="A73" s="14" t="s">
        <v>200</v>
      </c>
      <c r="B73" s="26">
        <v>46036</v>
      </c>
      <c r="C73" s="14" t="s">
        <v>71</v>
      </c>
      <c r="D73" s="27" t="str">
        <f>IFERROR(VLOOKUP(C73,'Chart of Accounts'!$A$4:$F$30,2,FALSE),"")</f>
        <v>Trade Payables</v>
      </c>
      <c r="E73" s="27" t="str">
        <f>IFERROR(VLOOKUP(C73,'Chart of Accounts'!$A$4:$F$30,4,FALSE),"")</f>
        <v>Trade Payables</v>
      </c>
      <c r="F73" s="27" t="str">
        <f>IFERROR(VLOOKUP(C73,'Chart of Accounts'!$A$4:$F$30,5,FALSE),"")</f>
        <v>BS</v>
      </c>
      <c r="G73" s="15">
        <v>0</v>
      </c>
      <c r="H73" s="15">
        <v>69666.007023930913</v>
      </c>
      <c r="I73" s="10">
        <f t="shared" si="3"/>
        <v>-69666.007023930913</v>
      </c>
      <c r="J73" s="14" t="s">
        <v>201</v>
      </c>
      <c r="K73" s="14" t="s">
        <v>202</v>
      </c>
      <c r="L73" s="14" t="s">
        <v>190</v>
      </c>
      <c r="M73" s="8" t="str">
        <f t="shared" si="4"/>
        <v>2026-01</v>
      </c>
      <c r="N73" s="8" t="str">
        <f t="shared" si="5"/>
        <v>OK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>
      <c r="A74" s="14" t="s">
        <v>203</v>
      </c>
      <c r="B74" s="26">
        <v>46032</v>
      </c>
      <c r="C74" s="14" t="s">
        <v>63</v>
      </c>
      <c r="D74" s="27" t="str">
        <f>IFERROR(VLOOKUP(C74,'Chart of Accounts'!$A$4:$F$30,2,FALSE),"")</f>
        <v>Inventory</v>
      </c>
      <c r="E74" s="27" t="str">
        <f>IFERROR(VLOOKUP(C74,'Chart of Accounts'!$A$4:$F$30,4,FALSE),"")</f>
        <v>Inventory</v>
      </c>
      <c r="F74" s="27" t="str">
        <f>IFERROR(VLOOKUP(C74,'Chart of Accounts'!$A$4:$F$30,5,FALSE),"")</f>
        <v>BS</v>
      </c>
      <c r="G74" s="15">
        <v>72250.874136769868</v>
      </c>
      <c r="H74" s="15">
        <v>0</v>
      </c>
      <c r="I74" s="10">
        <f t="shared" si="3"/>
        <v>72250.874136769868</v>
      </c>
      <c r="J74" s="14" t="s">
        <v>204</v>
      </c>
      <c r="K74" s="14" t="s">
        <v>202</v>
      </c>
      <c r="L74" s="14" t="s">
        <v>190</v>
      </c>
      <c r="M74" s="8" t="str">
        <f t="shared" si="4"/>
        <v>2026-01</v>
      </c>
      <c r="N74" s="8" t="str">
        <f t="shared" si="5"/>
        <v>OK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>
      <c r="A75" s="14" t="s">
        <v>203</v>
      </c>
      <c r="B75" s="26">
        <v>46032</v>
      </c>
      <c r="C75" s="14" t="s">
        <v>71</v>
      </c>
      <c r="D75" s="27" t="str">
        <f>IFERROR(VLOOKUP(C75,'Chart of Accounts'!$A$4:$F$30,2,FALSE),"")</f>
        <v>Trade Payables</v>
      </c>
      <c r="E75" s="27" t="str">
        <f>IFERROR(VLOOKUP(C75,'Chart of Accounts'!$A$4:$F$30,4,FALSE),"")</f>
        <v>Trade Payables</v>
      </c>
      <c r="F75" s="27" t="str">
        <f>IFERROR(VLOOKUP(C75,'Chart of Accounts'!$A$4:$F$30,5,FALSE),"")</f>
        <v>BS</v>
      </c>
      <c r="G75" s="15">
        <v>0</v>
      </c>
      <c r="H75" s="15">
        <v>72250.874136769868</v>
      </c>
      <c r="I75" s="10">
        <f t="shared" si="3"/>
        <v>-72250.874136769868</v>
      </c>
      <c r="J75" s="14" t="s">
        <v>204</v>
      </c>
      <c r="K75" s="14" t="s">
        <v>202</v>
      </c>
      <c r="L75" s="14" t="s">
        <v>190</v>
      </c>
      <c r="M75" s="8" t="str">
        <f t="shared" si="4"/>
        <v>2026-01</v>
      </c>
      <c r="N75" s="8" t="str">
        <f t="shared" si="5"/>
        <v>OK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>
      <c r="A76" s="14" t="s">
        <v>205</v>
      </c>
      <c r="B76" s="26">
        <v>46032</v>
      </c>
      <c r="C76" s="14" t="s">
        <v>71</v>
      </c>
      <c r="D76" s="27" t="str">
        <f>IFERROR(VLOOKUP(C76,'Chart of Accounts'!$A$4:$F$30,2,FALSE),"")</f>
        <v>Trade Payables</v>
      </c>
      <c r="E76" s="27" t="str">
        <f>IFERROR(VLOOKUP(C76,'Chart of Accounts'!$A$4:$F$30,4,FALSE),"")</f>
        <v>Trade Payables</v>
      </c>
      <c r="F76" s="27" t="str">
        <f>IFERROR(VLOOKUP(C76,'Chart of Accounts'!$A$4:$F$30,5,FALSE),"")</f>
        <v>BS</v>
      </c>
      <c r="G76" s="15">
        <v>99338.833092338857</v>
      </c>
      <c r="H76" s="15">
        <v>0</v>
      </c>
      <c r="I76" s="10">
        <f t="shared" si="3"/>
        <v>99338.833092338857</v>
      </c>
      <c r="J76" s="14" t="s">
        <v>206</v>
      </c>
      <c r="K76" s="14" t="s">
        <v>207</v>
      </c>
      <c r="L76" s="14" t="s">
        <v>208</v>
      </c>
      <c r="M76" s="8" t="str">
        <f t="shared" si="4"/>
        <v>2026-01</v>
      </c>
      <c r="N76" s="8" t="str">
        <f t="shared" si="5"/>
        <v>OK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>
      <c r="A77" s="14" t="s">
        <v>205</v>
      </c>
      <c r="B77" s="26">
        <v>46032</v>
      </c>
      <c r="C77" s="14" t="s">
        <v>52</v>
      </c>
      <c r="D77" s="27" t="str">
        <f>IFERROR(VLOOKUP(C77,'Chart of Accounts'!$A$4:$F$30,2,FALSE),"")</f>
        <v>Bank</v>
      </c>
      <c r="E77" s="27" t="str">
        <f>IFERROR(VLOOKUP(C77,'Chart of Accounts'!$A$4:$F$30,4,FALSE),"")</f>
        <v>Cash</v>
      </c>
      <c r="F77" s="27" t="str">
        <f>IFERROR(VLOOKUP(C77,'Chart of Accounts'!$A$4:$F$30,5,FALSE),"")</f>
        <v>BS</v>
      </c>
      <c r="G77" s="15">
        <v>0</v>
      </c>
      <c r="H77" s="15">
        <v>99338.833092338857</v>
      </c>
      <c r="I77" s="10">
        <f t="shared" si="3"/>
        <v>-99338.833092338857</v>
      </c>
      <c r="J77" s="14" t="s">
        <v>206</v>
      </c>
      <c r="K77" s="14" t="s">
        <v>207</v>
      </c>
      <c r="L77" s="14" t="s">
        <v>208</v>
      </c>
      <c r="M77" s="8" t="str">
        <f t="shared" si="4"/>
        <v>2026-01</v>
      </c>
      <c r="N77" s="8" t="str">
        <f t="shared" si="5"/>
        <v>OK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>
      <c r="A78" s="14" t="s">
        <v>209</v>
      </c>
      <c r="B78" s="26">
        <v>46050</v>
      </c>
      <c r="C78" s="14" t="s">
        <v>71</v>
      </c>
      <c r="D78" s="27" t="str">
        <f>IFERROR(VLOOKUP(C78,'Chart of Accounts'!$A$4:$F$30,2,FALSE),"")</f>
        <v>Trade Payables</v>
      </c>
      <c r="E78" s="27" t="str">
        <f>IFERROR(VLOOKUP(C78,'Chart of Accounts'!$A$4:$F$30,4,FALSE),"")</f>
        <v>Trade Payables</v>
      </c>
      <c r="F78" s="27" t="str">
        <f>IFERROR(VLOOKUP(C78,'Chart of Accounts'!$A$4:$F$30,5,FALSE),"")</f>
        <v>BS</v>
      </c>
      <c r="G78" s="15">
        <v>66219.267030487827</v>
      </c>
      <c r="H78" s="15">
        <v>0</v>
      </c>
      <c r="I78" s="10">
        <f t="shared" si="3"/>
        <v>66219.267030487827</v>
      </c>
      <c r="J78" s="14" t="s">
        <v>210</v>
      </c>
      <c r="K78" s="14" t="s">
        <v>207</v>
      </c>
      <c r="L78" s="14" t="s">
        <v>208</v>
      </c>
      <c r="M78" s="8" t="str">
        <f t="shared" si="4"/>
        <v>2026-01</v>
      </c>
      <c r="N78" s="8" t="str">
        <f t="shared" si="5"/>
        <v>OK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>
      <c r="A79" s="14" t="s">
        <v>209</v>
      </c>
      <c r="B79" s="26">
        <v>46050</v>
      </c>
      <c r="C79" s="14" t="s">
        <v>52</v>
      </c>
      <c r="D79" s="27" t="str">
        <f>IFERROR(VLOOKUP(C79,'Chart of Accounts'!$A$4:$F$30,2,FALSE),"")</f>
        <v>Bank</v>
      </c>
      <c r="E79" s="27" t="str">
        <f>IFERROR(VLOOKUP(C79,'Chart of Accounts'!$A$4:$F$30,4,FALSE),"")</f>
        <v>Cash</v>
      </c>
      <c r="F79" s="27" t="str">
        <f>IFERROR(VLOOKUP(C79,'Chart of Accounts'!$A$4:$F$30,5,FALSE),"")</f>
        <v>BS</v>
      </c>
      <c r="G79" s="15">
        <v>0</v>
      </c>
      <c r="H79" s="15">
        <v>66219.267030487827</v>
      </c>
      <c r="I79" s="10">
        <f t="shared" si="3"/>
        <v>-66219.267030487827</v>
      </c>
      <c r="J79" s="14" t="s">
        <v>210</v>
      </c>
      <c r="K79" s="14" t="s">
        <v>207</v>
      </c>
      <c r="L79" s="14" t="s">
        <v>208</v>
      </c>
      <c r="M79" s="8" t="str">
        <f t="shared" si="4"/>
        <v>2026-01</v>
      </c>
      <c r="N79" s="8" t="str">
        <f t="shared" si="5"/>
        <v>OK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>
      <c r="A80" s="14" t="s">
        <v>211</v>
      </c>
      <c r="B80" s="26">
        <v>46045</v>
      </c>
      <c r="C80" s="14" t="s">
        <v>71</v>
      </c>
      <c r="D80" s="27" t="str">
        <f>IFERROR(VLOOKUP(C80,'Chart of Accounts'!$A$4:$F$30,2,FALSE),"")</f>
        <v>Trade Payables</v>
      </c>
      <c r="E80" s="27" t="str">
        <f>IFERROR(VLOOKUP(C80,'Chart of Accounts'!$A$4:$F$30,4,FALSE),"")</f>
        <v>Trade Payables</v>
      </c>
      <c r="F80" s="27" t="str">
        <f>IFERROR(VLOOKUP(C80,'Chart of Accounts'!$A$4:$F$30,5,FALSE),"")</f>
        <v>BS</v>
      </c>
      <c r="G80" s="15">
        <v>98712.845670880692</v>
      </c>
      <c r="H80" s="15">
        <v>0</v>
      </c>
      <c r="I80" s="10">
        <f t="shared" si="3"/>
        <v>98712.845670880692</v>
      </c>
      <c r="J80" s="14" t="s">
        <v>212</v>
      </c>
      <c r="K80" s="14" t="s">
        <v>207</v>
      </c>
      <c r="L80" s="14" t="s">
        <v>208</v>
      </c>
      <c r="M80" s="8" t="str">
        <f t="shared" si="4"/>
        <v>2026-01</v>
      </c>
      <c r="N80" s="8" t="str">
        <f t="shared" si="5"/>
        <v>OK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>
      <c r="A81" s="14" t="s">
        <v>211</v>
      </c>
      <c r="B81" s="26">
        <v>46045</v>
      </c>
      <c r="C81" s="14" t="s">
        <v>52</v>
      </c>
      <c r="D81" s="27" t="str">
        <f>IFERROR(VLOOKUP(C81,'Chart of Accounts'!$A$4:$F$30,2,FALSE),"")</f>
        <v>Bank</v>
      </c>
      <c r="E81" s="27" t="str">
        <f>IFERROR(VLOOKUP(C81,'Chart of Accounts'!$A$4:$F$30,4,FALSE),"")</f>
        <v>Cash</v>
      </c>
      <c r="F81" s="27" t="str">
        <f>IFERROR(VLOOKUP(C81,'Chart of Accounts'!$A$4:$F$30,5,FALSE),"")</f>
        <v>BS</v>
      </c>
      <c r="G81" s="15">
        <v>0</v>
      </c>
      <c r="H81" s="15">
        <v>98712.845670880692</v>
      </c>
      <c r="I81" s="10">
        <f t="shared" si="3"/>
        <v>-98712.845670880692</v>
      </c>
      <c r="J81" s="14" t="s">
        <v>212</v>
      </c>
      <c r="K81" s="14" t="s">
        <v>207</v>
      </c>
      <c r="L81" s="14" t="s">
        <v>208</v>
      </c>
      <c r="M81" s="8" t="str">
        <f t="shared" si="4"/>
        <v>2026-01</v>
      </c>
      <c r="N81" s="8" t="str">
        <f t="shared" si="5"/>
        <v>OK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>
      <c r="A82" s="14" t="s">
        <v>213</v>
      </c>
      <c r="B82" s="26">
        <v>46031</v>
      </c>
      <c r="C82" s="14" t="s">
        <v>71</v>
      </c>
      <c r="D82" s="27" t="str">
        <f>IFERROR(VLOOKUP(C82,'Chart of Accounts'!$A$4:$F$30,2,FALSE),"")</f>
        <v>Trade Payables</v>
      </c>
      <c r="E82" s="27" t="str">
        <f>IFERROR(VLOOKUP(C82,'Chart of Accounts'!$A$4:$F$30,4,FALSE),"")</f>
        <v>Trade Payables</v>
      </c>
      <c r="F82" s="27" t="str">
        <f>IFERROR(VLOOKUP(C82,'Chart of Accounts'!$A$4:$F$30,5,FALSE),"")</f>
        <v>BS</v>
      </c>
      <c r="G82" s="15">
        <v>81676.918210691525</v>
      </c>
      <c r="H82" s="15">
        <v>0</v>
      </c>
      <c r="I82" s="10">
        <f t="shared" si="3"/>
        <v>81676.918210691525</v>
      </c>
      <c r="J82" s="14" t="s">
        <v>214</v>
      </c>
      <c r="K82" s="14" t="s">
        <v>207</v>
      </c>
      <c r="L82" s="14" t="s">
        <v>208</v>
      </c>
      <c r="M82" s="8" t="str">
        <f t="shared" si="4"/>
        <v>2026-01</v>
      </c>
      <c r="N82" s="8" t="str">
        <f t="shared" si="5"/>
        <v>OK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>
      <c r="A83" s="14" t="s">
        <v>213</v>
      </c>
      <c r="B83" s="26">
        <v>46031</v>
      </c>
      <c r="C83" s="14" t="s">
        <v>52</v>
      </c>
      <c r="D83" s="27" t="str">
        <f>IFERROR(VLOOKUP(C83,'Chart of Accounts'!$A$4:$F$30,2,FALSE),"")</f>
        <v>Bank</v>
      </c>
      <c r="E83" s="27" t="str">
        <f>IFERROR(VLOOKUP(C83,'Chart of Accounts'!$A$4:$F$30,4,FALSE),"")</f>
        <v>Cash</v>
      </c>
      <c r="F83" s="27" t="str">
        <f>IFERROR(VLOOKUP(C83,'Chart of Accounts'!$A$4:$F$30,5,FALSE),"")</f>
        <v>BS</v>
      </c>
      <c r="G83" s="15">
        <v>0</v>
      </c>
      <c r="H83" s="15">
        <v>81676.918210691525</v>
      </c>
      <c r="I83" s="10">
        <f t="shared" si="3"/>
        <v>-81676.918210691525</v>
      </c>
      <c r="J83" s="14" t="s">
        <v>214</v>
      </c>
      <c r="K83" s="14" t="s">
        <v>207</v>
      </c>
      <c r="L83" s="14" t="s">
        <v>208</v>
      </c>
      <c r="M83" s="8" t="str">
        <f t="shared" si="4"/>
        <v>2026-01</v>
      </c>
      <c r="N83" s="8" t="str">
        <f t="shared" si="5"/>
        <v>OK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>
      <c r="A84" s="14" t="s">
        <v>215</v>
      </c>
      <c r="B84" s="26">
        <v>46043</v>
      </c>
      <c r="C84" s="14" t="s">
        <v>71</v>
      </c>
      <c r="D84" s="27" t="str">
        <f>IFERROR(VLOOKUP(C84,'Chart of Accounts'!$A$4:$F$30,2,FALSE),"")</f>
        <v>Trade Payables</v>
      </c>
      <c r="E84" s="27" t="str">
        <f>IFERROR(VLOOKUP(C84,'Chart of Accounts'!$A$4:$F$30,4,FALSE),"")</f>
        <v>Trade Payables</v>
      </c>
      <c r="F84" s="27" t="str">
        <f>IFERROR(VLOOKUP(C84,'Chart of Accounts'!$A$4:$F$30,5,FALSE),"")</f>
        <v>BS</v>
      </c>
      <c r="G84" s="15">
        <v>88831.920995601031</v>
      </c>
      <c r="H84" s="15">
        <v>0</v>
      </c>
      <c r="I84" s="10">
        <f t="shared" si="3"/>
        <v>88831.920995601031</v>
      </c>
      <c r="J84" s="14" t="s">
        <v>216</v>
      </c>
      <c r="K84" s="14" t="s">
        <v>207</v>
      </c>
      <c r="L84" s="14" t="s">
        <v>208</v>
      </c>
      <c r="M84" s="8" t="str">
        <f t="shared" si="4"/>
        <v>2026-01</v>
      </c>
      <c r="N84" s="8" t="str">
        <f t="shared" si="5"/>
        <v>OK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>
      <c r="A85" s="14" t="s">
        <v>215</v>
      </c>
      <c r="B85" s="26">
        <v>46043</v>
      </c>
      <c r="C85" s="14" t="s">
        <v>52</v>
      </c>
      <c r="D85" s="27" t="str">
        <f>IFERROR(VLOOKUP(C85,'Chart of Accounts'!$A$4:$F$30,2,FALSE),"")</f>
        <v>Bank</v>
      </c>
      <c r="E85" s="27" t="str">
        <f>IFERROR(VLOOKUP(C85,'Chart of Accounts'!$A$4:$F$30,4,FALSE),"")</f>
        <v>Cash</v>
      </c>
      <c r="F85" s="27" t="str">
        <f>IFERROR(VLOOKUP(C85,'Chart of Accounts'!$A$4:$F$30,5,FALSE),"")</f>
        <v>BS</v>
      </c>
      <c r="G85" s="15">
        <v>0</v>
      </c>
      <c r="H85" s="15">
        <v>88831.920995601031</v>
      </c>
      <c r="I85" s="10">
        <f t="shared" si="3"/>
        <v>-88831.920995601031</v>
      </c>
      <c r="J85" s="14" t="s">
        <v>216</v>
      </c>
      <c r="K85" s="14" t="s">
        <v>207</v>
      </c>
      <c r="L85" s="14" t="s">
        <v>208</v>
      </c>
      <c r="M85" s="8" t="str">
        <f t="shared" si="4"/>
        <v>2026-01</v>
      </c>
      <c r="N85" s="8" t="str">
        <f t="shared" si="5"/>
        <v>OK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>
      <c r="A86" s="14" t="s">
        <v>217</v>
      </c>
      <c r="B86" s="26">
        <v>46047</v>
      </c>
      <c r="C86" s="14" t="s">
        <v>94</v>
      </c>
      <c r="D86" s="27" t="str">
        <f>IFERROR(VLOOKUP(C86,'Chart of Accounts'!$A$4:$F$30,2,FALSE),"")</f>
        <v>Salaries &amp; Wages</v>
      </c>
      <c r="E86" s="27" t="str">
        <f>IFERROR(VLOOKUP(C86,'Chart of Accounts'!$A$4:$F$30,4,FALSE),"")</f>
        <v>Salaries</v>
      </c>
      <c r="F86" s="27" t="str">
        <f>IFERROR(VLOOKUP(C86,'Chart of Accounts'!$A$4:$F$30,5,FALSE),"")</f>
        <v>PL</v>
      </c>
      <c r="G86" s="15">
        <v>183571.92291053451</v>
      </c>
      <c r="H86" s="15">
        <v>0</v>
      </c>
      <c r="I86" s="10">
        <f t="shared" si="3"/>
        <v>183571.92291053451</v>
      </c>
      <c r="J86" s="14" t="s">
        <v>218</v>
      </c>
      <c r="K86" s="14" t="s">
        <v>219</v>
      </c>
      <c r="L86" s="14" t="s">
        <v>220</v>
      </c>
      <c r="M86" s="8" t="str">
        <f t="shared" si="4"/>
        <v>2026-01</v>
      </c>
      <c r="N86" s="8" t="str">
        <f t="shared" si="5"/>
        <v>OK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>
      <c r="A87" s="14" t="s">
        <v>217</v>
      </c>
      <c r="B87" s="26">
        <v>46047</v>
      </c>
      <c r="C87" s="14" t="s">
        <v>97</v>
      </c>
      <c r="D87" s="27" t="str">
        <f>IFERROR(VLOOKUP(C87,'Chart of Accounts'!$A$4:$F$30,2,FALSE),"")</f>
        <v>Employer NI &amp; Pension</v>
      </c>
      <c r="E87" s="27" t="str">
        <f>IFERROR(VLOOKUP(C87,'Chart of Accounts'!$A$4:$F$30,4,FALSE),"")</f>
        <v>Employer Costs</v>
      </c>
      <c r="F87" s="27" t="str">
        <f>IFERROR(VLOOKUP(C87,'Chart of Accounts'!$A$4:$F$30,5,FALSE),"")</f>
        <v>PL</v>
      </c>
      <c r="G87" s="15">
        <v>24782.209592922161</v>
      </c>
      <c r="H87" s="15">
        <v>0</v>
      </c>
      <c r="I87" s="10">
        <f t="shared" si="3"/>
        <v>24782.209592922161</v>
      </c>
      <c r="J87" s="14" t="s">
        <v>218</v>
      </c>
      <c r="K87" s="14" t="s">
        <v>219</v>
      </c>
      <c r="L87" s="14" t="s">
        <v>220</v>
      </c>
      <c r="M87" s="8" t="str">
        <f t="shared" si="4"/>
        <v>2026-01</v>
      </c>
      <c r="N87" s="8" t="str">
        <f t="shared" si="5"/>
        <v>OK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>
      <c r="A88" s="14" t="s">
        <v>217</v>
      </c>
      <c r="B88" s="26">
        <v>46047</v>
      </c>
      <c r="C88" s="14" t="s">
        <v>52</v>
      </c>
      <c r="D88" s="27" t="str">
        <f>IFERROR(VLOOKUP(C88,'Chart of Accounts'!$A$4:$F$30,2,FALSE),"")</f>
        <v>Bank</v>
      </c>
      <c r="E88" s="27" t="str">
        <f>IFERROR(VLOOKUP(C88,'Chart of Accounts'!$A$4:$F$30,4,FALSE),"")</f>
        <v>Cash</v>
      </c>
      <c r="F88" s="27" t="str">
        <f>IFERROR(VLOOKUP(C88,'Chart of Accounts'!$A$4:$F$30,5,FALSE),"")</f>
        <v>BS</v>
      </c>
      <c r="G88" s="15">
        <v>0</v>
      </c>
      <c r="H88" s="15">
        <v>194586.23828516659</v>
      </c>
      <c r="I88" s="10">
        <f t="shared" si="3"/>
        <v>-194586.23828516659</v>
      </c>
      <c r="J88" s="14" t="s">
        <v>218</v>
      </c>
      <c r="K88" s="14" t="s">
        <v>219</v>
      </c>
      <c r="L88" s="14" t="s">
        <v>220</v>
      </c>
      <c r="M88" s="8" t="str">
        <f t="shared" si="4"/>
        <v>2026-01</v>
      </c>
      <c r="N88" s="8" t="str">
        <f t="shared" si="5"/>
        <v>OK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>
      <c r="A89" s="14" t="s">
        <v>217</v>
      </c>
      <c r="B89" s="26">
        <v>46047</v>
      </c>
      <c r="C89" s="14" t="s">
        <v>76</v>
      </c>
      <c r="D89" s="27" t="str">
        <f>IFERROR(VLOOKUP(C89,'Chart of Accounts'!$A$4:$F$30,2,FALSE),"")</f>
        <v>Payroll Liabilities</v>
      </c>
      <c r="E89" s="27" t="str">
        <f>IFERROR(VLOOKUP(C89,'Chart of Accounts'!$A$4:$F$30,4,FALSE),"")</f>
        <v>Payroll Liabilities</v>
      </c>
      <c r="F89" s="27" t="str">
        <f>IFERROR(VLOOKUP(C89,'Chart of Accounts'!$A$4:$F$30,5,FALSE),"")</f>
        <v>BS</v>
      </c>
      <c r="G89" s="15">
        <v>0</v>
      </c>
      <c r="H89" s="15">
        <v>13767.894218290088</v>
      </c>
      <c r="I89" s="10">
        <f t="shared" si="3"/>
        <v>-13767.894218290088</v>
      </c>
      <c r="J89" s="14" t="s">
        <v>218</v>
      </c>
      <c r="K89" s="14" t="s">
        <v>219</v>
      </c>
      <c r="L89" s="14" t="s">
        <v>220</v>
      </c>
      <c r="M89" s="8" t="str">
        <f t="shared" si="4"/>
        <v>2026-01</v>
      </c>
      <c r="N89" s="8" t="str">
        <f t="shared" si="5"/>
        <v>OK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>
      <c r="A90" s="14" t="s">
        <v>221</v>
      </c>
      <c r="B90" s="26">
        <v>46050</v>
      </c>
      <c r="C90" s="14" t="s">
        <v>76</v>
      </c>
      <c r="D90" s="27" t="str">
        <f>IFERROR(VLOOKUP(C90,'Chart of Accounts'!$A$4:$F$30,2,FALSE),"")</f>
        <v>Payroll Liabilities</v>
      </c>
      <c r="E90" s="27" t="str">
        <f>IFERROR(VLOOKUP(C90,'Chart of Accounts'!$A$4:$F$30,4,FALSE),"")</f>
        <v>Payroll Liabilities</v>
      </c>
      <c r="F90" s="27" t="str">
        <f>IFERROR(VLOOKUP(C90,'Chart of Accounts'!$A$4:$F$30,5,FALSE),"")</f>
        <v>BS</v>
      </c>
      <c r="G90" s="15">
        <v>13767.894218290088</v>
      </c>
      <c r="H90" s="15">
        <v>0</v>
      </c>
      <c r="I90" s="10">
        <f t="shared" si="3"/>
        <v>13767.894218290088</v>
      </c>
      <c r="J90" s="14" t="s">
        <v>222</v>
      </c>
      <c r="K90" s="14" t="s">
        <v>223</v>
      </c>
      <c r="L90" s="14" t="s">
        <v>220</v>
      </c>
      <c r="M90" s="8" t="str">
        <f t="shared" si="4"/>
        <v>2026-01</v>
      </c>
      <c r="N90" s="8" t="str">
        <f t="shared" si="5"/>
        <v>OK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>
      <c r="A91" s="14" t="s">
        <v>221</v>
      </c>
      <c r="B91" s="26">
        <v>46050</v>
      </c>
      <c r="C91" s="14" t="s">
        <v>52</v>
      </c>
      <c r="D91" s="27" t="str">
        <f>IFERROR(VLOOKUP(C91,'Chart of Accounts'!$A$4:$F$30,2,FALSE),"")</f>
        <v>Bank</v>
      </c>
      <c r="E91" s="27" t="str">
        <f>IFERROR(VLOOKUP(C91,'Chart of Accounts'!$A$4:$F$30,4,FALSE),"")</f>
        <v>Cash</v>
      </c>
      <c r="F91" s="27" t="str">
        <f>IFERROR(VLOOKUP(C91,'Chart of Accounts'!$A$4:$F$30,5,FALSE),"")</f>
        <v>BS</v>
      </c>
      <c r="G91" s="15">
        <v>0</v>
      </c>
      <c r="H91" s="15">
        <v>13767.894218290088</v>
      </c>
      <c r="I91" s="10">
        <f t="shared" si="3"/>
        <v>-13767.894218290088</v>
      </c>
      <c r="J91" s="14" t="s">
        <v>222</v>
      </c>
      <c r="K91" s="14" t="s">
        <v>223</v>
      </c>
      <c r="L91" s="14" t="s">
        <v>220</v>
      </c>
      <c r="M91" s="8" t="str">
        <f t="shared" si="4"/>
        <v>2026-01</v>
      </c>
      <c r="N91" s="8" t="str">
        <f t="shared" si="5"/>
        <v>OK</v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>
      <c r="A92" s="14" t="s">
        <v>224</v>
      </c>
      <c r="B92" s="26">
        <v>46040</v>
      </c>
      <c r="C92" s="14" t="s">
        <v>100</v>
      </c>
      <c r="D92" s="27" t="str">
        <f>IFERROR(VLOOKUP(C92,'Chart of Accounts'!$A$4:$F$30,2,FALSE),"")</f>
        <v>Marketing</v>
      </c>
      <c r="E92" s="27" t="str">
        <f>IFERROR(VLOOKUP(C92,'Chart of Accounts'!$A$4:$F$30,4,FALSE),"")</f>
        <v>Marketing</v>
      </c>
      <c r="F92" s="27" t="str">
        <f>IFERROR(VLOOKUP(C92,'Chart of Accounts'!$A$4:$F$30,5,FALSE),"")</f>
        <v>PL</v>
      </c>
      <c r="G92" s="15">
        <v>60208.156719069142</v>
      </c>
      <c r="H92" s="15">
        <v>0</v>
      </c>
      <c r="I92" s="10">
        <f t="shared" si="3"/>
        <v>60208.156719069142</v>
      </c>
      <c r="J92" s="14" t="s">
        <v>225</v>
      </c>
      <c r="K92" s="14" t="s">
        <v>226</v>
      </c>
      <c r="L92" s="14" t="s">
        <v>190</v>
      </c>
      <c r="M92" s="8" t="str">
        <f t="shared" si="4"/>
        <v>2026-01</v>
      </c>
      <c r="N92" s="8" t="str">
        <f t="shared" si="5"/>
        <v>OK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>
      <c r="A93" s="14" t="s">
        <v>224</v>
      </c>
      <c r="B93" s="26">
        <v>46040</v>
      </c>
      <c r="C93" s="14" t="s">
        <v>71</v>
      </c>
      <c r="D93" s="27" t="str">
        <f>IFERROR(VLOOKUP(C93,'Chart of Accounts'!$A$4:$F$30,2,FALSE),"")</f>
        <v>Trade Payables</v>
      </c>
      <c r="E93" s="27" t="str">
        <f>IFERROR(VLOOKUP(C93,'Chart of Accounts'!$A$4:$F$30,4,FALSE),"")</f>
        <v>Trade Payables</v>
      </c>
      <c r="F93" s="27" t="str">
        <f>IFERROR(VLOOKUP(C93,'Chart of Accounts'!$A$4:$F$30,5,FALSE),"")</f>
        <v>BS</v>
      </c>
      <c r="G93" s="15">
        <v>0</v>
      </c>
      <c r="H93" s="15">
        <v>60208.156719069142</v>
      </c>
      <c r="I93" s="10">
        <f t="shared" si="3"/>
        <v>-60208.156719069142</v>
      </c>
      <c r="J93" s="14" t="s">
        <v>225</v>
      </c>
      <c r="K93" s="14" t="s">
        <v>226</v>
      </c>
      <c r="L93" s="14" t="s">
        <v>190</v>
      </c>
      <c r="M93" s="8" t="str">
        <f t="shared" si="4"/>
        <v>2026-01</v>
      </c>
      <c r="N93" s="8" t="str">
        <f t="shared" si="5"/>
        <v>OK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>
      <c r="A94" s="14" t="s">
        <v>227</v>
      </c>
      <c r="B94" s="26">
        <v>46023</v>
      </c>
      <c r="C94" s="14" t="s">
        <v>102</v>
      </c>
      <c r="D94" s="27" t="str">
        <f>IFERROR(VLOOKUP(C94,'Chart of Accounts'!$A$4:$F$30,2,FALSE),"")</f>
        <v>Rent</v>
      </c>
      <c r="E94" s="27" t="str">
        <f>IFERROR(VLOOKUP(C94,'Chart of Accounts'!$A$4:$F$30,4,FALSE),"")</f>
        <v>Rent</v>
      </c>
      <c r="F94" s="27" t="str">
        <f>IFERROR(VLOOKUP(C94,'Chart of Accounts'!$A$4:$F$30,5,FALSE),"")</f>
        <v>PL</v>
      </c>
      <c r="G94" s="15">
        <v>52000</v>
      </c>
      <c r="H94" s="15">
        <v>0</v>
      </c>
      <c r="I94" s="10">
        <f t="shared" si="3"/>
        <v>52000</v>
      </c>
      <c r="J94" s="14" t="s">
        <v>228</v>
      </c>
      <c r="K94" s="14" t="s">
        <v>229</v>
      </c>
      <c r="L94" s="14" t="s">
        <v>53</v>
      </c>
      <c r="M94" s="8" t="str">
        <f t="shared" si="4"/>
        <v>2026-01</v>
      </c>
      <c r="N94" s="8" t="str">
        <f t="shared" si="5"/>
        <v>OK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>
      <c r="A95" s="14" t="s">
        <v>227</v>
      </c>
      <c r="B95" s="26">
        <v>46023</v>
      </c>
      <c r="C95" s="14" t="s">
        <v>52</v>
      </c>
      <c r="D95" s="27" t="str">
        <f>IFERROR(VLOOKUP(C95,'Chart of Accounts'!$A$4:$F$30,2,FALSE),"")</f>
        <v>Bank</v>
      </c>
      <c r="E95" s="27" t="str">
        <f>IFERROR(VLOOKUP(C95,'Chart of Accounts'!$A$4:$F$30,4,FALSE),"")</f>
        <v>Cash</v>
      </c>
      <c r="F95" s="27" t="str">
        <f>IFERROR(VLOOKUP(C95,'Chart of Accounts'!$A$4:$F$30,5,FALSE),"")</f>
        <v>BS</v>
      </c>
      <c r="G95" s="15">
        <v>0</v>
      </c>
      <c r="H95" s="15">
        <v>52000</v>
      </c>
      <c r="I95" s="10">
        <f t="shared" si="3"/>
        <v>-52000</v>
      </c>
      <c r="J95" s="14" t="s">
        <v>228</v>
      </c>
      <c r="K95" s="14" t="s">
        <v>229</v>
      </c>
      <c r="L95" s="14" t="s">
        <v>53</v>
      </c>
      <c r="M95" s="8" t="str">
        <f t="shared" si="4"/>
        <v>2026-01</v>
      </c>
      <c r="N95" s="8" t="str">
        <f t="shared" si="5"/>
        <v>OK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>
      <c r="A96" s="14" t="s">
        <v>230</v>
      </c>
      <c r="B96" s="26">
        <v>46042</v>
      </c>
      <c r="C96" s="14" t="s">
        <v>104</v>
      </c>
      <c r="D96" s="27" t="str">
        <f>IFERROR(VLOOKUP(C96,'Chart of Accounts'!$A$4:$F$30,2,FALSE),"")</f>
        <v>Utilities</v>
      </c>
      <c r="E96" s="27" t="str">
        <f>IFERROR(VLOOKUP(C96,'Chart of Accounts'!$A$4:$F$30,4,FALSE),"")</f>
        <v>Utilities</v>
      </c>
      <c r="F96" s="27" t="str">
        <f>IFERROR(VLOOKUP(C96,'Chart of Accounts'!$A$4:$F$30,5,FALSE),"")</f>
        <v>PL</v>
      </c>
      <c r="G96" s="15">
        <v>19822.433474415124</v>
      </c>
      <c r="H96" s="15">
        <v>0</v>
      </c>
      <c r="I96" s="10">
        <f t="shared" si="3"/>
        <v>19822.433474415124</v>
      </c>
      <c r="J96" s="14" t="s">
        <v>231</v>
      </c>
      <c r="K96" s="14" t="s">
        <v>232</v>
      </c>
      <c r="L96" s="14" t="s">
        <v>190</v>
      </c>
      <c r="M96" s="8" t="str">
        <f t="shared" si="4"/>
        <v>2026-01</v>
      </c>
      <c r="N96" s="8" t="str">
        <f t="shared" si="5"/>
        <v>OK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>
      <c r="A97" s="14" t="s">
        <v>230</v>
      </c>
      <c r="B97" s="26">
        <v>46042</v>
      </c>
      <c r="C97" s="14" t="s">
        <v>71</v>
      </c>
      <c r="D97" s="27" t="str">
        <f>IFERROR(VLOOKUP(C97,'Chart of Accounts'!$A$4:$F$30,2,FALSE),"")</f>
        <v>Trade Payables</v>
      </c>
      <c r="E97" s="27" t="str">
        <f>IFERROR(VLOOKUP(C97,'Chart of Accounts'!$A$4:$F$30,4,FALSE),"")</f>
        <v>Trade Payables</v>
      </c>
      <c r="F97" s="27" t="str">
        <f>IFERROR(VLOOKUP(C97,'Chart of Accounts'!$A$4:$F$30,5,FALSE),"")</f>
        <v>BS</v>
      </c>
      <c r="G97" s="15">
        <v>0</v>
      </c>
      <c r="H97" s="15">
        <v>19822.433474415124</v>
      </c>
      <c r="I97" s="10">
        <f t="shared" si="3"/>
        <v>-19822.433474415124</v>
      </c>
      <c r="J97" s="14" t="s">
        <v>231</v>
      </c>
      <c r="K97" s="14" t="s">
        <v>232</v>
      </c>
      <c r="L97" s="14" t="s">
        <v>190</v>
      </c>
      <c r="M97" s="8" t="str">
        <f t="shared" si="4"/>
        <v>2026-01</v>
      </c>
      <c r="N97" s="8" t="str">
        <f t="shared" si="5"/>
        <v>OK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>
      <c r="A98" s="14" t="s">
        <v>233</v>
      </c>
      <c r="B98" s="26">
        <v>46038</v>
      </c>
      <c r="C98" s="14" t="s">
        <v>106</v>
      </c>
      <c r="D98" s="27" t="str">
        <f>IFERROR(VLOOKUP(C98,'Chart of Accounts'!$A$4:$F$30,2,FALSE),"")</f>
        <v>Professional Fees</v>
      </c>
      <c r="E98" s="27" t="str">
        <f>IFERROR(VLOOKUP(C98,'Chart of Accounts'!$A$4:$F$30,4,FALSE),"")</f>
        <v>Professional Fees</v>
      </c>
      <c r="F98" s="27" t="str">
        <f>IFERROR(VLOOKUP(C98,'Chart of Accounts'!$A$4:$F$30,5,FALSE),"")</f>
        <v>PL</v>
      </c>
      <c r="G98" s="15">
        <v>14134.748959828052</v>
      </c>
      <c r="H98" s="15">
        <v>0</v>
      </c>
      <c r="I98" s="10">
        <f t="shared" si="3"/>
        <v>14134.748959828052</v>
      </c>
      <c r="J98" s="14" t="s">
        <v>234</v>
      </c>
      <c r="K98" s="14" t="s">
        <v>235</v>
      </c>
      <c r="L98" s="14" t="s">
        <v>190</v>
      </c>
      <c r="M98" s="8" t="str">
        <f t="shared" si="4"/>
        <v>2026-01</v>
      </c>
      <c r="N98" s="8" t="str">
        <f t="shared" si="5"/>
        <v>OK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>
      <c r="A99" s="14" t="s">
        <v>233</v>
      </c>
      <c r="B99" s="26">
        <v>46038</v>
      </c>
      <c r="C99" s="14" t="s">
        <v>71</v>
      </c>
      <c r="D99" s="27" t="str">
        <f>IFERROR(VLOOKUP(C99,'Chart of Accounts'!$A$4:$F$30,2,FALSE),"")</f>
        <v>Trade Payables</v>
      </c>
      <c r="E99" s="27" t="str">
        <f>IFERROR(VLOOKUP(C99,'Chart of Accounts'!$A$4:$F$30,4,FALSE),"")</f>
        <v>Trade Payables</v>
      </c>
      <c r="F99" s="27" t="str">
        <f>IFERROR(VLOOKUP(C99,'Chart of Accounts'!$A$4:$F$30,5,FALSE),"")</f>
        <v>BS</v>
      </c>
      <c r="G99" s="15">
        <v>0</v>
      </c>
      <c r="H99" s="15">
        <v>14134.748959828052</v>
      </c>
      <c r="I99" s="10">
        <f t="shared" si="3"/>
        <v>-14134.748959828052</v>
      </c>
      <c r="J99" s="14" t="s">
        <v>234</v>
      </c>
      <c r="K99" s="14" t="s">
        <v>235</v>
      </c>
      <c r="L99" s="14" t="s">
        <v>190</v>
      </c>
      <c r="M99" s="8" t="str">
        <f t="shared" si="4"/>
        <v>2026-01</v>
      </c>
      <c r="N99" s="8" t="str">
        <f t="shared" si="5"/>
        <v>OK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>
      <c r="A100" s="14" t="s">
        <v>236</v>
      </c>
      <c r="B100" s="26">
        <v>46027</v>
      </c>
      <c r="C100" s="14" t="s">
        <v>110</v>
      </c>
      <c r="D100" s="27" t="str">
        <f>IFERROR(VLOOKUP(C100,'Chart of Accounts'!$A$4:$F$30,2,FALSE),"")</f>
        <v>Software &amp; IT</v>
      </c>
      <c r="E100" s="27" t="str">
        <f>IFERROR(VLOOKUP(C100,'Chart of Accounts'!$A$4:$F$30,4,FALSE),"")</f>
        <v>Software &amp; IT</v>
      </c>
      <c r="F100" s="27" t="str">
        <f>IFERROR(VLOOKUP(C100,'Chart of Accounts'!$A$4:$F$30,5,FALSE),"")</f>
        <v>PL</v>
      </c>
      <c r="G100" s="15">
        <v>23800</v>
      </c>
      <c r="H100" s="15">
        <v>0</v>
      </c>
      <c r="I100" s="10">
        <f t="shared" si="3"/>
        <v>23800</v>
      </c>
      <c r="J100" s="14" t="s">
        <v>237</v>
      </c>
      <c r="K100" s="14" t="s">
        <v>238</v>
      </c>
      <c r="L100" s="14" t="s">
        <v>53</v>
      </c>
      <c r="M100" s="8" t="str">
        <f t="shared" si="4"/>
        <v>2026-01</v>
      </c>
      <c r="N100" s="8" t="str">
        <f t="shared" si="5"/>
        <v>OK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>
      <c r="A101" s="14" t="s">
        <v>236</v>
      </c>
      <c r="B101" s="26">
        <v>46027</v>
      </c>
      <c r="C101" s="14" t="s">
        <v>52</v>
      </c>
      <c r="D101" s="27" t="str">
        <f>IFERROR(VLOOKUP(C101,'Chart of Accounts'!$A$4:$F$30,2,FALSE),"")</f>
        <v>Bank</v>
      </c>
      <c r="E101" s="27" t="str">
        <f>IFERROR(VLOOKUP(C101,'Chart of Accounts'!$A$4:$F$30,4,FALSE),"")</f>
        <v>Cash</v>
      </c>
      <c r="F101" s="27" t="str">
        <f>IFERROR(VLOOKUP(C101,'Chart of Accounts'!$A$4:$F$30,5,FALSE),"")</f>
        <v>BS</v>
      </c>
      <c r="G101" s="15">
        <v>0</v>
      </c>
      <c r="H101" s="15">
        <v>23800</v>
      </c>
      <c r="I101" s="10">
        <f t="shared" si="3"/>
        <v>-23800</v>
      </c>
      <c r="J101" s="14" t="s">
        <v>237</v>
      </c>
      <c r="K101" s="14" t="s">
        <v>238</v>
      </c>
      <c r="L101" s="14" t="s">
        <v>53</v>
      </c>
      <c r="M101" s="8" t="str">
        <f t="shared" si="4"/>
        <v>2026-01</v>
      </c>
      <c r="N101" s="8" t="str">
        <f t="shared" si="5"/>
        <v>OK</v>
      </c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>
      <c r="A102" s="14" t="s">
        <v>239</v>
      </c>
      <c r="B102" s="26">
        <v>46044</v>
      </c>
      <c r="C102" s="14" t="s">
        <v>112</v>
      </c>
      <c r="D102" s="27" t="str">
        <f>IFERROR(VLOOKUP(C102,'Chart of Accounts'!$A$4:$F$30,2,FALSE),"")</f>
        <v>Travel &amp; Entertainment</v>
      </c>
      <c r="E102" s="27" t="str">
        <f>IFERROR(VLOOKUP(C102,'Chart of Accounts'!$A$4:$F$30,4,FALSE),"")</f>
        <v>Travel</v>
      </c>
      <c r="F102" s="27" t="str">
        <f>IFERROR(VLOOKUP(C102,'Chart of Accounts'!$A$4:$F$30,5,FALSE),"")</f>
        <v>PL</v>
      </c>
      <c r="G102" s="15">
        <v>7868.497595747951</v>
      </c>
      <c r="H102" s="15">
        <v>0</v>
      </c>
      <c r="I102" s="10">
        <f t="shared" si="3"/>
        <v>7868.497595747951</v>
      </c>
      <c r="J102" s="14" t="s">
        <v>240</v>
      </c>
      <c r="K102" s="14" t="s">
        <v>241</v>
      </c>
      <c r="L102" s="14" t="s">
        <v>53</v>
      </c>
      <c r="M102" s="8" t="str">
        <f t="shared" si="4"/>
        <v>2026-01</v>
      </c>
      <c r="N102" s="8" t="str">
        <f t="shared" si="5"/>
        <v>OK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>
      <c r="A103" s="14" t="s">
        <v>239</v>
      </c>
      <c r="B103" s="26">
        <v>46044</v>
      </c>
      <c r="C103" s="14" t="s">
        <v>52</v>
      </c>
      <c r="D103" s="27" t="str">
        <f>IFERROR(VLOOKUP(C103,'Chart of Accounts'!$A$4:$F$30,2,FALSE),"")</f>
        <v>Bank</v>
      </c>
      <c r="E103" s="27" t="str">
        <f>IFERROR(VLOOKUP(C103,'Chart of Accounts'!$A$4:$F$30,4,FALSE),"")</f>
        <v>Cash</v>
      </c>
      <c r="F103" s="27" t="str">
        <f>IFERROR(VLOOKUP(C103,'Chart of Accounts'!$A$4:$F$30,5,FALSE),"")</f>
        <v>BS</v>
      </c>
      <c r="G103" s="15">
        <v>0</v>
      </c>
      <c r="H103" s="15">
        <v>7868.497595747951</v>
      </c>
      <c r="I103" s="10">
        <f t="shared" si="3"/>
        <v>-7868.497595747951</v>
      </c>
      <c r="J103" s="14" t="s">
        <v>240</v>
      </c>
      <c r="K103" s="14" t="s">
        <v>241</v>
      </c>
      <c r="L103" s="14" t="s">
        <v>53</v>
      </c>
      <c r="M103" s="8" t="str">
        <f t="shared" si="4"/>
        <v>2026-01</v>
      </c>
      <c r="N103" s="8" t="str">
        <f t="shared" si="5"/>
        <v>OK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>
      <c r="A104" s="14" t="s">
        <v>242</v>
      </c>
      <c r="B104" s="26">
        <v>46049</v>
      </c>
      <c r="C104" s="14" t="s">
        <v>120</v>
      </c>
      <c r="D104" s="27" t="str">
        <f>IFERROR(VLOOKUP(C104,'Chart of Accounts'!$A$4:$F$30,2,FALSE),"")</f>
        <v>Interest Expense</v>
      </c>
      <c r="E104" s="27" t="str">
        <f>IFERROR(VLOOKUP(C104,'Chart of Accounts'!$A$4:$F$30,4,FALSE),"")</f>
        <v>Interest</v>
      </c>
      <c r="F104" s="27" t="str">
        <f>IFERROR(VLOOKUP(C104,'Chart of Accounts'!$A$4:$F$30,5,FALSE),"")</f>
        <v>PL</v>
      </c>
      <c r="G104" s="15">
        <v>5500</v>
      </c>
      <c r="H104" s="15">
        <v>0</v>
      </c>
      <c r="I104" s="10">
        <f t="shared" si="3"/>
        <v>5500</v>
      </c>
      <c r="J104" s="14" t="s">
        <v>243</v>
      </c>
      <c r="K104" s="14" t="s">
        <v>244</v>
      </c>
      <c r="L104" s="14" t="s">
        <v>53</v>
      </c>
      <c r="M104" s="8" t="str">
        <f t="shared" si="4"/>
        <v>2026-01</v>
      </c>
      <c r="N104" s="8" t="str">
        <f t="shared" si="5"/>
        <v>OK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>
      <c r="A105" s="14" t="s">
        <v>242</v>
      </c>
      <c r="B105" s="26">
        <v>46049</v>
      </c>
      <c r="C105" s="14" t="s">
        <v>52</v>
      </c>
      <c r="D105" s="27" t="str">
        <f>IFERROR(VLOOKUP(C105,'Chart of Accounts'!$A$4:$F$30,2,FALSE),"")</f>
        <v>Bank</v>
      </c>
      <c r="E105" s="27" t="str">
        <f>IFERROR(VLOOKUP(C105,'Chart of Accounts'!$A$4:$F$30,4,FALSE),"")</f>
        <v>Cash</v>
      </c>
      <c r="F105" s="27" t="str">
        <f>IFERROR(VLOOKUP(C105,'Chart of Accounts'!$A$4:$F$30,5,FALSE),"")</f>
        <v>BS</v>
      </c>
      <c r="G105" s="15">
        <v>0</v>
      </c>
      <c r="H105" s="15">
        <v>5500</v>
      </c>
      <c r="I105" s="10">
        <f t="shared" si="3"/>
        <v>-5500</v>
      </c>
      <c r="J105" s="14" t="s">
        <v>243</v>
      </c>
      <c r="K105" s="14" t="s">
        <v>244</v>
      </c>
      <c r="L105" s="14" t="s">
        <v>53</v>
      </c>
      <c r="M105" s="8" t="str">
        <f t="shared" si="4"/>
        <v>2026-01</v>
      </c>
      <c r="N105" s="8" t="str">
        <f t="shared" si="5"/>
        <v>OK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>
      <c r="A106" s="14" t="s">
        <v>245</v>
      </c>
      <c r="B106" s="26">
        <v>46050</v>
      </c>
      <c r="C106" s="14" t="s">
        <v>115</v>
      </c>
      <c r="D106" s="27" t="str">
        <f>IFERROR(VLOOKUP(C106,'Chart of Accounts'!$A$4:$F$30,2,FALSE),"")</f>
        <v>Depreciation</v>
      </c>
      <c r="E106" s="27" t="str">
        <f>IFERROR(VLOOKUP(C106,'Chart of Accounts'!$A$4:$F$30,4,FALSE),"")</f>
        <v>Depreciation</v>
      </c>
      <c r="F106" s="27" t="str">
        <f>IFERROR(VLOOKUP(C106,'Chart of Accounts'!$A$4:$F$30,5,FALSE),"")</f>
        <v>PL</v>
      </c>
      <c r="G106" s="15">
        <v>15000</v>
      </c>
      <c r="H106" s="15">
        <v>0</v>
      </c>
      <c r="I106" s="10">
        <f t="shared" si="3"/>
        <v>15000</v>
      </c>
      <c r="J106" s="14" t="s">
        <v>246</v>
      </c>
      <c r="K106" s="14" t="s">
        <v>247</v>
      </c>
      <c r="L106" s="14" t="s">
        <v>248</v>
      </c>
      <c r="M106" s="8" t="str">
        <f t="shared" si="4"/>
        <v>2026-01</v>
      </c>
      <c r="N106" s="8" t="str">
        <f t="shared" si="5"/>
        <v>OK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>
      <c r="A107" s="14" t="s">
        <v>245</v>
      </c>
      <c r="B107" s="26">
        <v>46050</v>
      </c>
      <c r="C107" s="14" t="s">
        <v>69</v>
      </c>
      <c r="D107" s="27" t="str">
        <f>IFERROR(VLOOKUP(C107,'Chart of Accounts'!$A$4:$F$30,2,FALSE),"")</f>
        <v>Accumulated Depreciation</v>
      </c>
      <c r="E107" s="27" t="str">
        <f>IFERROR(VLOOKUP(C107,'Chart of Accounts'!$A$4:$F$30,4,FALSE),"")</f>
        <v>Accumulated Depreciation</v>
      </c>
      <c r="F107" s="27" t="str">
        <f>IFERROR(VLOOKUP(C107,'Chart of Accounts'!$A$4:$F$30,5,FALSE),"")</f>
        <v>BS</v>
      </c>
      <c r="G107" s="15">
        <v>0</v>
      </c>
      <c r="H107" s="15">
        <v>15000</v>
      </c>
      <c r="I107" s="10">
        <f t="shared" si="3"/>
        <v>-15000</v>
      </c>
      <c r="J107" s="14" t="s">
        <v>246</v>
      </c>
      <c r="K107" s="14" t="s">
        <v>247</v>
      </c>
      <c r="L107" s="14" t="s">
        <v>248</v>
      </c>
      <c r="M107" s="8" t="str">
        <f t="shared" si="4"/>
        <v>2026-01</v>
      </c>
      <c r="N107" s="8" t="str">
        <f t="shared" si="5"/>
        <v>OK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>
      <c r="A108" s="14" t="s">
        <v>249</v>
      </c>
      <c r="B108" s="26">
        <v>46034</v>
      </c>
      <c r="C108" s="14" t="s">
        <v>67</v>
      </c>
      <c r="D108" s="27" t="str">
        <f>IFERROR(VLOOKUP(C108,'Chart of Accounts'!$A$4:$F$30,2,FALSE),"")</f>
        <v>Property, Plant &amp; Equipment</v>
      </c>
      <c r="E108" s="27" t="str">
        <f>IFERROR(VLOOKUP(C108,'Chart of Accounts'!$A$4:$F$30,4,FALSE),"")</f>
        <v>Property, Plant &amp; Equipment</v>
      </c>
      <c r="F108" s="27" t="str">
        <f>IFERROR(VLOOKUP(C108,'Chart of Accounts'!$A$4:$F$30,5,FALSE),"")</f>
        <v>BS</v>
      </c>
      <c r="G108" s="15">
        <v>65000</v>
      </c>
      <c r="H108" s="15">
        <v>0</v>
      </c>
      <c r="I108" s="10">
        <f t="shared" si="3"/>
        <v>65000</v>
      </c>
      <c r="J108" s="14" t="s">
        <v>250</v>
      </c>
      <c r="K108" s="14" t="s">
        <v>251</v>
      </c>
      <c r="L108" s="14" t="s">
        <v>248</v>
      </c>
      <c r="M108" s="8" t="str">
        <f t="shared" si="4"/>
        <v>2026-01</v>
      </c>
      <c r="N108" s="8" t="str">
        <f t="shared" si="5"/>
        <v>OK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>
      <c r="A109" s="14" t="s">
        <v>249</v>
      </c>
      <c r="B109" s="26">
        <v>46034</v>
      </c>
      <c r="C109" s="14" t="s">
        <v>52</v>
      </c>
      <c r="D109" s="27" t="str">
        <f>IFERROR(VLOOKUP(C109,'Chart of Accounts'!$A$4:$F$30,2,FALSE),"")</f>
        <v>Bank</v>
      </c>
      <c r="E109" s="27" t="str">
        <f>IFERROR(VLOOKUP(C109,'Chart of Accounts'!$A$4:$F$30,4,FALSE),"")</f>
        <v>Cash</v>
      </c>
      <c r="F109" s="27" t="str">
        <f>IFERROR(VLOOKUP(C109,'Chart of Accounts'!$A$4:$F$30,5,FALSE),"")</f>
        <v>BS</v>
      </c>
      <c r="G109" s="15">
        <v>0</v>
      </c>
      <c r="H109" s="15">
        <v>65000</v>
      </c>
      <c r="I109" s="10">
        <f t="shared" si="3"/>
        <v>-65000</v>
      </c>
      <c r="J109" s="14" t="s">
        <v>250</v>
      </c>
      <c r="K109" s="14" t="s">
        <v>251</v>
      </c>
      <c r="L109" s="14" t="s">
        <v>248</v>
      </c>
      <c r="M109" s="8" t="str">
        <f t="shared" si="4"/>
        <v>2026-01</v>
      </c>
      <c r="N109" s="8" t="str">
        <f t="shared" si="5"/>
        <v>OK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>
      <c r="A110" s="14" t="s">
        <v>252</v>
      </c>
      <c r="B110" s="26">
        <v>46068</v>
      </c>
      <c r="C110" s="14" t="s">
        <v>58</v>
      </c>
      <c r="D110" s="27" t="str">
        <f>IFERROR(VLOOKUP(C110,'Chart of Accounts'!$A$4:$F$30,2,FALSE),"")</f>
        <v>Trade Receivables</v>
      </c>
      <c r="E110" s="27" t="str">
        <f>IFERROR(VLOOKUP(C110,'Chart of Accounts'!$A$4:$F$30,4,FALSE),"")</f>
        <v>Trade Receivables</v>
      </c>
      <c r="F110" s="27" t="str">
        <f>IFERROR(VLOOKUP(C110,'Chart of Accounts'!$A$4:$F$30,5,FALSE),"")</f>
        <v>BS</v>
      </c>
      <c r="G110" s="15">
        <v>83542.933876693627</v>
      </c>
      <c r="H110" s="15">
        <v>0</v>
      </c>
      <c r="I110" s="10">
        <f t="shared" si="3"/>
        <v>83542.933876693627</v>
      </c>
      <c r="J110" s="14" t="s">
        <v>253</v>
      </c>
      <c r="K110" s="14" t="s">
        <v>146</v>
      </c>
      <c r="L110" s="14" t="s">
        <v>140</v>
      </c>
      <c r="M110" s="8" t="str">
        <f t="shared" si="4"/>
        <v>2026-02</v>
      </c>
      <c r="N110" s="8" t="str">
        <f t="shared" si="5"/>
        <v>OK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>
      <c r="A111" s="14" t="s">
        <v>252</v>
      </c>
      <c r="B111" s="26">
        <v>46068</v>
      </c>
      <c r="C111" s="14" t="s">
        <v>86</v>
      </c>
      <c r="D111" s="27" t="str">
        <f>IFERROR(VLOOKUP(C111,'Chart of Accounts'!$A$4:$F$30,2,FALSE),"")</f>
        <v>Product Sales</v>
      </c>
      <c r="E111" s="27" t="str">
        <f>IFERROR(VLOOKUP(C111,'Chart of Accounts'!$A$4:$F$30,4,FALSE),"")</f>
        <v>Revenue</v>
      </c>
      <c r="F111" s="27" t="str">
        <f>IFERROR(VLOOKUP(C111,'Chart of Accounts'!$A$4:$F$30,5,FALSE),"")</f>
        <v>PL</v>
      </c>
      <c r="G111" s="15">
        <v>0</v>
      </c>
      <c r="H111" s="15">
        <v>83542.933876693627</v>
      </c>
      <c r="I111" s="10">
        <f t="shared" si="3"/>
        <v>-83542.933876693627</v>
      </c>
      <c r="J111" s="14" t="s">
        <v>253</v>
      </c>
      <c r="K111" s="14" t="s">
        <v>146</v>
      </c>
      <c r="L111" s="14" t="s">
        <v>140</v>
      </c>
      <c r="M111" s="8" t="str">
        <f t="shared" si="4"/>
        <v>2026-02</v>
      </c>
      <c r="N111" s="8" t="str">
        <f t="shared" si="5"/>
        <v>OK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>
      <c r="A112" s="14" t="s">
        <v>252</v>
      </c>
      <c r="B112" s="26">
        <v>46068</v>
      </c>
      <c r="C112" s="14" t="s">
        <v>90</v>
      </c>
      <c r="D112" s="27" t="str">
        <f>IFERROR(VLOOKUP(C112,'Chart of Accounts'!$A$4:$F$30,2,FALSE),"")</f>
        <v>Cost of Goods Sold</v>
      </c>
      <c r="E112" s="27" t="str">
        <f>IFERROR(VLOOKUP(C112,'Chart of Accounts'!$A$4:$F$30,4,FALSE),"")</f>
        <v>COGS</v>
      </c>
      <c r="F112" s="27" t="str">
        <f>IFERROR(VLOOKUP(C112,'Chart of Accounts'!$A$4:$F$30,5,FALSE),"")</f>
        <v>PL</v>
      </c>
      <c r="G112" s="15">
        <v>46199.242433811567</v>
      </c>
      <c r="H112" s="15">
        <v>0</v>
      </c>
      <c r="I112" s="10">
        <f t="shared" si="3"/>
        <v>46199.242433811567</v>
      </c>
      <c r="J112" s="14" t="s">
        <v>253</v>
      </c>
      <c r="K112" s="14" t="s">
        <v>146</v>
      </c>
      <c r="L112" s="14" t="s">
        <v>140</v>
      </c>
      <c r="M112" s="8" t="str">
        <f t="shared" si="4"/>
        <v>2026-02</v>
      </c>
      <c r="N112" s="8" t="str">
        <f t="shared" si="5"/>
        <v>OK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>
      <c r="A113" s="14" t="s">
        <v>252</v>
      </c>
      <c r="B113" s="26">
        <v>46068</v>
      </c>
      <c r="C113" s="14" t="s">
        <v>63</v>
      </c>
      <c r="D113" s="27" t="str">
        <f>IFERROR(VLOOKUP(C113,'Chart of Accounts'!$A$4:$F$30,2,FALSE),"")</f>
        <v>Inventory</v>
      </c>
      <c r="E113" s="27" t="str">
        <f>IFERROR(VLOOKUP(C113,'Chart of Accounts'!$A$4:$F$30,4,FALSE),"")</f>
        <v>Inventory</v>
      </c>
      <c r="F113" s="27" t="str">
        <f>IFERROR(VLOOKUP(C113,'Chart of Accounts'!$A$4:$F$30,5,FALSE),"")</f>
        <v>BS</v>
      </c>
      <c r="G113" s="15">
        <v>0</v>
      </c>
      <c r="H113" s="15">
        <v>46199.242433811567</v>
      </c>
      <c r="I113" s="10">
        <f t="shared" si="3"/>
        <v>-46199.242433811567</v>
      </c>
      <c r="J113" s="14" t="s">
        <v>253</v>
      </c>
      <c r="K113" s="14" t="s">
        <v>146</v>
      </c>
      <c r="L113" s="14" t="s">
        <v>140</v>
      </c>
      <c r="M113" s="8" t="str">
        <f t="shared" si="4"/>
        <v>2026-02</v>
      </c>
      <c r="N113" s="8" t="str">
        <f t="shared" si="5"/>
        <v>OK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>
      <c r="A114" s="14" t="s">
        <v>254</v>
      </c>
      <c r="B114" s="26">
        <v>46072</v>
      </c>
      <c r="C114" s="14" t="s">
        <v>58</v>
      </c>
      <c r="D114" s="27" t="str">
        <f>IFERROR(VLOOKUP(C114,'Chart of Accounts'!$A$4:$F$30,2,FALSE),"")</f>
        <v>Trade Receivables</v>
      </c>
      <c r="E114" s="27" t="str">
        <f>IFERROR(VLOOKUP(C114,'Chart of Accounts'!$A$4:$F$30,4,FALSE),"")</f>
        <v>Trade Receivables</v>
      </c>
      <c r="F114" s="27" t="str">
        <f>IFERROR(VLOOKUP(C114,'Chart of Accounts'!$A$4:$F$30,5,FALSE),"")</f>
        <v>BS</v>
      </c>
      <c r="G114" s="15">
        <v>65408.560098467366</v>
      </c>
      <c r="H114" s="15">
        <v>0</v>
      </c>
      <c r="I114" s="10">
        <f t="shared" si="3"/>
        <v>65408.560098467366</v>
      </c>
      <c r="J114" s="14" t="s">
        <v>255</v>
      </c>
      <c r="K114" s="14" t="s">
        <v>256</v>
      </c>
      <c r="L114" s="14" t="s">
        <v>140</v>
      </c>
      <c r="M114" s="8" t="str">
        <f t="shared" si="4"/>
        <v>2026-02</v>
      </c>
      <c r="N114" s="8" t="str">
        <f t="shared" si="5"/>
        <v>OK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>
      <c r="A115" s="14" t="s">
        <v>254</v>
      </c>
      <c r="B115" s="26">
        <v>46072</v>
      </c>
      <c r="C115" s="14" t="s">
        <v>86</v>
      </c>
      <c r="D115" s="27" t="str">
        <f>IFERROR(VLOOKUP(C115,'Chart of Accounts'!$A$4:$F$30,2,FALSE),"")</f>
        <v>Product Sales</v>
      </c>
      <c r="E115" s="27" t="str">
        <f>IFERROR(VLOOKUP(C115,'Chart of Accounts'!$A$4:$F$30,4,FALSE),"")</f>
        <v>Revenue</v>
      </c>
      <c r="F115" s="27" t="str">
        <f>IFERROR(VLOOKUP(C115,'Chart of Accounts'!$A$4:$F$30,5,FALSE),"")</f>
        <v>PL</v>
      </c>
      <c r="G115" s="15">
        <v>0</v>
      </c>
      <c r="H115" s="15">
        <v>65408.560098467366</v>
      </c>
      <c r="I115" s="10">
        <f t="shared" si="3"/>
        <v>-65408.560098467366</v>
      </c>
      <c r="J115" s="14" t="s">
        <v>255</v>
      </c>
      <c r="K115" s="14" t="s">
        <v>256</v>
      </c>
      <c r="L115" s="14" t="s">
        <v>140</v>
      </c>
      <c r="M115" s="8" t="str">
        <f t="shared" si="4"/>
        <v>2026-02</v>
      </c>
      <c r="N115" s="8" t="str">
        <f t="shared" si="5"/>
        <v>OK</v>
      </c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>
      <c r="A116" s="14" t="s">
        <v>254</v>
      </c>
      <c r="B116" s="26">
        <v>46072</v>
      </c>
      <c r="C116" s="14" t="s">
        <v>90</v>
      </c>
      <c r="D116" s="27" t="str">
        <f>IFERROR(VLOOKUP(C116,'Chart of Accounts'!$A$4:$F$30,2,FALSE),"")</f>
        <v>Cost of Goods Sold</v>
      </c>
      <c r="E116" s="27" t="str">
        <f>IFERROR(VLOOKUP(C116,'Chart of Accounts'!$A$4:$F$30,4,FALSE),"")</f>
        <v>COGS</v>
      </c>
      <c r="F116" s="27" t="str">
        <f>IFERROR(VLOOKUP(C116,'Chart of Accounts'!$A$4:$F$30,5,FALSE),"")</f>
        <v>PL</v>
      </c>
      <c r="G116" s="15">
        <v>36170.933734452454</v>
      </c>
      <c r="H116" s="15">
        <v>0</v>
      </c>
      <c r="I116" s="10">
        <f t="shared" si="3"/>
        <v>36170.933734452454</v>
      </c>
      <c r="J116" s="14" t="s">
        <v>255</v>
      </c>
      <c r="K116" s="14" t="s">
        <v>256</v>
      </c>
      <c r="L116" s="14" t="s">
        <v>140</v>
      </c>
      <c r="M116" s="8" t="str">
        <f t="shared" si="4"/>
        <v>2026-02</v>
      </c>
      <c r="N116" s="8" t="str">
        <f t="shared" si="5"/>
        <v>OK</v>
      </c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>
      <c r="A117" s="14" t="s">
        <v>254</v>
      </c>
      <c r="B117" s="26">
        <v>46072</v>
      </c>
      <c r="C117" s="14" t="s">
        <v>63</v>
      </c>
      <c r="D117" s="27" t="str">
        <f>IFERROR(VLOOKUP(C117,'Chart of Accounts'!$A$4:$F$30,2,FALSE),"")</f>
        <v>Inventory</v>
      </c>
      <c r="E117" s="27" t="str">
        <f>IFERROR(VLOOKUP(C117,'Chart of Accounts'!$A$4:$F$30,4,FALSE),"")</f>
        <v>Inventory</v>
      </c>
      <c r="F117" s="27" t="str">
        <f>IFERROR(VLOOKUP(C117,'Chart of Accounts'!$A$4:$F$30,5,FALSE),"")</f>
        <v>BS</v>
      </c>
      <c r="G117" s="15">
        <v>0</v>
      </c>
      <c r="H117" s="15">
        <v>36170.933734452454</v>
      </c>
      <c r="I117" s="10">
        <f t="shared" si="3"/>
        <v>-36170.933734452454</v>
      </c>
      <c r="J117" s="14" t="s">
        <v>255</v>
      </c>
      <c r="K117" s="14" t="s">
        <v>256</v>
      </c>
      <c r="L117" s="14" t="s">
        <v>140</v>
      </c>
      <c r="M117" s="8" t="str">
        <f t="shared" si="4"/>
        <v>2026-02</v>
      </c>
      <c r="N117" s="8" t="str">
        <f t="shared" si="5"/>
        <v>OK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>
      <c r="A118" s="14" t="s">
        <v>257</v>
      </c>
      <c r="B118" s="26">
        <v>46059</v>
      </c>
      <c r="C118" s="14" t="s">
        <v>58</v>
      </c>
      <c r="D118" s="27" t="str">
        <f>IFERROR(VLOOKUP(C118,'Chart of Accounts'!$A$4:$F$30,2,FALSE),"")</f>
        <v>Trade Receivables</v>
      </c>
      <c r="E118" s="27" t="str">
        <f>IFERROR(VLOOKUP(C118,'Chart of Accounts'!$A$4:$F$30,4,FALSE),"")</f>
        <v>Trade Receivables</v>
      </c>
      <c r="F118" s="27" t="str">
        <f>IFERROR(VLOOKUP(C118,'Chart of Accounts'!$A$4:$F$30,5,FALSE),"")</f>
        <v>BS</v>
      </c>
      <c r="G118" s="15">
        <v>56281.909650349866</v>
      </c>
      <c r="H118" s="15">
        <v>0</v>
      </c>
      <c r="I118" s="10">
        <f t="shared" si="3"/>
        <v>56281.909650349866</v>
      </c>
      <c r="J118" s="14" t="s">
        <v>258</v>
      </c>
      <c r="K118" s="14" t="s">
        <v>259</v>
      </c>
      <c r="L118" s="14" t="s">
        <v>140</v>
      </c>
      <c r="M118" s="8" t="str">
        <f t="shared" si="4"/>
        <v>2026-02</v>
      </c>
      <c r="N118" s="8" t="str">
        <f t="shared" si="5"/>
        <v>OK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>
      <c r="A119" s="14" t="s">
        <v>257</v>
      </c>
      <c r="B119" s="26">
        <v>46059</v>
      </c>
      <c r="C119" s="14" t="s">
        <v>86</v>
      </c>
      <c r="D119" s="27" t="str">
        <f>IFERROR(VLOOKUP(C119,'Chart of Accounts'!$A$4:$F$30,2,FALSE),"")</f>
        <v>Product Sales</v>
      </c>
      <c r="E119" s="27" t="str">
        <f>IFERROR(VLOOKUP(C119,'Chart of Accounts'!$A$4:$F$30,4,FALSE),"")</f>
        <v>Revenue</v>
      </c>
      <c r="F119" s="27" t="str">
        <f>IFERROR(VLOOKUP(C119,'Chart of Accounts'!$A$4:$F$30,5,FALSE),"")</f>
        <v>PL</v>
      </c>
      <c r="G119" s="15">
        <v>0</v>
      </c>
      <c r="H119" s="15">
        <v>56281.909650349866</v>
      </c>
      <c r="I119" s="10">
        <f t="shared" si="3"/>
        <v>-56281.909650349866</v>
      </c>
      <c r="J119" s="14" t="s">
        <v>258</v>
      </c>
      <c r="K119" s="14" t="s">
        <v>259</v>
      </c>
      <c r="L119" s="14" t="s">
        <v>140</v>
      </c>
      <c r="M119" s="8" t="str">
        <f t="shared" si="4"/>
        <v>2026-02</v>
      </c>
      <c r="N119" s="8" t="str">
        <f t="shared" si="5"/>
        <v>OK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>
      <c r="A120" s="14" t="s">
        <v>257</v>
      </c>
      <c r="B120" s="26">
        <v>46059</v>
      </c>
      <c r="C120" s="14" t="s">
        <v>90</v>
      </c>
      <c r="D120" s="27" t="str">
        <f>IFERROR(VLOOKUP(C120,'Chart of Accounts'!$A$4:$F$30,2,FALSE),"")</f>
        <v>Cost of Goods Sold</v>
      </c>
      <c r="E120" s="27" t="str">
        <f>IFERROR(VLOOKUP(C120,'Chart of Accounts'!$A$4:$F$30,4,FALSE),"")</f>
        <v>COGS</v>
      </c>
      <c r="F120" s="27" t="str">
        <f>IFERROR(VLOOKUP(C120,'Chart of Accounts'!$A$4:$F$30,5,FALSE),"")</f>
        <v>PL</v>
      </c>
      <c r="G120" s="15">
        <v>31123.896036643469</v>
      </c>
      <c r="H120" s="15">
        <v>0</v>
      </c>
      <c r="I120" s="10">
        <f t="shared" si="3"/>
        <v>31123.896036643469</v>
      </c>
      <c r="J120" s="14" t="s">
        <v>258</v>
      </c>
      <c r="K120" s="14" t="s">
        <v>259</v>
      </c>
      <c r="L120" s="14" t="s">
        <v>140</v>
      </c>
      <c r="M120" s="8" t="str">
        <f t="shared" si="4"/>
        <v>2026-02</v>
      </c>
      <c r="N120" s="8" t="str">
        <f t="shared" si="5"/>
        <v>OK</v>
      </c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>
      <c r="A121" s="14" t="s">
        <v>257</v>
      </c>
      <c r="B121" s="26">
        <v>46059</v>
      </c>
      <c r="C121" s="14" t="s">
        <v>63</v>
      </c>
      <c r="D121" s="27" t="str">
        <f>IFERROR(VLOOKUP(C121,'Chart of Accounts'!$A$4:$F$30,2,FALSE),"")</f>
        <v>Inventory</v>
      </c>
      <c r="E121" s="27" t="str">
        <f>IFERROR(VLOOKUP(C121,'Chart of Accounts'!$A$4:$F$30,4,FALSE),"")</f>
        <v>Inventory</v>
      </c>
      <c r="F121" s="27" t="str">
        <f>IFERROR(VLOOKUP(C121,'Chart of Accounts'!$A$4:$F$30,5,FALSE),"")</f>
        <v>BS</v>
      </c>
      <c r="G121" s="15">
        <v>0</v>
      </c>
      <c r="H121" s="15">
        <v>31123.896036643469</v>
      </c>
      <c r="I121" s="10">
        <f t="shared" si="3"/>
        <v>-31123.896036643469</v>
      </c>
      <c r="J121" s="14" t="s">
        <v>258</v>
      </c>
      <c r="K121" s="14" t="s">
        <v>259</v>
      </c>
      <c r="L121" s="14" t="s">
        <v>140</v>
      </c>
      <c r="M121" s="8" t="str">
        <f t="shared" si="4"/>
        <v>2026-02</v>
      </c>
      <c r="N121" s="8" t="str">
        <f t="shared" si="5"/>
        <v>OK</v>
      </c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>
      <c r="A122" s="14" t="s">
        <v>260</v>
      </c>
      <c r="B122" s="26">
        <v>46060</v>
      </c>
      <c r="C122" s="14" t="s">
        <v>58</v>
      </c>
      <c r="D122" s="27" t="str">
        <f>IFERROR(VLOOKUP(C122,'Chart of Accounts'!$A$4:$F$30,2,FALSE),"")</f>
        <v>Trade Receivables</v>
      </c>
      <c r="E122" s="27" t="str">
        <f>IFERROR(VLOOKUP(C122,'Chart of Accounts'!$A$4:$F$30,4,FALSE),"")</f>
        <v>Trade Receivables</v>
      </c>
      <c r="F122" s="27" t="str">
        <f>IFERROR(VLOOKUP(C122,'Chart of Accounts'!$A$4:$F$30,5,FALSE),"")</f>
        <v>BS</v>
      </c>
      <c r="G122" s="15">
        <v>52050.373998290124</v>
      </c>
      <c r="H122" s="15">
        <v>0</v>
      </c>
      <c r="I122" s="10">
        <f t="shared" si="3"/>
        <v>52050.373998290124</v>
      </c>
      <c r="J122" s="14" t="s">
        <v>261</v>
      </c>
      <c r="K122" s="14" t="s">
        <v>259</v>
      </c>
      <c r="L122" s="14" t="s">
        <v>140</v>
      </c>
      <c r="M122" s="8" t="str">
        <f t="shared" si="4"/>
        <v>2026-02</v>
      </c>
      <c r="N122" s="8" t="str">
        <f t="shared" si="5"/>
        <v>OK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>
      <c r="A123" s="14" t="s">
        <v>260</v>
      </c>
      <c r="B123" s="26">
        <v>46060</v>
      </c>
      <c r="C123" s="14" t="s">
        <v>86</v>
      </c>
      <c r="D123" s="27" t="str">
        <f>IFERROR(VLOOKUP(C123,'Chart of Accounts'!$A$4:$F$30,2,FALSE),"")</f>
        <v>Product Sales</v>
      </c>
      <c r="E123" s="27" t="str">
        <f>IFERROR(VLOOKUP(C123,'Chart of Accounts'!$A$4:$F$30,4,FALSE),"")</f>
        <v>Revenue</v>
      </c>
      <c r="F123" s="27" t="str">
        <f>IFERROR(VLOOKUP(C123,'Chart of Accounts'!$A$4:$F$30,5,FALSE),"")</f>
        <v>PL</v>
      </c>
      <c r="G123" s="15">
        <v>0</v>
      </c>
      <c r="H123" s="15">
        <v>52050.373998290124</v>
      </c>
      <c r="I123" s="10">
        <f t="shared" si="3"/>
        <v>-52050.373998290124</v>
      </c>
      <c r="J123" s="14" t="s">
        <v>261</v>
      </c>
      <c r="K123" s="14" t="s">
        <v>259</v>
      </c>
      <c r="L123" s="14" t="s">
        <v>140</v>
      </c>
      <c r="M123" s="8" t="str">
        <f t="shared" si="4"/>
        <v>2026-02</v>
      </c>
      <c r="N123" s="8" t="str">
        <f t="shared" si="5"/>
        <v>OK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>
      <c r="A124" s="14" t="s">
        <v>260</v>
      </c>
      <c r="B124" s="26">
        <v>46060</v>
      </c>
      <c r="C124" s="14" t="s">
        <v>90</v>
      </c>
      <c r="D124" s="27" t="str">
        <f>IFERROR(VLOOKUP(C124,'Chart of Accounts'!$A$4:$F$30,2,FALSE),"")</f>
        <v>Cost of Goods Sold</v>
      </c>
      <c r="E124" s="27" t="str">
        <f>IFERROR(VLOOKUP(C124,'Chart of Accounts'!$A$4:$F$30,4,FALSE),"")</f>
        <v>COGS</v>
      </c>
      <c r="F124" s="27" t="str">
        <f>IFERROR(VLOOKUP(C124,'Chart of Accounts'!$A$4:$F$30,5,FALSE),"")</f>
        <v>PL</v>
      </c>
      <c r="G124" s="15">
        <v>28783.856821054436</v>
      </c>
      <c r="H124" s="15">
        <v>0</v>
      </c>
      <c r="I124" s="10">
        <f t="shared" si="3"/>
        <v>28783.856821054436</v>
      </c>
      <c r="J124" s="14" t="s">
        <v>261</v>
      </c>
      <c r="K124" s="14" t="s">
        <v>259</v>
      </c>
      <c r="L124" s="14" t="s">
        <v>140</v>
      </c>
      <c r="M124" s="8" t="str">
        <f t="shared" si="4"/>
        <v>2026-02</v>
      </c>
      <c r="N124" s="8" t="str">
        <f t="shared" si="5"/>
        <v>OK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>
      <c r="A125" s="14" t="s">
        <v>260</v>
      </c>
      <c r="B125" s="26">
        <v>46060</v>
      </c>
      <c r="C125" s="14" t="s">
        <v>63</v>
      </c>
      <c r="D125" s="27" t="str">
        <f>IFERROR(VLOOKUP(C125,'Chart of Accounts'!$A$4:$F$30,2,FALSE),"")</f>
        <v>Inventory</v>
      </c>
      <c r="E125" s="27" t="str">
        <f>IFERROR(VLOOKUP(C125,'Chart of Accounts'!$A$4:$F$30,4,FALSE),"")</f>
        <v>Inventory</v>
      </c>
      <c r="F125" s="27" t="str">
        <f>IFERROR(VLOOKUP(C125,'Chart of Accounts'!$A$4:$F$30,5,FALSE),"")</f>
        <v>BS</v>
      </c>
      <c r="G125" s="15">
        <v>0</v>
      </c>
      <c r="H125" s="15">
        <v>28783.856821054436</v>
      </c>
      <c r="I125" s="10">
        <f t="shared" si="3"/>
        <v>-28783.856821054436</v>
      </c>
      <c r="J125" s="14" t="s">
        <v>261</v>
      </c>
      <c r="K125" s="14" t="s">
        <v>259</v>
      </c>
      <c r="L125" s="14" t="s">
        <v>140</v>
      </c>
      <c r="M125" s="8" t="str">
        <f t="shared" si="4"/>
        <v>2026-02</v>
      </c>
      <c r="N125" s="8" t="str">
        <f t="shared" si="5"/>
        <v>OK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>
      <c r="A126" s="14" t="s">
        <v>262</v>
      </c>
      <c r="B126" s="26">
        <v>46057</v>
      </c>
      <c r="C126" s="14" t="s">
        <v>58</v>
      </c>
      <c r="D126" s="27" t="str">
        <f>IFERROR(VLOOKUP(C126,'Chart of Accounts'!$A$4:$F$30,2,FALSE),"")</f>
        <v>Trade Receivables</v>
      </c>
      <c r="E126" s="27" t="str">
        <f>IFERROR(VLOOKUP(C126,'Chart of Accounts'!$A$4:$F$30,4,FALSE),"")</f>
        <v>Trade Receivables</v>
      </c>
      <c r="F126" s="27" t="str">
        <f>IFERROR(VLOOKUP(C126,'Chart of Accounts'!$A$4:$F$30,5,FALSE),"")</f>
        <v>BS</v>
      </c>
      <c r="G126" s="15">
        <v>69041.452438090739</v>
      </c>
      <c r="H126" s="15">
        <v>0</v>
      </c>
      <c r="I126" s="10">
        <f t="shared" si="3"/>
        <v>69041.452438090739</v>
      </c>
      <c r="J126" s="14" t="s">
        <v>263</v>
      </c>
      <c r="K126" s="14" t="s">
        <v>143</v>
      </c>
      <c r="L126" s="14" t="s">
        <v>140</v>
      </c>
      <c r="M126" s="8" t="str">
        <f t="shared" si="4"/>
        <v>2026-02</v>
      </c>
      <c r="N126" s="8" t="str">
        <f t="shared" si="5"/>
        <v>OK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>
      <c r="A127" s="14" t="s">
        <v>262</v>
      </c>
      <c r="B127" s="26">
        <v>46057</v>
      </c>
      <c r="C127" s="14" t="s">
        <v>86</v>
      </c>
      <c r="D127" s="27" t="str">
        <f>IFERROR(VLOOKUP(C127,'Chart of Accounts'!$A$4:$F$30,2,FALSE),"")</f>
        <v>Product Sales</v>
      </c>
      <c r="E127" s="27" t="str">
        <f>IFERROR(VLOOKUP(C127,'Chart of Accounts'!$A$4:$F$30,4,FALSE),"")</f>
        <v>Revenue</v>
      </c>
      <c r="F127" s="27" t="str">
        <f>IFERROR(VLOOKUP(C127,'Chart of Accounts'!$A$4:$F$30,5,FALSE),"")</f>
        <v>PL</v>
      </c>
      <c r="G127" s="15">
        <v>0</v>
      </c>
      <c r="H127" s="15">
        <v>69041.452438090739</v>
      </c>
      <c r="I127" s="10">
        <f t="shared" si="3"/>
        <v>-69041.452438090739</v>
      </c>
      <c r="J127" s="14" t="s">
        <v>263</v>
      </c>
      <c r="K127" s="14" t="s">
        <v>143</v>
      </c>
      <c r="L127" s="14" t="s">
        <v>140</v>
      </c>
      <c r="M127" s="8" t="str">
        <f t="shared" si="4"/>
        <v>2026-02</v>
      </c>
      <c r="N127" s="8" t="str">
        <f t="shared" si="5"/>
        <v>OK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>
      <c r="A128" s="14" t="s">
        <v>262</v>
      </c>
      <c r="B128" s="26">
        <v>46057</v>
      </c>
      <c r="C128" s="14" t="s">
        <v>90</v>
      </c>
      <c r="D128" s="27" t="str">
        <f>IFERROR(VLOOKUP(C128,'Chart of Accounts'!$A$4:$F$30,2,FALSE),"")</f>
        <v>Cost of Goods Sold</v>
      </c>
      <c r="E128" s="27" t="str">
        <f>IFERROR(VLOOKUP(C128,'Chart of Accounts'!$A$4:$F$30,4,FALSE),"")</f>
        <v>COGS</v>
      </c>
      <c r="F128" s="27" t="str">
        <f>IFERROR(VLOOKUP(C128,'Chart of Accounts'!$A$4:$F$30,5,FALSE),"")</f>
        <v>PL</v>
      </c>
      <c r="G128" s="15">
        <v>38179.923198264172</v>
      </c>
      <c r="H128" s="15">
        <v>0</v>
      </c>
      <c r="I128" s="10">
        <f t="shared" si="3"/>
        <v>38179.923198264172</v>
      </c>
      <c r="J128" s="14" t="s">
        <v>263</v>
      </c>
      <c r="K128" s="14" t="s">
        <v>143</v>
      </c>
      <c r="L128" s="14" t="s">
        <v>140</v>
      </c>
      <c r="M128" s="8" t="str">
        <f t="shared" si="4"/>
        <v>2026-02</v>
      </c>
      <c r="N128" s="8" t="str">
        <f t="shared" si="5"/>
        <v>OK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>
      <c r="A129" s="14" t="s">
        <v>262</v>
      </c>
      <c r="B129" s="26">
        <v>46057</v>
      </c>
      <c r="C129" s="14" t="s">
        <v>63</v>
      </c>
      <c r="D129" s="27" t="str">
        <f>IFERROR(VLOOKUP(C129,'Chart of Accounts'!$A$4:$F$30,2,FALSE),"")</f>
        <v>Inventory</v>
      </c>
      <c r="E129" s="27" t="str">
        <f>IFERROR(VLOOKUP(C129,'Chart of Accounts'!$A$4:$F$30,4,FALSE),"")</f>
        <v>Inventory</v>
      </c>
      <c r="F129" s="27" t="str">
        <f>IFERROR(VLOOKUP(C129,'Chart of Accounts'!$A$4:$F$30,5,FALSE),"")</f>
        <v>BS</v>
      </c>
      <c r="G129" s="15">
        <v>0</v>
      </c>
      <c r="H129" s="15">
        <v>38179.923198264172</v>
      </c>
      <c r="I129" s="10">
        <f t="shared" si="3"/>
        <v>-38179.923198264172</v>
      </c>
      <c r="J129" s="14" t="s">
        <v>263</v>
      </c>
      <c r="K129" s="14" t="s">
        <v>143</v>
      </c>
      <c r="L129" s="14" t="s">
        <v>140</v>
      </c>
      <c r="M129" s="8" t="str">
        <f t="shared" si="4"/>
        <v>2026-02</v>
      </c>
      <c r="N129" s="8" t="str">
        <f t="shared" si="5"/>
        <v>OK</v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>
      <c r="A130" s="14" t="s">
        <v>264</v>
      </c>
      <c r="B130" s="26">
        <v>46071</v>
      </c>
      <c r="C130" s="14" t="s">
        <v>58</v>
      </c>
      <c r="D130" s="27" t="str">
        <f>IFERROR(VLOOKUP(C130,'Chart of Accounts'!$A$4:$F$30,2,FALSE),"")</f>
        <v>Trade Receivables</v>
      </c>
      <c r="E130" s="27" t="str">
        <f>IFERROR(VLOOKUP(C130,'Chart of Accounts'!$A$4:$F$30,4,FALSE),"")</f>
        <v>Trade Receivables</v>
      </c>
      <c r="F130" s="27" t="str">
        <f>IFERROR(VLOOKUP(C130,'Chart of Accounts'!$A$4:$F$30,5,FALSE),"")</f>
        <v>BS</v>
      </c>
      <c r="G130" s="15">
        <v>85563.445587504146</v>
      </c>
      <c r="H130" s="15">
        <v>0</v>
      </c>
      <c r="I130" s="10">
        <f t="shared" si="3"/>
        <v>85563.445587504146</v>
      </c>
      <c r="J130" s="14" t="s">
        <v>265</v>
      </c>
      <c r="K130" s="14" t="s">
        <v>143</v>
      </c>
      <c r="L130" s="14" t="s">
        <v>140</v>
      </c>
      <c r="M130" s="8" t="str">
        <f t="shared" si="4"/>
        <v>2026-02</v>
      </c>
      <c r="N130" s="8" t="str">
        <f t="shared" si="5"/>
        <v>OK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>
      <c r="A131" s="14" t="s">
        <v>264</v>
      </c>
      <c r="B131" s="26">
        <v>46071</v>
      </c>
      <c r="C131" s="14" t="s">
        <v>86</v>
      </c>
      <c r="D131" s="27" t="str">
        <f>IFERROR(VLOOKUP(C131,'Chart of Accounts'!$A$4:$F$30,2,FALSE),"")</f>
        <v>Product Sales</v>
      </c>
      <c r="E131" s="27" t="str">
        <f>IFERROR(VLOOKUP(C131,'Chart of Accounts'!$A$4:$F$30,4,FALSE),"")</f>
        <v>Revenue</v>
      </c>
      <c r="F131" s="27" t="str">
        <f>IFERROR(VLOOKUP(C131,'Chart of Accounts'!$A$4:$F$30,5,FALSE),"")</f>
        <v>PL</v>
      </c>
      <c r="G131" s="15">
        <v>0</v>
      </c>
      <c r="H131" s="15">
        <v>85563.445587504146</v>
      </c>
      <c r="I131" s="10">
        <f t="shared" si="3"/>
        <v>-85563.445587504146</v>
      </c>
      <c r="J131" s="14" t="s">
        <v>265</v>
      </c>
      <c r="K131" s="14" t="s">
        <v>143</v>
      </c>
      <c r="L131" s="14" t="s">
        <v>140</v>
      </c>
      <c r="M131" s="8" t="str">
        <f t="shared" si="4"/>
        <v>2026-02</v>
      </c>
      <c r="N131" s="8" t="str">
        <f t="shared" si="5"/>
        <v>OK</v>
      </c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>
      <c r="A132" s="14" t="s">
        <v>264</v>
      </c>
      <c r="B132" s="26">
        <v>46071</v>
      </c>
      <c r="C132" s="14" t="s">
        <v>90</v>
      </c>
      <c r="D132" s="27" t="str">
        <f>IFERROR(VLOOKUP(C132,'Chart of Accounts'!$A$4:$F$30,2,FALSE),"")</f>
        <v>Cost of Goods Sold</v>
      </c>
      <c r="E132" s="27" t="str">
        <f>IFERROR(VLOOKUP(C132,'Chart of Accounts'!$A$4:$F$30,4,FALSE),"")</f>
        <v>COGS</v>
      </c>
      <c r="F132" s="27" t="str">
        <f>IFERROR(VLOOKUP(C132,'Chart of Accounts'!$A$4:$F$30,5,FALSE),"")</f>
        <v>PL</v>
      </c>
      <c r="G132" s="15">
        <v>47316.585409889783</v>
      </c>
      <c r="H132" s="15">
        <v>0</v>
      </c>
      <c r="I132" s="10">
        <f t="shared" ref="I132:I195" si="6">G132-H132</f>
        <v>47316.585409889783</v>
      </c>
      <c r="J132" s="14" t="s">
        <v>265</v>
      </c>
      <c r="K132" s="14" t="s">
        <v>143</v>
      </c>
      <c r="L132" s="14" t="s">
        <v>140</v>
      </c>
      <c r="M132" s="8" t="str">
        <f t="shared" ref="M132:M195" si="7">TEXT(B132,"yyyy-mm")</f>
        <v>2026-02</v>
      </c>
      <c r="N132" s="8" t="str">
        <f t="shared" ref="N132:N195" si="8">"OK"</f>
        <v>OK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>
      <c r="A133" s="14" t="s">
        <v>264</v>
      </c>
      <c r="B133" s="26">
        <v>46071</v>
      </c>
      <c r="C133" s="14" t="s">
        <v>63</v>
      </c>
      <c r="D133" s="27" t="str">
        <f>IFERROR(VLOOKUP(C133,'Chart of Accounts'!$A$4:$F$30,2,FALSE),"")</f>
        <v>Inventory</v>
      </c>
      <c r="E133" s="27" t="str">
        <f>IFERROR(VLOOKUP(C133,'Chart of Accounts'!$A$4:$F$30,4,FALSE),"")</f>
        <v>Inventory</v>
      </c>
      <c r="F133" s="27" t="str">
        <f>IFERROR(VLOOKUP(C133,'Chart of Accounts'!$A$4:$F$30,5,FALSE),"")</f>
        <v>BS</v>
      </c>
      <c r="G133" s="15">
        <v>0</v>
      </c>
      <c r="H133" s="15">
        <v>47316.585409889783</v>
      </c>
      <c r="I133" s="10">
        <f t="shared" si="6"/>
        <v>-47316.585409889783</v>
      </c>
      <c r="J133" s="14" t="s">
        <v>265</v>
      </c>
      <c r="K133" s="14" t="s">
        <v>143</v>
      </c>
      <c r="L133" s="14" t="s">
        <v>140</v>
      </c>
      <c r="M133" s="8" t="str">
        <f t="shared" si="7"/>
        <v>2026-02</v>
      </c>
      <c r="N133" s="8" t="str">
        <f t="shared" si="8"/>
        <v>OK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>
      <c r="A134" s="14" t="s">
        <v>266</v>
      </c>
      <c r="B134" s="26">
        <v>46067</v>
      </c>
      <c r="C134" s="14" t="s">
        <v>58</v>
      </c>
      <c r="D134" s="27" t="str">
        <f>IFERROR(VLOOKUP(C134,'Chart of Accounts'!$A$4:$F$30,2,FALSE),"")</f>
        <v>Trade Receivables</v>
      </c>
      <c r="E134" s="27" t="str">
        <f>IFERROR(VLOOKUP(C134,'Chart of Accounts'!$A$4:$F$30,4,FALSE),"")</f>
        <v>Trade Receivables</v>
      </c>
      <c r="F134" s="27" t="str">
        <f>IFERROR(VLOOKUP(C134,'Chart of Accounts'!$A$4:$F$30,5,FALSE),"")</f>
        <v>BS</v>
      </c>
      <c r="G134" s="15">
        <v>78551.781910177873</v>
      </c>
      <c r="H134" s="15">
        <v>0</v>
      </c>
      <c r="I134" s="10">
        <f t="shared" si="6"/>
        <v>78551.781910177873</v>
      </c>
      <c r="J134" s="14" t="s">
        <v>267</v>
      </c>
      <c r="K134" s="14" t="s">
        <v>268</v>
      </c>
      <c r="L134" s="14" t="s">
        <v>140</v>
      </c>
      <c r="M134" s="8" t="str">
        <f t="shared" si="7"/>
        <v>2026-02</v>
      </c>
      <c r="N134" s="8" t="str">
        <f t="shared" si="8"/>
        <v>OK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>
      <c r="A135" s="14" t="s">
        <v>266</v>
      </c>
      <c r="B135" s="26">
        <v>46067</v>
      </c>
      <c r="C135" s="14" t="s">
        <v>86</v>
      </c>
      <c r="D135" s="27" t="str">
        <f>IFERROR(VLOOKUP(C135,'Chart of Accounts'!$A$4:$F$30,2,FALSE),"")</f>
        <v>Product Sales</v>
      </c>
      <c r="E135" s="27" t="str">
        <f>IFERROR(VLOOKUP(C135,'Chart of Accounts'!$A$4:$F$30,4,FALSE),"")</f>
        <v>Revenue</v>
      </c>
      <c r="F135" s="27" t="str">
        <f>IFERROR(VLOOKUP(C135,'Chart of Accounts'!$A$4:$F$30,5,FALSE),"")</f>
        <v>PL</v>
      </c>
      <c r="G135" s="15">
        <v>0</v>
      </c>
      <c r="H135" s="15">
        <v>78551.781910177873</v>
      </c>
      <c r="I135" s="10">
        <f t="shared" si="6"/>
        <v>-78551.781910177873</v>
      </c>
      <c r="J135" s="14" t="s">
        <v>267</v>
      </c>
      <c r="K135" s="14" t="s">
        <v>268</v>
      </c>
      <c r="L135" s="14" t="s">
        <v>140</v>
      </c>
      <c r="M135" s="8" t="str">
        <f t="shared" si="7"/>
        <v>2026-02</v>
      </c>
      <c r="N135" s="8" t="str">
        <f t="shared" si="8"/>
        <v>OK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>
      <c r="A136" s="14" t="s">
        <v>266</v>
      </c>
      <c r="B136" s="26">
        <v>46067</v>
      </c>
      <c r="C136" s="14" t="s">
        <v>90</v>
      </c>
      <c r="D136" s="27" t="str">
        <f>IFERROR(VLOOKUP(C136,'Chart of Accounts'!$A$4:$F$30,2,FALSE),"")</f>
        <v>Cost of Goods Sold</v>
      </c>
      <c r="E136" s="27" t="str">
        <f>IFERROR(VLOOKUP(C136,'Chart of Accounts'!$A$4:$F$30,4,FALSE),"")</f>
        <v>COGS</v>
      </c>
      <c r="F136" s="27" t="str">
        <f>IFERROR(VLOOKUP(C136,'Chart of Accounts'!$A$4:$F$30,5,FALSE),"")</f>
        <v>PL</v>
      </c>
      <c r="G136" s="15">
        <v>43439.135396328355</v>
      </c>
      <c r="H136" s="15">
        <v>0</v>
      </c>
      <c r="I136" s="10">
        <f t="shared" si="6"/>
        <v>43439.135396328355</v>
      </c>
      <c r="J136" s="14" t="s">
        <v>267</v>
      </c>
      <c r="K136" s="14" t="s">
        <v>268</v>
      </c>
      <c r="L136" s="14" t="s">
        <v>140</v>
      </c>
      <c r="M136" s="8" t="str">
        <f t="shared" si="7"/>
        <v>2026-02</v>
      </c>
      <c r="N136" s="8" t="str">
        <f t="shared" si="8"/>
        <v>OK</v>
      </c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>
      <c r="A137" s="14" t="s">
        <v>266</v>
      </c>
      <c r="B137" s="26">
        <v>46067</v>
      </c>
      <c r="C137" s="14" t="s">
        <v>63</v>
      </c>
      <c r="D137" s="27" t="str">
        <f>IFERROR(VLOOKUP(C137,'Chart of Accounts'!$A$4:$F$30,2,FALSE),"")</f>
        <v>Inventory</v>
      </c>
      <c r="E137" s="27" t="str">
        <f>IFERROR(VLOOKUP(C137,'Chart of Accounts'!$A$4:$F$30,4,FALSE),"")</f>
        <v>Inventory</v>
      </c>
      <c r="F137" s="27" t="str">
        <f>IFERROR(VLOOKUP(C137,'Chart of Accounts'!$A$4:$F$30,5,FALSE),"")</f>
        <v>BS</v>
      </c>
      <c r="G137" s="15">
        <v>0</v>
      </c>
      <c r="H137" s="15">
        <v>43439.135396328355</v>
      </c>
      <c r="I137" s="10">
        <f t="shared" si="6"/>
        <v>-43439.135396328355</v>
      </c>
      <c r="J137" s="14" t="s">
        <v>267</v>
      </c>
      <c r="K137" s="14" t="s">
        <v>268</v>
      </c>
      <c r="L137" s="14" t="s">
        <v>140</v>
      </c>
      <c r="M137" s="8" t="str">
        <f t="shared" si="7"/>
        <v>2026-02</v>
      </c>
      <c r="N137" s="8" t="str">
        <f t="shared" si="8"/>
        <v>OK</v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>
      <c r="A138" s="14" t="s">
        <v>269</v>
      </c>
      <c r="B138" s="26">
        <v>46061</v>
      </c>
      <c r="C138" s="14" t="s">
        <v>58</v>
      </c>
      <c r="D138" s="27" t="str">
        <f>IFERROR(VLOOKUP(C138,'Chart of Accounts'!$A$4:$F$30,2,FALSE),"")</f>
        <v>Trade Receivables</v>
      </c>
      <c r="E138" s="27" t="str">
        <f>IFERROR(VLOOKUP(C138,'Chart of Accounts'!$A$4:$F$30,4,FALSE),"")</f>
        <v>Trade Receivables</v>
      </c>
      <c r="F138" s="27" t="str">
        <f>IFERROR(VLOOKUP(C138,'Chart of Accounts'!$A$4:$F$30,5,FALSE),"")</f>
        <v>BS</v>
      </c>
      <c r="G138" s="15">
        <v>74062.613127022065</v>
      </c>
      <c r="H138" s="15">
        <v>0</v>
      </c>
      <c r="I138" s="10">
        <f t="shared" si="6"/>
        <v>74062.613127022065</v>
      </c>
      <c r="J138" s="14" t="s">
        <v>270</v>
      </c>
      <c r="K138" s="14" t="s">
        <v>139</v>
      </c>
      <c r="L138" s="14" t="s">
        <v>140</v>
      </c>
      <c r="M138" s="8" t="str">
        <f t="shared" si="7"/>
        <v>2026-02</v>
      </c>
      <c r="N138" s="8" t="str">
        <f t="shared" si="8"/>
        <v>OK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>
      <c r="A139" s="14" t="s">
        <v>269</v>
      </c>
      <c r="B139" s="26">
        <v>46061</v>
      </c>
      <c r="C139" s="14" t="s">
        <v>86</v>
      </c>
      <c r="D139" s="27" t="str">
        <f>IFERROR(VLOOKUP(C139,'Chart of Accounts'!$A$4:$F$30,2,FALSE),"")</f>
        <v>Product Sales</v>
      </c>
      <c r="E139" s="27" t="str">
        <f>IFERROR(VLOOKUP(C139,'Chart of Accounts'!$A$4:$F$30,4,FALSE),"")</f>
        <v>Revenue</v>
      </c>
      <c r="F139" s="27" t="str">
        <f>IFERROR(VLOOKUP(C139,'Chart of Accounts'!$A$4:$F$30,5,FALSE),"")</f>
        <v>PL</v>
      </c>
      <c r="G139" s="15">
        <v>0</v>
      </c>
      <c r="H139" s="15">
        <v>74062.613127022065</v>
      </c>
      <c r="I139" s="10">
        <f t="shared" si="6"/>
        <v>-74062.613127022065</v>
      </c>
      <c r="J139" s="14" t="s">
        <v>270</v>
      </c>
      <c r="K139" s="14" t="s">
        <v>139</v>
      </c>
      <c r="L139" s="14" t="s">
        <v>140</v>
      </c>
      <c r="M139" s="8" t="str">
        <f t="shared" si="7"/>
        <v>2026-02</v>
      </c>
      <c r="N139" s="8" t="str">
        <f t="shared" si="8"/>
        <v>OK</v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>
      <c r="A140" s="14" t="s">
        <v>269</v>
      </c>
      <c r="B140" s="26">
        <v>46061</v>
      </c>
      <c r="C140" s="14" t="s">
        <v>90</v>
      </c>
      <c r="D140" s="27" t="str">
        <f>IFERROR(VLOOKUP(C140,'Chart of Accounts'!$A$4:$F$30,2,FALSE),"")</f>
        <v>Cost of Goods Sold</v>
      </c>
      <c r="E140" s="27" t="str">
        <f>IFERROR(VLOOKUP(C140,'Chart of Accounts'!$A$4:$F$30,4,FALSE),"")</f>
        <v>COGS</v>
      </c>
      <c r="F140" s="27" t="str">
        <f>IFERROR(VLOOKUP(C140,'Chart of Accounts'!$A$4:$F$30,5,FALSE),"")</f>
        <v>PL</v>
      </c>
      <c r="G140" s="15">
        <v>40956.625059243204</v>
      </c>
      <c r="H140" s="15">
        <v>0</v>
      </c>
      <c r="I140" s="10">
        <f t="shared" si="6"/>
        <v>40956.625059243204</v>
      </c>
      <c r="J140" s="14" t="s">
        <v>270</v>
      </c>
      <c r="K140" s="14" t="s">
        <v>139</v>
      </c>
      <c r="L140" s="14" t="s">
        <v>140</v>
      </c>
      <c r="M140" s="8" t="str">
        <f t="shared" si="7"/>
        <v>2026-02</v>
      </c>
      <c r="N140" s="8" t="str">
        <f t="shared" si="8"/>
        <v>OK</v>
      </c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>
      <c r="A141" s="14" t="s">
        <v>269</v>
      </c>
      <c r="B141" s="26">
        <v>46061</v>
      </c>
      <c r="C141" s="14" t="s">
        <v>63</v>
      </c>
      <c r="D141" s="27" t="str">
        <f>IFERROR(VLOOKUP(C141,'Chart of Accounts'!$A$4:$F$30,2,FALSE),"")</f>
        <v>Inventory</v>
      </c>
      <c r="E141" s="27" t="str">
        <f>IFERROR(VLOOKUP(C141,'Chart of Accounts'!$A$4:$F$30,4,FALSE),"")</f>
        <v>Inventory</v>
      </c>
      <c r="F141" s="27" t="str">
        <f>IFERROR(VLOOKUP(C141,'Chart of Accounts'!$A$4:$F$30,5,FALSE),"")</f>
        <v>BS</v>
      </c>
      <c r="G141" s="15">
        <v>0</v>
      </c>
      <c r="H141" s="15">
        <v>40956.625059243204</v>
      </c>
      <c r="I141" s="10">
        <f t="shared" si="6"/>
        <v>-40956.625059243204</v>
      </c>
      <c r="J141" s="14" t="s">
        <v>270</v>
      </c>
      <c r="K141" s="14" t="s">
        <v>139</v>
      </c>
      <c r="L141" s="14" t="s">
        <v>140</v>
      </c>
      <c r="M141" s="8" t="str">
        <f t="shared" si="7"/>
        <v>2026-02</v>
      </c>
      <c r="N141" s="8" t="str">
        <f t="shared" si="8"/>
        <v>OK</v>
      </c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>
      <c r="A142" s="14" t="s">
        <v>271</v>
      </c>
      <c r="B142" s="26">
        <v>46056</v>
      </c>
      <c r="C142" s="14" t="s">
        <v>58</v>
      </c>
      <c r="D142" s="27" t="str">
        <f>IFERROR(VLOOKUP(C142,'Chart of Accounts'!$A$4:$F$30,2,FALSE),"")</f>
        <v>Trade Receivables</v>
      </c>
      <c r="E142" s="27" t="str">
        <f>IFERROR(VLOOKUP(C142,'Chart of Accounts'!$A$4:$F$30,4,FALSE),"")</f>
        <v>Trade Receivables</v>
      </c>
      <c r="F142" s="27" t="str">
        <f>IFERROR(VLOOKUP(C142,'Chart of Accounts'!$A$4:$F$30,5,FALSE),"")</f>
        <v>BS</v>
      </c>
      <c r="G142" s="15">
        <v>61261.552472460433</v>
      </c>
      <c r="H142" s="15">
        <v>0</v>
      </c>
      <c r="I142" s="10">
        <f t="shared" si="6"/>
        <v>61261.552472460433</v>
      </c>
      <c r="J142" s="14" t="s">
        <v>272</v>
      </c>
      <c r="K142" s="14" t="s">
        <v>149</v>
      </c>
      <c r="L142" s="14" t="s">
        <v>140</v>
      </c>
      <c r="M142" s="8" t="str">
        <f t="shared" si="7"/>
        <v>2026-02</v>
      </c>
      <c r="N142" s="8" t="str">
        <f t="shared" si="8"/>
        <v>OK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>
      <c r="A143" s="14" t="s">
        <v>271</v>
      </c>
      <c r="B143" s="26">
        <v>46056</v>
      </c>
      <c r="C143" s="14" t="s">
        <v>86</v>
      </c>
      <c r="D143" s="27" t="str">
        <f>IFERROR(VLOOKUP(C143,'Chart of Accounts'!$A$4:$F$30,2,FALSE),"")</f>
        <v>Product Sales</v>
      </c>
      <c r="E143" s="27" t="str">
        <f>IFERROR(VLOOKUP(C143,'Chart of Accounts'!$A$4:$F$30,4,FALSE),"")</f>
        <v>Revenue</v>
      </c>
      <c r="F143" s="27" t="str">
        <f>IFERROR(VLOOKUP(C143,'Chart of Accounts'!$A$4:$F$30,5,FALSE),"")</f>
        <v>PL</v>
      </c>
      <c r="G143" s="15">
        <v>0</v>
      </c>
      <c r="H143" s="15">
        <v>61261.552472460433</v>
      </c>
      <c r="I143" s="10">
        <f t="shared" si="6"/>
        <v>-61261.552472460433</v>
      </c>
      <c r="J143" s="14" t="s">
        <v>272</v>
      </c>
      <c r="K143" s="14" t="s">
        <v>149</v>
      </c>
      <c r="L143" s="14" t="s">
        <v>140</v>
      </c>
      <c r="M143" s="8" t="str">
        <f t="shared" si="7"/>
        <v>2026-02</v>
      </c>
      <c r="N143" s="8" t="str">
        <f t="shared" si="8"/>
        <v>OK</v>
      </c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>
      <c r="A144" s="14" t="s">
        <v>271</v>
      </c>
      <c r="B144" s="26">
        <v>46056</v>
      </c>
      <c r="C144" s="14" t="s">
        <v>90</v>
      </c>
      <c r="D144" s="27" t="str">
        <f>IFERROR(VLOOKUP(C144,'Chart of Accounts'!$A$4:$F$30,2,FALSE),"")</f>
        <v>Cost of Goods Sold</v>
      </c>
      <c r="E144" s="27" t="str">
        <f>IFERROR(VLOOKUP(C144,'Chart of Accounts'!$A$4:$F$30,4,FALSE),"")</f>
        <v>COGS</v>
      </c>
      <c r="F144" s="27" t="str">
        <f>IFERROR(VLOOKUP(C144,'Chart of Accounts'!$A$4:$F$30,5,FALSE),"")</f>
        <v>PL</v>
      </c>
      <c r="G144" s="15">
        <v>33877.638517270614</v>
      </c>
      <c r="H144" s="15">
        <v>0</v>
      </c>
      <c r="I144" s="10">
        <f t="shared" si="6"/>
        <v>33877.638517270614</v>
      </c>
      <c r="J144" s="14" t="s">
        <v>272</v>
      </c>
      <c r="K144" s="14" t="s">
        <v>149</v>
      </c>
      <c r="L144" s="14" t="s">
        <v>140</v>
      </c>
      <c r="M144" s="8" t="str">
        <f t="shared" si="7"/>
        <v>2026-02</v>
      </c>
      <c r="N144" s="8" t="str">
        <f t="shared" si="8"/>
        <v>OK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>
      <c r="A145" s="14" t="s">
        <v>271</v>
      </c>
      <c r="B145" s="26">
        <v>46056</v>
      </c>
      <c r="C145" s="14" t="s">
        <v>63</v>
      </c>
      <c r="D145" s="27" t="str">
        <f>IFERROR(VLOOKUP(C145,'Chart of Accounts'!$A$4:$F$30,2,FALSE),"")</f>
        <v>Inventory</v>
      </c>
      <c r="E145" s="27" t="str">
        <f>IFERROR(VLOOKUP(C145,'Chart of Accounts'!$A$4:$F$30,4,FALSE),"")</f>
        <v>Inventory</v>
      </c>
      <c r="F145" s="27" t="str">
        <f>IFERROR(VLOOKUP(C145,'Chart of Accounts'!$A$4:$F$30,5,FALSE),"")</f>
        <v>BS</v>
      </c>
      <c r="G145" s="15">
        <v>0</v>
      </c>
      <c r="H145" s="15">
        <v>33877.638517270614</v>
      </c>
      <c r="I145" s="10">
        <f t="shared" si="6"/>
        <v>-33877.638517270614</v>
      </c>
      <c r="J145" s="14" t="s">
        <v>272</v>
      </c>
      <c r="K145" s="14" t="s">
        <v>149</v>
      </c>
      <c r="L145" s="14" t="s">
        <v>140</v>
      </c>
      <c r="M145" s="8" t="str">
        <f t="shared" si="7"/>
        <v>2026-02</v>
      </c>
      <c r="N145" s="8" t="str">
        <f t="shared" si="8"/>
        <v>OK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>
      <c r="A146" s="14" t="s">
        <v>273</v>
      </c>
      <c r="B146" s="26">
        <v>46062</v>
      </c>
      <c r="C146" s="14" t="s">
        <v>58</v>
      </c>
      <c r="D146" s="27" t="str">
        <f>IFERROR(VLOOKUP(C146,'Chart of Accounts'!$A$4:$F$30,2,FALSE),"")</f>
        <v>Trade Receivables</v>
      </c>
      <c r="E146" s="27" t="str">
        <f>IFERROR(VLOOKUP(C146,'Chart of Accounts'!$A$4:$F$30,4,FALSE),"")</f>
        <v>Trade Receivables</v>
      </c>
      <c r="F146" s="27" t="str">
        <f>IFERROR(VLOOKUP(C146,'Chart of Accounts'!$A$4:$F$30,5,FALSE),"")</f>
        <v>BS</v>
      </c>
      <c r="G146" s="15">
        <v>75588.054318956463</v>
      </c>
      <c r="H146" s="15">
        <v>0</v>
      </c>
      <c r="I146" s="10">
        <f t="shared" si="6"/>
        <v>75588.054318956463</v>
      </c>
      <c r="J146" s="14" t="s">
        <v>274</v>
      </c>
      <c r="K146" s="14" t="s">
        <v>161</v>
      </c>
      <c r="L146" s="14" t="s">
        <v>140</v>
      </c>
      <c r="M146" s="8" t="str">
        <f t="shared" si="7"/>
        <v>2026-02</v>
      </c>
      <c r="N146" s="8" t="str">
        <f t="shared" si="8"/>
        <v>OK</v>
      </c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>
      <c r="A147" s="14" t="s">
        <v>273</v>
      </c>
      <c r="B147" s="26">
        <v>46062</v>
      </c>
      <c r="C147" s="14" t="s">
        <v>86</v>
      </c>
      <c r="D147" s="27" t="str">
        <f>IFERROR(VLOOKUP(C147,'Chart of Accounts'!$A$4:$F$30,2,FALSE),"")</f>
        <v>Product Sales</v>
      </c>
      <c r="E147" s="27" t="str">
        <f>IFERROR(VLOOKUP(C147,'Chart of Accounts'!$A$4:$F$30,4,FALSE),"")</f>
        <v>Revenue</v>
      </c>
      <c r="F147" s="27" t="str">
        <f>IFERROR(VLOOKUP(C147,'Chart of Accounts'!$A$4:$F$30,5,FALSE),"")</f>
        <v>PL</v>
      </c>
      <c r="G147" s="15">
        <v>0</v>
      </c>
      <c r="H147" s="15">
        <v>75588.054318956463</v>
      </c>
      <c r="I147" s="10">
        <f t="shared" si="6"/>
        <v>-75588.054318956463</v>
      </c>
      <c r="J147" s="14" t="s">
        <v>274</v>
      </c>
      <c r="K147" s="14" t="s">
        <v>161</v>
      </c>
      <c r="L147" s="14" t="s">
        <v>140</v>
      </c>
      <c r="M147" s="8" t="str">
        <f t="shared" si="7"/>
        <v>2026-02</v>
      </c>
      <c r="N147" s="8" t="str">
        <f t="shared" si="8"/>
        <v>OK</v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>
      <c r="A148" s="14" t="s">
        <v>273</v>
      </c>
      <c r="B148" s="26">
        <v>46062</v>
      </c>
      <c r="C148" s="14" t="s">
        <v>90</v>
      </c>
      <c r="D148" s="27" t="str">
        <f>IFERROR(VLOOKUP(C148,'Chart of Accounts'!$A$4:$F$30,2,FALSE),"")</f>
        <v>Cost of Goods Sold</v>
      </c>
      <c r="E148" s="27" t="str">
        <f>IFERROR(VLOOKUP(C148,'Chart of Accounts'!$A$4:$F$30,4,FALSE),"")</f>
        <v>COGS</v>
      </c>
      <c r="F148" s="27" t="str">
        <f>IFERROR(VLOOKUP(C148,'Chart of Accounts'!$A$4:$F$30,5,FALSE),"")</f>
        <v>PL</v>
      </c>
      <c r="G148" s="15">
        <v>41800.194038382921</v>
      </c>
      <c r="H148" s="15">
        <v>0</v>
      </c>
      <c r="I148" s="10">
        <f t="shared" si="6"/>
        <v>41800.194038382921</v>
      </c>
      <c r="J148" s="14" t="s">
        <v>274</v>
      </c>
      <c r="K148" s="14" t="s">
        <v>161</v>
      </c>
      <c r="L148" s="14" t="s">
        <v>140</v>
      </c>
      <c r="M148" s="8" t="str">
        <f t="shared" si="7"/>
        <v>2026-02</v>
      </c>
      <c r="N148" s="8" t="str">
        <f t="shared" si="8"/>
        <v>OK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>
      <c r="A149" s="14" t="s">
        <v>273</v>
      </c>
      <c r="B149" s="26">
        <v>46062</v>
      </c>
      <c r="C149" s="14" t="s">
        <v>63</v>
      </c>
      <c r="D149" s="27" t="str">
        <f>IFERROR(VLOOKUP(C149,'Chart of Accounts'!$A$4:$F$30,2,FALSE),"")</f>
        <v>Inventory</v>
      </c>
      <c r="E149" s="27" t="str">
        <f>IFERROR(VLOOKUP(C149,'Chart of Accounts'!$A$4:$F$30,4,FALSE),"")</f>
        <v>Inventory</v>
      </c>
      <c r="F149" s="27" t="str">
        <f>IFERROR(VLOOKUP(C149,'Chart of Accounts'!$A$4:$F$30,5,FALSE),"")</f>
        <v>BS</v>
      </c>
      <c r="G149" s="15">
        <v>0</v>
      </c>
      <c r="H149" s="15">
        <v>41800.194038382921</v>
      </c>
      <c r="I149" s="10">
        <f t="shared" si="6"/>
        <v>-41800.194038382921</v>
      </c>
      <c r="J149" s="14" t="s">
        <v>274</v>
      </c>
      <c r="K149" s="14" t="s">
        <v>161</v>
      </c>
      <c r="L149" s="14" t="s">
        <v>140</v>
      </c>
      <c r="M149" s="8" t="str">
        <f t="shared" si="7"/>
        <v>2026-02</v>
      </c>
      <c r="N149" s="8" t="str">
        <f t="shared" si="8"/>
        <v>OK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>
      <c r="A150" s="14" t="s">
        <v>275</v>
      </c>
      <c r="B150" s="26">
        <v>46075</v>
      </c>
      <c r="C150" s="14" t="s">
        <v>58</v>
      </c>
      <c r="D150" s="27" t="str">
        <f>IFERROR(VLOOKUP(C150,'Chart of Accounts'!$A$4:$F$30,2,FALSE),"")</f>
        <v>Trade Receivables</v>
      </c>
      <c r="E150" s="27" t="str">
        <f>IFERROR(VLOOKUP(C150,'Chart of Accounts'!$A$4:$F$30,4,FALSE),"")</f>
        <v>Trade Receivables</v>
      </c>
      <c r="F150" s="27" t="str">
        <f>IFERROR(VLOOKUP(C150,'Chart of Accounts'!$A$4:$F$30,5,FALSE),"")</f>
        <v>BS</v>
      </c>
      <c r="G150" s="15">
        <v>78152.746584932829</v>
      </c>
      <c r="H150" s="15">
        <v>0</v>
      </c>
      <c r="I150" s="10">
        <f t="shared" si="6"/>
        <v>78152.746584932829</v>
      </c>
      <c r="J150" s="14" t="s">
        <v>276</v>
      </c>
      <c r="K150" s="14" t="s">
        <v>277</v>
      </c>
      <c r="L150" s="14" t="s">
        <v>140</v>
      </c>
      <c r="M150" s="8" t="str">
        <f t="shared" si="7"/>
        <v>2026-02</v>
      </c>
      <c r="N150" s="8" t="str">
        <f t="shared" si="8"/>
        <v>OK</v>
      </c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>
      <c r="A151" s="14" t="s">
        <v>275</v>
      </c>
      <c r="B151" s="26">
        <v>46075</v>
      </c>
      <c r="C151" s="14" t="s">
        <v>86</v>
      </c>
      <c r="D151" s="27" t="str">
        <f>IFERROR(VLOOKUP(C151,'Chart of Accounts'!$A$4:$F$30,2,FALSE),"")</f>
        <v>Product Sales</v>
      </c>
      <c r="E151" s="27" t="str">
        <f>IFERROR(VLOOKUP(C151,'Chart of Accounts'!$A$4:$F$30,4,FALSE),"")</f>
        <v>Revenue</v>
      </c>
      <c r="F151" s="27" t="str">
        <f>IFERROR(VLOOKUP(C151,'Chart of Accounts'!$A$4:$F$30,5,FALSE),"")</f>
        <v>PL</v>
      </c>
      <c r="G151" s="15">
        <v>0</v>
      </c>
      <c r="H151" s="15">
        <v>78152.746584932829</v>
      </c>
      <c r="I151" s="10">
        <f t="shared" si="6"/>
        <v>-78152.746584932829</v>
      </c>
      <c r="J151" s="14" t="s">
        <v>276</v>
      </c>
      <c r="K151" s="14" t="s">
        <v>277</v>
      </c>
      <c r="L151" s="14" t="s">
        <v>140</v>
      </c>
      <c r="M151" s="8" t="str">
        <f t="shared" si="7"/>
        <v>2026-02</v>
      </c>
      <c r="N151" s="8" t="str">
        <f t="shared" si="8"/>
        <v>OK</v>
      </c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>
      <c r="A152" s="14" t="s">
        <v>275</v>
      </c>
      <c r="B152" s="26">
        <v>46075</v>
      </c>
      <c r="C152" s="14" t="s">
        <v>90</v>
      </c>
      <c r="D152" s="27" t="str">
        <f>IFERROR(VLOOKUP(C152,'Chart of Accounts'!$A$4:$F$30,2,FALSE),"")</f>
        <v>Cost of Goods Sold</v>
      </c>
      <c r="E152" s="27" t="str">
        <f>IFERROR(VLOOKUP(C152,'Chart of Accounts'!$A$4:$F$30,4,FALSE),"")</f>
        <v>COGS</v>
      </c>
      <c r="F152" s="27" t="str">
        <f>IFERROR(VLOOKUP(C152,'Chart of Accounts'!$A$4:$F$30,5,FALSE),"")</f>
        <v>PL</v>
      </c>
      <c r="G152" s="15">
        <v>43218.468861467853</v>
      </c>
      <c r="H152" s="15">
        <v>0</v>
      </c>
      <c r="I152" s="10">
        <f t="shared" si="6"/>
        <v>43218.468861467853</v>
      </c>
      <c r="J152" s="14" t="s">
        <v>276</v>
      </c>
      <c r="K152" s="14" t="s">
        <v>277</v>
      </c>
      <c r="L152" s="14" t="s">
        <v>140</v>
      </c>
      <c r="M152" s="8" t="str">
        <f t="shared" si="7"/>
        <v>2026-02</v>
      </c>
      <c r="N152" s="8" t="str">
        <f t="shared" si="8"/>
        <v>OK</v>
      </c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>
      <c r="A153" s="14" t="s">
        <v>275</v>
      </c>
      <c r="B153" s="26">
        <v>46075</v>
      </c>
      <c r="C153" s="14" t="s">
        <v>63</v>
      </c>
      <c r="D153" s="27" t="str">
        <f>IFERROR(VLOOKUP(C153,'Chart of Accounts'!$A$4:$F$30,2,FALSE),"")</f>
        <v>Inventory</v>
      </c>
      <c r="E153" s="27" t="str">
        <f>IFERROR(VLOOKUP(C153,'Chart of Accounts'!$A$4:$F$30,4,FALSE),"")</f>
        <v>Inventory</v>
      </c>
      <c r="F153" s="27" t="str">
        <f>IFERROR(VLOOKUP(C153,'Chart of Accounts'!$A$4:$F$30,5,FALSE),"")</f>
        <v>BS</v>
      </c>
      <c r="G153" s="15">
        <v>0</v>
      </c>
      <c r="H153" s="15">
        <v>43218.468861467853</v>
      </c>
      <c r="I153" s="10">
        <f t="shared" si="6"/>
        <v>-43218.468861467853</v>
      </c>
      <c r="J153" s="14" t="s">
        <v>276</v>
      </c>
      <c r="K153" s="14" t="s">
        <v>277</v>
      </c>
      <c r="L153" s="14" t="s">
        <v>140</v>
      </c>
      <c r="M153" s="8" t="str">
        <f t="shared" si="7"/>
        <v>2026-02</v>
      </c>
      <c r="N153" s="8" t="str">
        <f t="shared" si="8"/>
        <v>OK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>
      <c r="A154" s="14" t="s">
        <v>278</v>
      </c>
      <c r="B154" s="26">
        <v>46076</v>
      </c>
      <c r="C154" s="14" t="s">
        <v>58</v>
      </c>
      <c r="D154" s="27" t="str">
        <f>IFERROR(VLOOKUP(C154,'Chart of Accounts'!$A$4:$F$30,2,FALSE),"")</f>
        <v>Trade Receivables</v>
      </c>
      <c r="E154" s="27" t="str">
        <f>IFERROR(VLOOKUP(C154,'Chart of Accounts'!$A$4:$F$30,4,FALSE),"")</f>
        <v>Trade Receivables</v>
      </c>
      <c r="F154" s="27" t="str">
        <f>IFERROR(VLOOKUP(C154,'Chart of Accounts'!$A$4:$F$30,5,FALSE),"")</f>
        <v>BS</v>
      </c>
      <c r="G154" s="15">
        <v>65494.575937054469</v>
      </c>
      <c r="H154" s="15">
        <v>0</v>
      </c>
      <c r="I154" s="10">
        <f t="shared" si="6"/>
        <v>65494.575937054469</v>
      </c>
      <c r="J154" s="14" t="s">
        <v>279</v>
      </c>
      <c r="K154" s="14" t="s">
        <v>139</v>
      </c>
      <c r="L154" s="14" t="s">
        <v>140</v>
      </c>
      <c r="M154" s="8" t="str">
        <f t="shared" si="7"/>
        <v>2026-02</v>
      </c>
      <c r="N154" s="8" t="str">
        <f t="shared" si="8"/>
        <v>OK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>
      <c r="A155" s="14" t="s">
        <v>278</v>
      </c>
      <c r="B155" s="26">
        <v>46076</v>
      </c>
      <c r="C155" s="14" t="s">
        <v>86</v>
      </c>
      <c r="D155" s="27" t="str">
        <f>IFERROR(VLOOKUP(C155,'Chart of Accounts'!$A$4:$F$30,2,FALSE),"")</f>
        <v>Product Sales</v>
      </c>
      <c r="E155" s="27" t="str">
        <f>IFERROR(VLOOKUP(C155,'Chart of Accounts'!$A$4:$F$30,4,FALSE),"")</f>
        <v>Revenue</v>
      </c>
      <c r="F155" s="27" t="str">
        <f>IFERROR(VLOOKUP(C155,'Chart of Accounts'!$A$4:$F$30,5,FALSE),"")</f>
        <v>PL</v>
      </c>
      <c r="G155" s="15">
        <v>0</v>
      </c>
      <c r="H155" s="15">
        <v>65494.575937054469</v>
      </c>
      <c r="I155" s="10">
        <f t="shared" si="6"/>
        <v>-65494.575937054469</v>
      </c>
      <c r="J155" s="14" t="s">
        <v>279</v>
      </c>
      <c r="K155" s="14" t="s">
        <v>139</v>
      </c>
      <c r="L155" s="14" t="s">
        <v>140</v>
      </c>
      <c r="M155" s="8" t="str">
        <f t="shared" si="7"/>
        <v>2026-02</v>
      </c>
      <c r="N155" s="8" t="str">
        <f t="shared" si="8"/>
        <v>OK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>
      <c r="A156" s="14" t="s">
        <v>278</v>
      </c>
      <c r="B156" s="26">
        <v>46076</v>
      </c>
      <c r="C156" s="14" t="s">
        <v>90</v>
      </c>
      <c r="D156" s="27" t="str">
        <f>IFERROR(VLOOKUP(C156,'Chart of Accounts'!$A$4:$F$30,2,FALSE),"")</f>
        <v>Cost of Goods Sold</v>
      </c>
      <c r="E156" s="27" t="str">
        <f>IFERROR(VLOOKUP(C156,'Chart of Accounts'!$A$4:$F$30,4,FALSE),"")</f>
        <v>COGS</v>
      </c>
      <c r="F156" s="27" t="str">
        <f>IFERROR(VLOOKUP(C156,'Chart of Accounts'!$A$4:$F$30,5,FALSE),"")</f>
        <v>PL</v>
      </c>
      <c r="G156" s="15">
        <v>36218.500493191117</v>
      </c>
      <c r="H156" s="15">
        <v>0</v>
      </c>
      <c r="I156" s="10">
        <f t="shared" si="6"/>
        <v>36218.500493191117</v>
      </c>
      <c r="J156" s="14" t="s">
        <v>279</v>
      </c>
      <c r="K156" s="14" t="s">
        <v>139</v>
      </c>
      <c r="L156" s="14" t="s">
        <v>140</v>
      </c>
      <c r="M156" s="8" t="str">
        <f t="shared" si="7"/>
        <v>2026-02</v>
      </c>
      <c r="N156" s="8" t="str">
        <f t="shared" si="8"/>
        <v>OK</v>
      </c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>
      <c r="A157" s="14" t="s">
        <v>278</v>
      </c>
      <c r="B157" s="26">
        <v>46076</v>
      </c>
      <c r="C157" s="14" t="s">
        <v>63</v>
      </c>
      <c r="D157" s="27" t="str">
        <f>IFERROR(VLOOKUP(C157,'Chart of Accounts'!$A$4:$F$30,2,FALSE),"")</f>
        <v>Inventory</v>
      </c>
      <c r="E157" s="27" t="str">
        <f>IFERROR(VLOOKUP(C157,'Chart of Accounts'!$A$4:$F$30,4,FALSE),"")</f>
        <v>Inventory</v>
      </c>
      <c r="F157" s="27" t="str">
        <f>IFERROR(VLOOKUP(C157,'Chart of Accounts'!$A$4:$F$30,5,FALSE),"")</f>
        <v>BS</v>
      </c>
      <c r="G157" s="15">
        <v>0</v>
      </c>
      <c r="H157" s="15">
        <v>36218.500493191117</v>
      </c>
      <c r="I157" s="10">
        <f t="shared" si="6"/>
        <v>-36218.500493191117</v>
      </c>
      <c r="J157" s="14" t="s">
        <v>279</v>
      </c>
      <c r="K157" s="14" t="s">
        <v>139</v>
      </c>
      <c r="L157" s="14" t="s">
        <v>140</v>
      </c>
      <c r="M157" s="8" t="str">
        <f t="shared" si="7"/>
        <v>2026-02</v>
      </c>
      <c r="N157" s="8" t="str">
        <f t="shared" si="8"/>
        <v>OK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>
      <c r="A158" s="14" t="s">
        <v>280</v>
      </c>
      <c r="B158" s="26">
        <v>46068</v>
      </c>
      <c r="C158" s="14" t="s">
        <v>52</v>
      </c>
      <c r="D158" s="27" t="str">
        <f>IFERROR(VLOOKUP(C158,'Chart of Accounts'!$A$4:$F$30,2,FALSE),"")</f>
        <v>Bank</v>
      </c>
      <c r="E158" s="27" t="str">
        <f>IFERROR(VLOOKUP(C158,'Chart of Accounts'!$A$4:$F$30,4,FALSE),"")</f>
        <v>Cash</v>
      </c>
      <c r="F158" s="27" t="str">
        <f>IFERROR(VLOOKUP(C158,'Chart of Accounts'!$A$4:$F$30,5,FALSE),"")</f>
        <v>BS</v>
      </c>
      <c r="G158" s="15">
        <v>124062.07745891012</v>
      </c>
      <c r="H158" s="15">
        <v>0</v>
      </c>
      <c r="I158" s="10">
        <f t="shared" si="6"/>
        <v>124062.07745891012</v>
      </c>
      <c r="J158" s="14" t="s">
        <v>281</v>
      </c>
      <c r="K158" s="14" t="s">
        <v>175</v>
      </c>
      <c r="L158" s="14" t="s">
        <v>176</v>
      </c>
      <c r="M158" s="8" t="str">
        <f t="shared" si="7"/>
        <v>2026-02</v>
      </c>
      <c r="N158" s="8" t="str">
        <f t="shared" si="8"/>
        <v>OK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>
      <c r="A159" s="14" t="s">
        <v>280</v>
      </c>
      <c r="B159" s="26">
        <v>46068</v>
      </c>
      <c r="C159" s="14" t="s">
        <v>58</v>
      </c>
      <c r="D159" s="27" t="str">
        <f>IFERROR(VLOOKUP(C159,'Chart of Accounts'!$A$4:$F$30,2,FALSE),"")</f>
        <v>Trade Receivables</v>
      </c>
      <c r="E159" s="27" t="str">
        <f>IFERROR(VLOOKUP(C159,'Chart of Accounts'!$A$4:$F$30,4,FALSE),"")</f>
        <v>Trade Receivables</v>
      </c>
      <c r="F159" s="27" t="str">
        <f>IFERROR(VLOOKUP(C159,'Chart of Accounts'!$A$4:$F$30,5,FALSE),"")</f>
        <v>BS</v>
      </c>
      <c r="G159" s="15">
        <v>0</v>
      </c>
      <c r="H159" s="15">
        <v>124062.07745891012</v>
      </c>
      <c r="I159" s="10">
        <f t="shared" si="6"/>
        <v>-124062.07745891012</v>
      </c>
      <c r="J159" s="14" t="s">
        <v>281</v>
      </c>
      <c r="K159" s="14" t="s">
        <v>175</v>
      </c>
      <c r="L159" s="14" t="s">
        <v>176</v>
      </c>
      <c r="M159" s="8" t="str">
        <f t="shared" si="7"/>
        <v>2026-02</v>
      </c>
      <c r="N159" s="8" t="str">
        <f t="shared" si="8"/>
        <v>OK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>
      <c r="A160" s="14" t="s">
        <v>282</v>
      </c>
      <c r="B160" s="26">
        <v>46062</v>
      </c>
      <c r="C160" s="14" t="s">
        <v>52</v>
      </c>
      <c r="D160" s="27" t="str">
        <f>IFERROR(VLOOKUP(C160,'Chart of Accounts'!$A$4:$F$30,2,FALSE),"")</f>
        <v>Bank</v>
      </c>
      <c r="E160" s="27" t="str">
        <f>IFERROR(VLOOKUP(C160,'Chart of Accounts'!$A$4:$F$30,4,FALSE),"")</f>
        <v>Cash</v>
      </c>
      <c r="F160" s="27" t="str">
        <f>IFERROR(VLOOKUP(C160,'Chart of Accounts'!$A$4:$F$30,5,FALSE),"")</f>
        <v>BS</v>
      </c>
      <c r="G160" s="15">
        <v>114770.26258148074</v>
      </c>
      <c r="H160" s="15">
        <v>0</v>
      </c>
      <c r="I160" s="10">
        <f t="shared" si="6"/>
        <v>114770.26258148074</v>
      </c>
      <c r="J160" s="14" t="s">
        <v>283</v>
      </c>
      <c r="K160" s="14" t="s">
        <v>175</v>
      </c>
      <c r="L160" s="14" t="s">
        <v>176</v>
      </c>
      <c r="M160" s="8" t="str">
        <f t="shared" si="7"/>
        <v>2026-02</v>
      </c>
      <c r="N160" s="8" t="str">
        <f t="shared" si="8"/>
        <v>OK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>
      <c r="A161" s="14" t="s">
        <v>282</v>
      </c>
      <c r="B161" s="26">
        <v>46062</v>
      </c>
      <c r="C161" s="14" t="s">
        <v>58</v>
      </c>
      <c r="D161" s="27" t="str">
        <f>IFERROR(VLOOKUP(C161,'Chart of Accounts'!$A$4:$F$30,2,FALSE),"")</f>
        <v>Trade Receivables</v>
      </c>
      <c r="E161" s="27" t="str">
        <f>IFERROR(VLOOKUP(C161,'Chart of Accounts'!$A$4:$F$30,4,FALSE),"")</f>
        <v>Trade Receivables</v>
      </c>
      <c r="F161" s="27" t="str">
        <f>IFERROR(VLOOKUP(C161,'Chart of Accounts'!$A$4:$F$30,5,FALSE),"")</f>
        <v>BS</v>
      </c>
      <c r="G161" s="15">
        <v>0</v>
      </c>
      <c r="H161" s="15">
        <v>114770.26258148074</v>
      </c>
      <c r="I161" s="10">
        <f t="shared" si="6"/>
        <v>-114770.26258148074</v>
      </c>
      <c r="J161" s="14" t="s">
        <v>283</v>
      </c>
      <c r="K161" s="14" t="s">
        <v>175</v>
      </c>
      <c r="L161" s="14" t="s">
        <v>176</v>
      </c>
      <c r="M161" s="8" t="str">
        <f t="shared" si="7"/>
        <v>2026-02</v>
      </c>
      <c r="N161" s="8" t="str">
        <f t="shared" si="8"/>
        <v>OK</v>
      </c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>
      <c r="A162" s="14" t="s">
        <v>284</v>
      </c>
      <c r="B162" s="26">
        <v>46060</v>
      </c>
      <c r="C162" s="14" t="s">
        <v>52</v>
      </c>
      <c r="D162" s="27" t="str">
        <f>IFERROR(VLOOKUP(C162,'Chart of Accounts'!$A$4:$F$30,2,FALSE),"")</f>
        <v>Bank</v>
      </c>
      <c r="E162" s="27" t="str">
        <f>IFERROR(VLOOKUP(C162,'Chart of Accounts'!$A$4:$F$30,4,FALSE),"")</f>
        <v>Cash</v>
      </c>
      <c r="F162" s="27" t="str">
        <f>IFERROR(VLOOKUP(C162,'Chart of Accounts'!$A$4:$F$30,5,FALSE),"")</f>
        <v>BS</v>
      </c>
      <c r="G162" s="15">
        <v>165643.83205883848</v>
      </c>
      <c r="H162" s="15">
        <v>0</v>
      </c>
      <c r="I162" s="10">
        <f t="shared" si="6"/>
        <v>165643.83205883848</v>
      </c>
      <c r="J162" s="14" t="s">
        <v>285</v>
      </c>
      <c r="K162" s="14" t="s">
        <v>175</v>
      </c>
      <c r="L162" s="14" t="s">
        <v>176</v>
      </c>
      <c r="M162" s="8" t="str">
        <f t="shared" si="7"/>
        <v>2026-02</v>
      </c>
      <c r="N162" s="8" t="str">
        <f t="shared" si="8"/>
        <v>OK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>
      <c r="A163" s="14" t="s">
        <v>284</v>
      </c>
      <c r="B163" s="26">
        <v>46060</v>
      </c>
      <c r="C163" s="14" t="s">
        <v>58</v>
      </c>
      <c r="D163" s="27" t="str">
        <f>IFERROR(VLOOKUP(C163,'Chart of Accounts'!$A$4:$F$30,2,FALSE),"")</f>
        <v>Trade Receivables</v>
      </c>
      <c r="E163" s="27" t="str">
        <f>IFERROR(VLOOKUP(C163,'Chart of Accounts'!$A$4:$F$30,4,FALSE),"")</f>
        <v>Trade Receivables</v>
      </c>
      <c r="F163" s="27" t="str">
        <f>IFERROR(VLOOKUP(C163,'Chart of Accounts'!$A$4:$F$30,5,FALSE),"")</f>
        <v>BS</v>
      </c>
      <c r="G163" s="15">
        <v>0</v>
      </c>
      <c r="H163" s="15">
        <v>165643.83205883848</v>
      </c>
      <c r="I163" s="10">
        <f t="shared" si="6"/>
        <v>-165643.83205883848</v>
      </c>
      <c r="J163" s="14" t="s">
        <v>285</v>
      </c>
      <c r="K163" s="14" t="s">
        <v>175</v>
      </c>
      <c r="L163" s="14" t="s">
        <v>176</v>
      </c>
      <c r="M163" s="8" t="str">
        <f t="shared" si="7"/>
        <v>2026-02</v>
      </c>
      <c r="N163" s="8" t="str">
        <f t="shared" si="8"/>
        <v>OK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>
      <c r="A164" s="14" t="s">
        <v>286</v>
      </c>
      <c r="B164" s="26">
        <v>46081</v>
      </c>
      <c r="C164" s="14" t="s">
        <v>52</v>
      </c>
      <c r="D164" s="27" t="str">
        <f>IFERROR(VLOOKUP(C164,'Chart of Accounts'!$A$4:$F$30,2,FALSE),"")</f>
        <v>Bank</v>
      </c>
      <c r="E164" s="27" t="str">
        <f>IFERROR(VLOOKUP(C164,'Chart of Accounts'!$A$4:$F$30,4,FALSE),"")</f>
        <v>Cash</v>
      </c>
      <c r="F164" s="27" t="str">
        <f>IFERROR(VLOOKUP(C164,'Chart of Accounts'!$A$4:$F$30,5,FALSE),"")</f>
        <v>BS</v>
      </c>
      <c r="G164" s="15">
        <v>110395.40966349216</v>
      </c>
      <c r="H164" s="15">
        <v>0</v>
      </c>
      <c r="I164" s="10">
        <f t="shared" si="6"/>
        <v>110395.40966349216</v>
      </c>
      <c r="J164" s="14" t="s">
        <v>287</v>
      </c>
      <c r="K164" s="14" t="s">
        <v>175</v>
      </c>
      <c r="L164" s="14" t="s">
        <v>176</v>
      </c>
      <c r="M164" s="8" t="str">
        <f t="shared" si="7"/>
        <v>2026-02</v>
      </c>
      <c r="N164" s="8" t="str">
        <f t="shared" si="8"/>
        <v>OK</v>
      </c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>
      <c r="A165" s="14" t="s">
        <v>286</v>
      </c>
      <c r="B165" s="26">
        <v>46081</v>
      </c>
      <c r="C165" s="14" t="s">
        <v>58</v>
      </c>
      <c r="D165" s="27" t="str">
        <f>IFERROR(VLOOKUP(C165,'Chart of Accounts'!$A$4:$F$30,2,FALSE),"")</f>
        <v>Trade Receivables</v>
      </c>
      <c r="E165" s="27" t="str">
        <f>IFERROR(VLOOKUP(C165,'Chart of Accounts'!$A$4:$F$30,4,FALSE),"")</f>
        <v>Trade Receivables</v>
      </c>
      <c r="F165" s="27" t="str">
        <f>IFERROR(VLOOKUP(C165,'Chart of Accounts'!$A$4:$F$30,5,FALSE),"")</f>
        <v>BS</v>
      </c>
      <c r="G165" s="15">
        <v>0</v>
      </c>
      <c r="H165" s="15">
        <v>110395.40966349216</v>
      </c>
      <c r="I165" s="10">
        <f t="shared" si="6"/>
        <v>-110395.40966349216</v>
      </c>
      <c r="J165" s="14" t="s">
        <v>287</v>
      </c>
      <c r="K165" s="14" t="s">
        <v>175</v>
      </c>
      <c r="L165" s="14" t="s">
        <v>176</v>
      </c>
      <c r="M165" s="8" t="str">
        <f t="shared" si="7"/>
        <v>2026-02</v>
      </c>
      <c r="N165" s="8" t="str">
        <f t="shared" si="8"/>
        <v>OK</v>
      </c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>
      <c r="A166" s="14" t="s">
        <v>288</v>
      </c>
      <c r="B166" s="26">
        <v>46073</v>
      </c>
      <c r="C166" s="14" t="s">
        <v>52</v>
      </c>
      <c r="D166" s="27" t="str">
        <f>IFERROR(VLOOKUP(C166,'Chart of Accounts'!$A$4:$F$30,2,FALSE),"")</f>
        <v>Bank</v>
      </c>
      <c r="E166" s="27" t="str">
        <f>IFERROR(VLOOKUP(C166,'Chart of Accounts'!$A$4:$F$30,4,FALSE),"")</f>
        <v>Cash</v>
      </c>
      <c r="F166" s="27" t="str">
        <f>IFERROR(VLOOKUP(C166,'Chart of Accounts'!$A$4:$F$30,5,FALSE),"")</f>
        <v>BS</v>
      </c>
      <c r="G166" s="15">
        <v>118603.11826872292</v>
      </c>
      <c r="H166" s="15">
        <v>0</v>
      </c>
      <c r="I166" s="10">
        <f t="shared" si="6"/>
        <v>118603.11826872292</v>
      </c>
      <c r="J166" s="14" t="s">
        <v>289</v>
      </c>
      <c r="K166" s="14" t="s">
        <v>175</v>
      </c>
      <c r="L166" s="14" t="s">
        <v>176</v>
      </c>
      <c r="M166" s="8" t="str">
        <f t="shared" si="7"/>
        <v>2026-02</v>
      </c>
      <c r="N166" s="8" t="str">
        <f t="shared" si="8"/>
        <v>OK</v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>
      <c r="A167" s="14" t="s">
        <v>288</v>
      </c>
      <c r="B167" s="26">
        <v>46073</v>
      </c>
      <c r="C167" s="14" t="s">
        <v>58</v>
      </c>
      <c r="D167" s="27" t="str">
        <f>IFERROR(VLOOKUP(C167,'Chart of Accounts'!$A$4:$F$30,2,FALSE),"")</f>
        <v>Trade Receivables</v>
      </c>
      <c r="E167" s="27" t="str">
        <f>IFERROR(VLOOKUP(C167,'Chart of Accounts'!$A$4:$F$30,4,FALSE),"")</f>
        <v>Trade Receivables</v>
      </c>
      <c r="F167" s="27" t="str">
        <f>IFERROR(VLOOKUP(C167,'Chart of Accounts'!$A$4:$F$30,5,FALSE),"")</f>
        <v>BS</v>
      </c>
      <c r="G167" s="15">
        <v>0</v>
      </c>
      <c r="H167" s="15">
        <v>118603.11826872292</v>
      </c>
      <c r="I167" s="10">
        <f t="shared" si="6"/>
        <v>-118603.11826872292</v>
      </c>
      <c r="J167" s="14" t="s">
        <v>289</v>
      </c>
      <c r="K167" s="14" t="s">
        <v>175</v>
      </c>
      <c r="L167" s="14" t="s">
        <v>176</v>
      </c>
      <c r="M167" s="8" t="str">
        <f t="shared" si="7"/>
        <v>2026-02</v>
      </c>
      <c r="N167" s="8" t="str">
        <f t="shared" si="8"/>
        <v>OK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>
      <c r="A168" s="14" t="s">
        <v>290</v>
      </c>
      <c r="B168" s="26">
        <v>46058</v>
      </c>
      <c r="C168" s="14" t="s">
        <v>52</v>
      </c>
      <c r="D168" s="27" t="str">
        <f>IFERROR(VLOOKUP(C168,'Chart of Accounts'!$A$4:$F$30,2,FALSE),"")</f>
        <v>Bank</v>
      </c>
      <c r="E168" s="27" t="str">
        <f>IFERROR(VLOOKUP(C168,'Chart of Accounts'!$A$4:$F$30,4,FALSE),"")</f>
        <v>Cash</v>
      </c>
      <c r="F168" s="27" t="str">
        <f>IFERROR(VLOOKUP(C168,'Chart of Accounts'!$A$4:$F$30,5,FALSE),"")</f>
        <v>BS</v>
      </c>
      <c r="G168" s="15">
        <v>170965.29996855557</v>
      </c>
      <c r="H168" s="15">
        <v>0</v>
      </c>
      <c r="I168" s="10">
        <f t="shared" si="6"/>
        <v>170965.29996855557</v>
      </c>
      <c r="J168" s="14" t="s">
        <v>291</v>
      </c>
      <c r="K168" s="14" t="s">
        <v>175</v>
      </c>
      <c r="L168" s="14" t="s">
        <v>176</v>
      </c>
      <c r="M168" s="8" t="str">
        <f t="shared" si="7"/>
        <v>2026-02</v>
      </c>
      <c r="N168" s="8" t="str">
        <f t="shared" si="8"/>
        <v>OK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>
      <c r="A169" s="14" t="s">
        <v>290</v>
      </c>
      <c r="B169" s="26">
        <v>46058</v>
      </c>
      <c r="C169" s="14" t="s">
        <v>58</v>
      </c>
      <c r="D169" s="27" t="str">
        <f>IFERROR(VLOOKUP(C169,'Chart of Accounts'!$A$4:$F$30,2,FALSE),"")</f>
        <v>Trade Receivables</v>
      </c>
      <c r="E169" s="27" t="str">
        <f>IFERROR(VLOOKUP(C169,'Chart of Accounts'!$A$4:$F$30,4,FALSE),"")</f>
        <v>Trade Receivables</v>
      </c>
      <c r="F169" s="27" t="str">
        <f>IFERROR(VLOOKUP(C169,'Chart of Accounts'!$A$4:$F$30,5,FALSE),"")</f>
        <v>BS</v>
      </c>
      <c r="G169" s="15">
        <v>0</v>
      </c>
      <c r="H169" s="15">
        <v>170965.29996855557</v>
      </c>
      <c r="I169" s="10">
        <f t="shared" si="6"/>
        <v>-170965.29996855557</v>
      </c>
      <c r="J169" s="14" t="s">
        <v>291</v>
      </c>
      <c r="K169" s="14" t="s">
        <v>175</v>
      </c>
      <c r="L169" s="14" t="s">
        <v>176</v>
      </c>
      <c r="M169" s="8" t="str">
        <f t="shared" si="7"/>
        <v>2026-02</v>
      </c>
      <c r="N169" s="8" t="str">
        <f t="shared" si="8"/>
        <v>OK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>
      <c r="A170" s="14" t="s">
        <v>292</v>
      </c>
      <c r="B170" s="26">
        <v>46055</v>
      </c>
      <c r="C170" s="14" t="s">
        <v>63</v>
      </c>
      <c r="D170" s="27" t="str">
        <f>IFERROR(VLOOKUP(C170,'Chart of Accounts'!$A$4:$F$30,2,FALSE),"")</f>
        <v>Inventory</v>
      </c>
      <c r="E170" s="27" t="str">
        <f>IFERROR(VLOOKUP(C170,'Chart of Accounts'!$A$4:$F$30,4,FALSE),"")</f>
        <v>Inventory</v>
      </c>
      <c r="F170" s="27" t="str">
        <f>IFERROR(VLOOKUP(C170,'Chart of Accounts'!$A$4:$F$30,5,FALSE),"")</f>
        <v>BS</v>
      </c>
      <c r="G170" s="15">
        <v>70105.098360287637</v>
      </c>
      <c r="H170" s="15">
        <v>0</v>
      </c>
      <c r="I170" s="10">
        <f t="shared" si="6"/>
        <v>70105.098360287637</v>
      </c>
      <c r="J170" s="14" t="s">
        <v>293</v>
      </c>
      <c r="K170" s="14" t="s">
        <v>196</v>
      </c>
      <c r="L170" s="14" t="s">
        <v>190</v>
      </c>
      <c r="M170" s="8" t="str">
        <f t="shared" si="7"/>
        <v>2026-02</v>
      </c>
      <c r="N170" s="8" t="str">
        <f t="shared" si="8"/>
        <v>OK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>
      <c r="A171" s="14" t="s">
        <v>292</v>
      </c>
      <c r="B171" s="26">
        <v>46055</v>
      </c>
      <c r="C171" s="14" t="s">
        <v>71</v>
      </c>
      <c r="D171" s="27" t="str">
        <f>IFERROR(VLOOKUP(C171,'Chart of Accounts'!$A$4:$F$30,2,FALSE),"")</f>
        <v>Trade Payables</v>
      </c>
      <c r="E171" s="27" t="str">
        <f>IFERROR(VLOOKUP(C171,'Chart of Accounts'!$A$4:$F$30,4,FALSE),"")</f>
        <v>Trade Payables</v>
      </c>
      <c r="F171" s="27" t="str">
        <f>IFERROR(VLOOKUP(C171,'Chart of Accounts'!$A$4:$F$30,5,FALSE),"")</f>
        <v>BS</v>
      </c>
      <c r="G171" s="15">
        <v>0</v>
      </c>
      <c r="H171" s="15">
        <v>70105.098360287637</v>
      </c>
      <c r="I171" s="10">
        <f t="shared" si="6"/>
        <v>-70105.098360287637</v>
      </c>
      <c r="J171" s="14" t="s">
        <v>293</v>
      </c>
      <c r="K171" s="14" t="s">
        <v>196</v>
      </c>
      <c r="L171" s="14" t="s">
        <v>190</v>
      </c>
      <c r="M171" s="8" t="str">
        <f t="shared" si="7"/>
        <v>2026-02</v>
      </c>
      <c r="N171" s="8" t="str">
        <f t="shared" si="8"/>
        <v>OK</v>
      </c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>
      <c r="A172" s="14" t="s">
        <v>294</v>
      </c>
      <c r="B172" s="26">
        <v>46074</v>
      </c>
      <c r="C172" s="14" t="s">
        <v>63</v>
      </c>
      <c r="D172" s="27" t="str">
        <f>IFERROR(VLOOKUP(C172,'Chart of Accounts'!$A$4:$F$30,2,FALSE),"")</f>
        <v>Inventory</v>
      </c>
      <c r="E172" s="27" t="str">
        <f>IFERROR(VLOOKUP(C172,'Chart of Accounts'!$A$4:$F$30,4,FALSE),"")</f>
        <v>Inventory</v>
      </c>
      <c r="F172" s="27" t="str">
        <f>IFERROR(VLOOKUP(C172,'Chart of Accounts'!$A$4:$F$30,5,FALSE),"")</f>
        <v>BS</v>
      </c>
      <c r="G172" s="15">
        <v>98279.272857620192</v>
      </c>
      <c r="H172" s="15">
        <v>0</v>
      </c>
      <c r="I172" s="10">
        <f t="shared" si="6"/>
        <v>98279.272857620192</v>
      </c>
      <c r="J172" s="14" t="s">
        <v>295</v>
      </c>
      <c r="K172" s="14" t="s">
        <v>296</v>
      </c>
      <c r="L172" s="14" t="s">
        <v>190</v>
      </c>
      <c r="M172" s="8" t="str">
        <f t="shared" si="7"/>
        <v>2026-02</v>
      </c>
      <c r="N172" s="8" t="str">
        <f t="shared" si="8"/>
        <v>OK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>
      <c r="A173" s="14" t="s">
        <v>294</v>
      </c>
      <c r="B173" s="26">
        <v>46074</v>
      </c>
      <c r="C173" s="14" t="s">
        <v>71</v>
      </c>
      <c r="D173" s="27" t="str">
        <f>IFERROR(VLOOKUP(C173,'Chart of Accounts'!$A$4:$F$30,2,FALSE),"")</f>
        <v>Trade Payables</v>
      </c>
      <c r="E173" s="27" t="str">
        <f>IFERROR(VLOOKUP(C173,'Chart of Accounts'!$A$4:$F$30,4,FALSE),"")</f>
        <v>Trade Payables</v>
      </c>
      <c r="F173" s="27" t="str">
        <f>IFERROR(VLOOKUP(C173,'Chart of Accounts'!$A$4:$F$30,5,FALSE),"")</f>
        <v>BS</v>
      </c>
      <c r="G173" s="15">
        <v>0</v>
      </c>
      <c r="H173" s="15">
        <v>98279.272857620192</v>
      </c>
      <c r="I173" s="10">
        <f t="shared" si="6"/>
        <v>-98279.272857620192</v>
      </c>
      <c r="J173" s="14" t="s">
        <v>295</v>
      </c>
      <c r="K173" s="14" t="s">
        <v>296</v>
      </c>
      <c r="L173" s="14" t="s">
        <v>190</v>
      </c>
      <c r="M173" s="8" t="str">
        <f t="shared" si="7"/>
        <v>2026-02</v>
      </c>
      <c r="N173" s="8" t="str">
        <f t="shared" si="8"/>
        <v>OK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>
      <c r="A174" s="14" t="s">
        <v>297</v>
      </c>
      <c r="B174" s="26">
        <v>46061</v>
      </c>
      <c r="C174" s="14" t="s">
        <v>63</v>
      </c>
      <c r="D174" s="27" t="str">
        <f>IFERROR(VLOOKUP(C174,'Chart of Accounts'!$A$4:$F$30,2,FALSE),"")</f>
        <v>Inventory</v>
      </c>
      <c r="E174" s="27" t="str">
        <f>IFERROR(VLOOKUP(C174,'Chart of Accounts'!$A$4:$F$30,4,FALSE),"")</f>
        <v>Inventory</v>
      </c>
      <c r="F174" s="27" t="str">
        <f>IFERROR(VLOOKUP(C174,'Chart of Accounts'!$A$4:$F$30,5,FALSE),"")</f>
        <v>BS</v>
      </c>
      <c r="G174" s="15">
        <v>81144.62778621832</v>
      </c>
      <c r="H174" s="15">
        <v>0</v>
      </c>
      <c r="I174" s="10">
        <f t="shared" si="6"/>
        <v>81144.62778621832</v>
      </c>
      <c r="J174" s="14" t="s">
        <v>298</v>
      </c>
      <c r="K174" s="14" t="s">
        <v>189</v>
      </c>
      <c r="L174" s="14" t="s">
        <v>190</v>
      </c>
      <c r="M174" s="8" t="str">
        <f t="shared" si="7"/>
        <v>2026-02</v>
      </c>
      <c r="N174" s="8" t="str">
        <f t="shared" si="8"/>
        <v>OK</v>
      </c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>
      <c r="A175" s="14" t="s">
        <v>297</v>
      </c>
      <c r="B175" s="26">
        <v>46061</v>
      </c>
      <c r="C175" s="14" t="s">
        <v>71</v>
      </c>
      <c r="D175" s="27" t="str">
        <f>IFERROR(VLOOKUP(C175,'Chart of Accounts'!$A$4:$F$30,2,FALSE),"")</f>
        <v>Trade Payables</v>
      </c>
      <c r="E175" s="27" t="str">
        <f>IFERROR(VLOOKUP(C175,'Chart of Accounts'!$A$4:$F$30,4,FALSE),"")</f>
        <v>Trade Payables</v>
      </c>
      <c r="F175" s="27" t="str">
        <f>IFERROR(VLOOKUP(C175,'Chart of Accounts'!$A$4:$F$30,5,FALSE),"")</f>
        <v>BS</v>
      </c>
      <c r="G175" s="15">
        <v>0</v>
      </c>
      <c r="H175" s="15">
        <v>81144.62778621832</v>
      </c>
      <c r="I175" s="10">
        <f t="shared" si="6"/>
        <v>-81144.62778621832</v>
      </c>
      <c r="J175" s="14" t="s">
        <v>298</v>
      </c>
      <c r="K175" s="14" t="s">
        <v>189</v>
      </c>
      <c r="L175" s="14" t="s">
        <v>190</v>
      </c>
      <c r="M175" s="8" t="str">
        <f t="shared" si="7"/>
        <v>2026-02</v>
      </c>
      <c r="N175" s="8" t="str">
        <f t="shared" si="8"/>
        <v>OK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>
      <c r="A176" s="14" t="s">
        <v>299</v>
      </c>
      <c r="B176" s="26">
        <v>46058</v>
      </c>
      <c r="C176" s="14" t="s">
        <v>63</v>
      </c>
      <c r="D176" s="27" t="str">
        <f>IFERROR(VLOOKUP(C176,'Chart of Accounts'!$A$4:$F$30,2,FALSE),"")</f>
        <v>Inventory</v>
      </c>
      <c r="E176" s="27" t="str">
        <f>IFERROR(VLOOKUP(C176,'Chart of Accounts'!$A$4:$F$30,4,FALSE),"")</f>
        <v>Inventory</v>
      </c>
      <c r="F176" s="27" t="str">
        <f>IFERROR(VLOOKUP(C176,'Chart of Accounts'!$A$4:$F$30,5,FALSE),"")</f>
        <v>BS</v>
      </c>
      <c r="G176" s="15">
        <v>55531.416513066237</v>
      </c>
      <c r="H176" s="15">
        <v>0</v>
      </c>
      <c r="I176" s="10">
        <f t="shared" si="6"/>
        <v>55531.416513066237</v>
      </c>
      <c r="J176" s="14" t="s">
        <v>300</v>
      </c>
      <c r="K176" s="14" t="s">
        <v>301</v>
      </c>
      <c r="L176" s="14" t="s">
        <v>190</v>
      </c>
      <c r="M176" s="8" t="str">
        <f t="shared" si="7"/>
        <v>2026-02</v>
      </c>
      <c r="N176" s="8" t="str">
        <f t="shared" si="8"/>
        <v>OK</v>
      </c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>
      <c r="A177" s="14" t="s">
        <v>299</v>
      </c>
      <c r="B177" s="26">
        <v>46058</v>
      </c>
      <c r="C177" s="14" t="s">
        <v>71</v>
      </c>
      <c r="D177" s="27" t="str">
        <f>IFERROR(VLOOKUP(C177,'Chart of Accounts'!$A$4:$F$30,2,FALSE),"")</f>
        <v>Trade Payables</v>
      </c>
      <c r="E177" s="27" t="str">
        <f>IFERROR(VLOOKUP(C177,'Chart of Accounts'!$A$4:$F$30,4,FALSE),"")</f>
        <v>Trade Payables</v>
      </c>
      <c r="F177" s="27" t="str">
        <f>IFERROR(VLOOKUP(C177,'Chart of Accounts'!$A$4:$F$30,5,FALSE),"")</f>
        <v>BS</v>
      </c>
      <c r="G177" s="15">
        <v>0</v>
      </c>
      <c r="H177" s="15">
        <v>55531.416513066237</v>
      </c>
      <c r="I177" s="10">
        <f t="shared" si="6"/>
        <v>-55531.416513066237</v>
      </c>
      <c r="J177" s="14" t="s">
        <v>300</v>
      </c>
      <c r="K177" s="14" t="s">
        <v>301</v>
      </c>
      <c r="L177" s="14" t="s">
        <v>190</v>
      </c>
      <c r="M177" s="8" t="str">
        <f t="shared" si="7"/>
        <v>2026-02</v>
      </c>
      <c r="N177" s="8" t="str">
        <f t="shared" si="8"/>
        <v>OK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>
      <c r="A178" s="14" t="s">
        <v>302</v>
      </c>
      <c r="B178" s="26">
        <v>46054</v>
      </c>
      <c r="C178" s="14" t="s">
        <v>63</v>
      </c>
      <c r="D178" s="27" t="str">
        <f>IFERROR(VLOOKUP(C178,'Chart of Accounts'!$A$4:$F$30,2,FALSE),"")</f>
        <v>Inventory</v>
      </c>
      <c r="E178" s="27" t="str">
        <f>IFERROR(VLOOKUP(C178,'Chart of Accounts'!$A$4:$F$30,4,FALSE),"")</f>
        <v>Inventory</v>
      </c>
      <c r="F178" s="27" t="str">
        <f>IFERROR(VLOOKUP(C178,'Chart of Accounts'!$A$4:$F$30,5,FALSE),"")</f>
        <v>BS</v>
      </c>
      <c r="G178" s="15">
        <v>91098.1552616142</v>
      </c>
      <c r="H178" s="15">
        <v>0</v>
      </c>
      <c r="I178" s="10">
        <f t="shared" si="6"/>
        <v>91098.1552616142</v>
      </c>
      <c r="J178" s="14" t="s">
        <v>303</v>
      </c>
      <c r="K178" s="14" t="s">
        <v>304</v>
      </c>
      <c r="L178" s="14" t="s">
        <v>190</v>
      </c>
      <c r="M178" s="8" t="str">
        <f t="shared" si="7"/>
        <v>2026-02</v>
      </c>
      <c r="N178" s="8" t="str">
        <f t="shared" si="8"/>
        <v>OK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>
      <c r="A179" s="14" t="s">
        <v>302</v>
      </c>
      <c r="B179" s="26">
        <v>46054</v>
      </c>
      <c r="C179" s="14" t="s">
        <v>71</v>
      </c>
      <c r="D179" s="27" t="str">
        <f>IFERROR(VLOOKUP(C179,'Chart of Accounts'!$A$4:$F$30,2,FALSE),"")</f>
        <v>Trade Payables</v>
      </c>
      <c r="E179" s="27" t="str">
        <f>IFERROR(VLOOKUP(C179,'Chart of Accounts'!$A$4:$F$30,4,FALSE),"")</f>
        <v>Trade Payables</v>
      </c>
      <c r="F179" s="27" t="str">
        <f>IFERROR(VLOOKUP(C179,'Chart of Accounts'!$A$4:$F$30,5,FALSE),"")</f>
        <v>BS</v>
      </c>
      <c r="G179" s="15">
        <v>0</v>
      </c>
      <c r="H179" s="15">
        <v>91098.1552616142</v>
      </c>
      <c r="I179" s="10">
        <f t="shared" si="6"/>
        <v>-91098.1552616142</v>
      </c>
      <c r="J179" s="14" t="s">
        <v>303</v>
      </c>
      <c r="K179" s="14" t="s">
        <v>304</v>
      </c>
      <c r="L179" s="14" t="s">
        <v>190</v>
      </c>
      <c r="M179" s="8" t="str">
        <f t="shared" si="7"/>
        <v>2026-02</v>
      </c>
      <c r="N179" s="8" t="str">
        <f t="shared" si="8"/>
        <v>OK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>
      <c r="A180" s="14" t="s">
        <v>305</v>
      </c>
      <c r="B180" s="26">
        <v>46066</v>
      </c>
      <c r="C180" s="14" t="s">
        <v>63</v>
      </c>
      <c r="D180" s="27" t="str">
        <f>IFERROR(VLOOKUP(C180,'Chart of Accounts'!$A$4:$F$30,2,FALSE),"")</f>
        <v>Inventory</v>
      </c>
      <c r="E180" s="27" t="str">
        <f>IFERROR(VLOOKUP(C180,'Chart of Accounts'!$A$4:$F$30,4,FALSE),"")</f>
        <v>Inventory</v>
      </c>
      <c r="F180" s="27" t="str">
        <f>IFERROR(VLOOKUP(C180,'Chart of Accounts'!$A$4:$F$30,5,FALSE),"")</f>
        <v>BS</v>
      </c>
      <c r="G180" s="15">
        <v>75799.279221193385</v>
      </c>
      <c r="H180" s="15">
        <v>0</v>
      </c>
      <c r="I180" s="10">
        <f t="shared" si="6"/>
        <v>75799.279221193385</v>
      </c>
      <c r="J180" s="14" t="s">
        <v>306</v>
      </c>
      <c r="K180" s="14" t="s">
        <v>307</v>
      </c>
      <c r="L180" s="14" t="s">
        <v>190</v>
      </c>
      <c r="M180" s="8" t="str">
        <f t="shared" si="7"/>
        <v>2026-02</v>
      </c>
      <c r="N180" s="8" t="str">
        <f t="shared" si="8"/>
        <v>OK</v>
      </c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>
      <c r="A181" s="14" t="s">
        <v>305</v>
      </c>
      <c r="B181" s="26">
        <v>46066</v>
      </c>
      <c r="C181" s="14" t="s">
        <v>71</v>
      </c>
      <c r="D181" s="27" t="str">
        <f>IFERROR(VLOOKUP(C181,'Chart of Accounts'!$A$4:$F$30,2,FALSE),"")</f>
        <v>Trade Payables</v>
      </c>
      <c r="E181" s="27" t="str">
        <f>IFERROR(VLOOKUP(C181,'Chart of Accounts'!$A$4:$F$30,4,FALSE),"")</f>
        <v>Trade Payables</v>
      </c>
      <c r="F181" s="27" t="str">
        <f>IFERROR(VLOOKUP(C181,'Chart of Accounts'!$A$4:$F$30,5,FALSE),"")</f>
        <v>BS</v>
      </c>
      <c r="G181" s="15">
        <v>0</v>
      </c>
      <c r="H181" s="15">
        <v>75799.279221193385</v>
      </c>
      <c r="I181" s="10">
        <f t="shared" si="6"/>
        <v>-75799.279221193385</v>
      </c>
      <c r="J181" s="14" t="s">
        <v>306</v>
      </c>
      <c r="K181" s="14" t="s">
        <v>307</v>
      </c>
      <c r="L181" s="14" t="s">
        <v>190</v>
      </c>
      <c r="M181" s="8" t="str">
        <f t="shared" si="7"/>
        <v>2026-02</v>
      </c>
      <c r="N181" s="8" t="str">
        <f t="shared" si="8"/>
        <v>OK</v>
      </c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>
      <c r="A182" s="14" t="s">
        <v>308</v>
      </c>
      <c r="B182" s="26">
        <v>46078</v>
      </c>
      <c r="C182" s="14" t="s">
        <v>71</v>
      </c>
      <c r="D182" s="27" t="str">
        <f>IFERROR(VLOOKUP(C182,'Chart of Accounts'!$A$4:$F$30,2,FALSE),"")</f>
        <v>Trade Payables</v>
      </c>
      <c r="E182" s="27" t="str">
        <f>IFERROR(VLOOKUP(C182,'Chart of Accounts'!$A$4:$F$30,4,FALSE),"")</f>
        <v>Trade Payables</v>
      </c>
      <c r="F182" s="27" t="str">
        <f>IFERROR(VLOOKUP(C182,'Chart of Accounts'!$A$4:$F$30,5,FALSE),"")</f>
        <v>BS</v>
      </c>
      <c r="G182" s="15">
        <v>102228.46124132689</v>
      </c>
      <c r="H182" s="15">
        <v>0</v>
      </c>
      <c r="I182" s="10">
        <f t="shared" si="6"/>
        <v>102228.46124132689</v>
      </c>
      <c r="J182" s="14" t="s">
        <v>309</v>
      </c>
      <c r="K182" s="14" t="s">
        <v>207</v>
      </c>
      <c r="L182" s="14" t="s">
        <v>208</v>
      </c>
      <c r="M182" s="8" t="str">
        <f t="shared" si="7"/>
        <v>2026-02</v>
      </c>
      <c r="N182" s="8" t="str">
        <f t="shared" si="8"/>
        <v>OK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>
      <c r="A183" s="14" t="s">
        <v>308</v>
      </c>
      <c r="B183" s="26">
        <v>46078</v>
      </c>
      <c r="C183" s="14" t="s">
        <v>52</v>
      </c>
      <c r="D183" s="27" t="str">
        <f>IFERROR(VLOOKUP(C183,'Chart of Accounts'!$A$4:$F$30,2,FALSE),"")</f>
        <v>Bank</v>
      </c>
      <c r="E183" s="27" t="str">
        <f>IFERROR(VLOOKUP(C183,'Chart of Accounts'!$A$4:$F$30,4,FALSE),"")</f>
        <v>Cash</v>
      </c>
      <c r="F183" s="27" t="str">
        <f>IFERROR(VLOOKUP(C183,'Chart of Accounts'!$A$4:$F$30,5,FALSE),"")</f>
        <v>BS</v>
      </c>
      <c r="G183" s="15">
        <v>0</v>
      </c>
      <c r="H183" s="15">
        <v>102228.46124132689</v>
      </c>
      <c r="I183" s="10">
        <f t="shared" si="6"/>
        <v>-102228.46124132689</v>
      </c>
      <c r="J183" s="14" t="s">
        <v>309</v>
      </c>
      <c r="K183" s="14" t="s">
        <v>207</v>
      </c>
      <c r="L183" s="14" t="s">
        <v>208</v>
      </c>
      <c r="M183" s="8" t="str">
        <f t="shared" si="7"/>
        <v>2026-02</v>
      </c>
      <c r="N183" s="8" t="str">
        <f t="shared" si="8"/>
        <v>OK</v>
      </c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>
      <c r="A184" s="14" t="s">
        <v>310</v>
      </c>
      <c r="B184" s="26">
        <v>46072</v>
      </c>
      <c r="C184" s="14" t="s">
        <v>71</v>
      </c>
      <c r="D184" s="27" t="str">
        <f>IFERROR(VLOOKUP(C184,'Chart of Accounts'!$A$4:$F$30,2,FALSE),"")</f>
        <v>Trade Payables</v>
      </c>
      <c r="E184" s="27" t="str">
        <f>IFERROR(VLOOKUP(C184,'Chart of Accounts'!$A$4:$F$30,4,FALSE),"")</f>
        <v>Trade Payables</v>
      </c>
      <c r="F184" s="27" t="str">
        <f>IFERROR(VLOOKUP(C184,'Chart of Accounts'!$A$4:$F$30,5,FALSE),"")</f>
        <v>BS</v>
      </c>
      <c r="G184" s="15">
        <v>77934.951133676426</v>
      </c>
      <c r="H184" s="15">
        <v>0</v>
      </c>
      <c r="I184" s="10">
        <f t="shared" si="6"/>
        <v>77934.951133676426</v>
      </c>
      <c r="J184" s="14" t="s">
        <v>311</v>
      </c>
      <c r="K184" s="14" t="s">
        <v>207</v>
      </c>
      <c r="L184" s="14" t="s">
        <v>208</v>
      </c>
      <c r="M184" s="8" t="str">
        <f t="shared" si="7"/>
        <v>2026-02</v>
      </c>
      <c r="N184" s="8" t="str">
        <f t="shared" si="8"/>
        <v>OK</v>
      </c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>
      <c r="A185" s="14" t="s">
        <v>310</v>
      </c>
      <c r="B185" s="26">
        <v>46072</v>
      </c>
      <c r="C185" s="14" t="s">
        <v>52</v>
      </c>
      <c r="D185" s="27" t="str">
        <f>IFERROR(VLOOKUP(C185,'Chart of Accounts'!$A$4:$F$30,2,FALSE),"")</f>
        <v>Bank</v>
      </c>
      <c r="E185" s="27" t="str">
        <f>IFERROR(VLOOKUP(C185,'Chart of Accounts'!$A$4:$F$30,4,FALSE),"")</f>
        <v>Cash</v>
      </c>
      <c r="F185" s="27" t="str">
        <f>IFERROR(VLOOKUP(C185,'Chart of Accounts'!$A$4:$F$30,5,FALSE),"")</f>
        <v>BS</v>
      </c>
      <c r="G185" s="15">
        <v>0</v>
      </c>
      <c r="H185" s="15">
        <v>77934.951133676426</v>
      </c>
      <c r="I185" s="10">
        <f t="shared" si="6"/>
        <v>-77934.951133676426</v>
      </c>
      <c r="J185" s="14" t="s">
        <v>311</v>
      </c>
      <c r="K185" s="14" t="s">
        <v>207</v>
      </c>
      <c r="L185" s="14" t="s">
        <v>208</v>
      </c>
      <c r="M185" s="8" t="str">
        <f t="shared" si="7"/>
        <v>2026-02</v>
      </c>
      <c r="N185" s="8" t="str">
        <f t="shared" si="8"/>
        <v>OK</v>
      </c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>
      <c r="A186" s="14" t="s">
        <v>312</v>
      </c>
      <c r="B186" s="26">
        <v>46061</v>
      </c>
      <c r="C186" s="14" t="s">
        <v>71</v>
      </c>
      <c r="D186" s="27" t="str">
        <f>IFERROR(VLOOKUP(C186,'Chart of Accounts'!$A$4:$F$30,2,FALSE),"")</f>
        <v>Trade Payables</v>
      </c>
      <c r="E186" s="27" t="str">
        <f>IFERROR(VLOOKUP(C186,'Chart of Accounts'!$A$4:$F$30,4,FALSE),"")</f>
        <v>Trade Payables</v>
      </c>
      <c r="F186" s="27" t="str">
        <f>IFERROR(VLOOKUP(C186,'Chart of Accounts'!$A$4:$F$30,5,FALSE),"")</f>
        <v>BS</v>
      </c>
      <c r="G186" s="15">
        <v>107363.80960550012</v>
      </c>
      <c r="H186" s="15">
        <v>0</v>
      </c>
      <c r="I186" s="10">
        <f t="shared" si="6"/>
        <v>107363.80960550012</v>
      </c>
      <c r="J186" s="14" t="s">
        <v>313</v>
      </c>
      <c r="K186" s="14" t="s">
        <v>207</v>
      </c>
      <c r="L186" s="14" t="s">
        <v>208</v>
      </c>
      <c r="M186" s="8" t="str">
        <f t="shared" si="7"/>
        <v>2026-02</v>
      </c>
      <c r="N186" s="8" t="str">
        <f t="shared" si="8"/>
        <v>OK</v>
      </c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>
      <c r="A187" s="14" t="s">
        <v>312</v>
      </c>
      <c r="B187" s="26">
        <v>46061</v>
      </c>
      <c r="C187" s="14" t="s">
        <v>52</v>
      </c>
      <c r="D187" s="27" t="str">
        <f>IFERROR(VLOOKUP(C187,'Chart of Accounts'!$A$4:$F$30,2,FALSE),"")</f>
        <v>Bank</v>
      </c>
      <c r="E187" s="27" t="str">
        <f>IFERROR(VLOOKUP(C187,'Chart of Accounts'!$A$4:$F$30,4,FALSE),"")</f>
        <v>Cash</v>
      </c>
      <c r="F187" s="27" t="str">
        <f>IFERROR(VLOOKUP(C187,'Chart of Accounts'!$A$4:$F$30,5,FALSE),"")</f>
        <v>BS</v>
      </c>
      <c r="G187" s="15">
        <v>0</v>
      </c>
      <c r="H187" s="15">
        <v>107363.80960550012</v>
      </c>
      <c r="I187" s="10">
        <f t="shared" si="6"/>
        <v>-107363.80960550012</v>
      </c>
      <c r="J187" s="14" t="s">
        <v>313</v>
      </c>
      <c r="K187" s="14" t="s">
        <v>207</v>
      </c>
      <c r="L187" s="14" t="s">
        <v>208</v>
      </c>
      <c r="M187" s="8" t="str">
        <f t="shared" si="7"/>
        <v>2026-02</v>
      </c>
      <c r="N187" s="8" t="str">
        <f t="shared" si="8"/>
        <v>OK</v>
      </c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>
      <c r="A188" s="14" t="s">
        <v>314</v>
      </c>
      <c r="B188" s="26">
        <v>46079</v>
      </c>
      <c r="C188" s="14" t="s">
        <v>71</v>
      </c>
      <c r="D188" s="27" t="str">
        <f>IFERROR(VLOOKUP(C188,'Chart of Accounts'!$A$4:$F$30,2,FALSE),"")</f>
        <v>Trade Payables</v>
      </c>
      <c r="E188" s="27" t="str">
        <f>IFERROR(VLOOKUP(C188,'Chart of Accounts'!$A$4:$F$30,4,FALSE),"")</f>
        <v>Trade Payables</v>
      </c>
      <c r="F188" s="27" t="str">
        <f>IFERROR(VLOOKUP(C188,'Chart of Accounts'!$A$4:$F$30,5,FALSE),"")</f>
        <v>BS</v>
      </c>
      <c r="G188" s="15">
        <v>100111.65928229135</v>
      </c>
      <c r="H188" s="15">
        <v>0</v>
      </c>
      <c r="I188" s="10">
        <f t="shared" si="6"/>
        <v>100111.65928229135</v>
      </c>
      <c r="J188" s="14" t="s">
        <v>315</v>
      </c>
      <c r="K188" s="14" t="s">
        <v>207</v>
      </c>
      <c r="L188" s="14" t="s">
        <v>208</v>
      </c>
      <c r="M188" s="8" t="str">
        <f t="shared" si="7"/>
        <v>2026-02</v>
      </c>
      <c r="N188" s="8" t="str">
        <f t="shared" si="8"/>
        <v>OK</v>
      </c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>
      <c r="A189" s="14" t="s">
        <v>314</v>
      </c>
      <c r="B189" s="26">
        <v>46079</v>
      </c>
      <c r="C189" s="14" t="s">
        <v>52</v>
      </c>
      <c r="D189" s="27" t="str">
        <f>IFERROR(VLOOKUP(C189,'Chart of Accounts'!$A$4:$F$30,2,FALSE),"")</f>
        <v>Bank</v>
      </c>
      <c r="E189" s="27" t="str">
        <f>IFERROR(VLOOKUP(C189,'Chart of Accounts'!$A$4:$F$30,4,FALSE),"")</f>
        <v>Cash</v>
      </c>
      <c r="F189" s="27" t="str">
        <f>IFERROR(VLOOKUP(C189,'Chart of Accounts'!$A$4:$F$30,5,FALSE),"")</f>
        <v>BS</v>
      </c>
      <c r="G189" s="15">
        <v>0</v>
      </c>
      <c r="H189" s="15">
        <v>100111.65928229135</v>
      </c>
      <c r="I189" s="10">
        <f t="shared" si="6"/>
        <v>-100111.65928229135</v>
      </c>
      <c r="J189" s="14" t="s">
        <v>315</v>
      </c>
      <c r="K189" s="14" t="s">
        <v>207</v>
      </c>
      <c r="L189" s="14" t="s">
        <v>208</v>
      </c>
      <c r="M189" s="8" t="str">
        <f t="shared" si="7"/>
        <v>2026-02</v>
      </c>
      <c r="N189" s="8" t="str">
        <f t="shared" si="8"/>
        <v>OK</v>
      </c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>
      <c r="A190" s="14" t="s">
        <v>316</v>
      </c>
      <c r="B190" s="26">
        <v>46064</v>
      </c>
      <c r="C190" s="14" t="s">
        <v>71</v>
      </c>
      <c r="D190" s="27" t="str">
        <f>IFERROR(VLOOKUP(C190,'Chart of Accounts'!$A$4:$F$30,2,FALSE),"")</f>
        <v>Trade Payables</v>
      </c>
      <c r="E190" s="27" t="str">
        <f>IFERROR(VLOOKUP(C190,'Chart of Accounts'!$A$4:$F$30,4,FALSE),"")</f>
        <v>Trade Payables</v>
      </c>
      <c r="F190" s="27" t="str">
        <f>IFERROR(VLOOKUP(C190,'Chart of Accounts'!$A$4:$F$30,5,FALSE),"")</f>
        <v>BS</v>
      </c>
      <c r="G190" s="15">
        <v>69216.317537205075</v>
      </c>
      <c r="H190" s="15">
        <v>0</v>
      </c>
      <c r="I190" s="10">
        <f t="shared" si="6"/>
        <v>69216.317537205075</v>
      </c>
      <c r="J190" s="14" t="s">
        <v>317</v>
      </c>
      <c r="K190" s="14" t="s">
        <v>207</v>
      </c>
      <c r="L190" s="14" t="s">
        <v>208</v>
      </c>
      <c r="M190" s="8" t="str">
        <f t="shared" si="7"/>
        <v>2026-02</v>
      </c>
      <c r="N190" s="8" t="str">
        <f t="shared" si="8"/>
        <v>OK</v>
      </c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>
      <c r="A191" s="14" t="s">
        <v>316</v>
      </c>
      <c r="B191" s="26">
        <v>46064</v>
      </c>
      <c r="C191" s="14" t="s">
        <v>52</v>
      </c>
      <c r="D191" s="27" t="str">
        <f>IFERROR(VLOOKUP(C191,'Chart of Accounts'!$A$4:$F$30,2,FALSE),"")</f>
        <v>Bank</v>
      </c>
      <c r="E191" s="27" t="str">
        <f>IFERROR(VLOOKUP(C191,'Chart of Accounts'!$A$4:$F$30,4,FALSE),"")</f>
        <v>Cash</v>
      </c>
      <c r="F191" s="27" t="str">
        <f>IFERROR(VLOOKUP(C191,'Chart of Accounts'!$A$4:$F$30,5,FALSE),"")</f>
        <v>BS</v>
      </c>
      <c r="G191" s="15">
        <v>0</v>
      </c>
      <c r="H191" s="15">
        <v>69216.317537205075</v>
      </c>
      <c r="I191" s="10">
        <f t="shared" si="6"/>
        <v>-69216.317537205075</v>
      </c>
      <c r="J191" s="14" t="s">
        <v>317</v>
      </c>
      <c r="K191" s="14" t="s">
        <v>207</v>
      </c>
      <c r="L191" s="14" t="s">
        <v>208</v>
      </c>
      <c r="M191" s="8" t="str">
        <f t="shared" si="7"/>
        <v>2026-02</v>
      </c>
      <c r="N191" s="8" t="str">
        <f t="shared" si="8"/>
        <v>OK</v>
      </c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>
      <c r="A192" s="14" t="s">
        <v>318</v>
      </c>
      <c r="B192" s="26">
        <v>46078</v>
      </c>
      <c r="C192" s="14" t="s">
        <v>94</v>
      </c>
      <c r="D192" s="27" t="str">
        <f>IFERROR(VLOOKUP(C192,'Chart of Accounts'!$A$4:$F$30,2,FALSE),"")</f>
        <v>Salaries &amp; Wages</v>
      </c>
      <c r="E192" s="27" t="str">
        <f>IFERROR(VLOOKUP(C192,'Chart of Accounts'!$A$4:$F$30,4,FALSE),"")</f>
        <v>Salaries</v>
      </c>
      <c r="F192" s="27" t="str">
        <f>IFERROR(VLOOKUP(C192,'Chart of Accounts'!$A$4:$F$30,5,FALSE),"")</f>
        <v>PL</v>
      </c>
      <c r="G192" s="15">
        <v>180967.19979766005</v>
      </c>
      <c r="H192" s="15">
        <v>0</v>
      </c>
      <c r="I192" s="10">
        <f t="shared" si="6"/>
        <v>180967.19979766005</v>
      </c>
      <c r="J192" s="14" t="s">
        <v>319</v>
      </c>
      <c r="K192" s="14" t="s">
        <v>219</v>
      </c>
      <c r="L192" s="14" t="s">
        <v>220</v>
      </c>
      <c r="M192" s="8" t="str">
        <f t="shared" si="7"/>
        <v>2026-02</v>
      </c>
      <c r="N192" s="8" t="str">
        <f t="shared" si="8"/>
        <v>OK</v>
      </c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>
      <c r="A193" s="14" t="s">
        <v>318</v>
      </c>
      <c r="B193" s="26">
        <v>46078</v>
      </c>
      <c r="C193" s="14" t="s">
        <v>97</v>
      </c>
      <c r="D193" s="27" t="str">
        <f>IFERROR(VLOOKUP(C193,'Chart of Accounts'!$A$4:$F$30,2,FALSE),"")</f>
        <v>Employer NI &amp; Pension</v>
      </c>
      <c r="E193" s="27" t="str">
        <f>IFERROR(VLOOKUP(C193,'Chart of Accounts'!$A$4:$F$30,4,FALSE),"")</f>
        <v>Employer Costs</v>
      </c>
      <c r="F193" s="27" t="str">
        <f>IFERROR(VLOOKUP(C193,'Chart of Accounts'!$A$4:$F$30,5,FALSE),"")</f>
        <v>PL</v>
      </c>
      <c r="G193" s="15">
        <v>24430.571972684109</v>
      </c>
      <c r="H193" s="15">
        <v>0</v>
      </c>
      <c r="I193" s="10">
        <f t="shared" si="6"/>
        <v>24430.571972684109</v>
      </c>
      <c r="J193" s="14" t="s">
        <v>319</v>
      </c>
      <c r="K193" s="14" t="s">
        <v>219</v>
      </c>
      <c r="L193" s="14" t="s">
        <v>220</v>
      </c>
      <c r="M193" s="8" t="str">
        <f t="shared" si="7"/>
        <v>2026-02</v>
      </c>
      <c r="N193" s="8" t="str">
        <f t="shared" si="8"/>
        <v>OK</v>
      </c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>
      <c r="A194" s="14" t="s">
        <v>318</v>
      </c>
      <c r="B194" s="26">
        <v>46078</v>
      </c>
      <c r="C194" s="14" t="s">
        <v>52</v>
      </c>
      <c r="D194" s="27" t="str">
        <f>IFERROR(VLOOKUP(C194,'Chart of Accounts'!$A$4:$F$30,2,FALSE),"")</f>
        <v>Bank</v>
      </c>
      <c r="E194" s="27" t="str">
        <f>IFERROR(VLOOKUP(C194,'Chart of Accounts'!$A$4:$F$30,4,FALSE),"")</f>
        <v>Cash</v>
      </c>
      <c r="F194" s="27" t="str">
        <f>IFERROR(VLOOKUP(C194,'Chart of Accounts'!$A$4:$F$30,5,FALSE),"")</f>
        <v>BS</v>
      </c>
      <c r="G194" s="15">
        <v>0</v>
      </c>
      <c r="H194" s="15">
        <v>191825.23178551966</v>
      </c>
      <c r="I194" s="10">
        <f t="shared" si="6"/>
        <v>-191825.23178551966</v>
      </c>
      <c r="J194" s="14" t="s">
        <v>319</v>
      </c>
      <c r="K194" s="14" t="s">
        <v>219</v>
      </c>
      <c r="L194" s="14" t="s">
        <v>220</v>
      </c>
      <c r="M194" s="8" t="str">
        <f t="shared" si="7"/>
        <v>2026-02</v>
      </c>
      <c r="N194" s="8" t="str">
        <f t="shared" si="8"/>
        <v>OK</v>
      </c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>
      <c r="A195" s="14" t="s">
        <v>318</v>
      </c>
      <c r="B195" s="26">
        <v>46078</v>
      </c>
      <c r="C195" s="14" t="s">
        <v>76</v>
      </c>
      <c r="D195" s="27" t="str">
        <f>IFERROR(VLOOKUP(C195,'Chart of Accounts'!$A$4:$F$30,2,FALSE),"")</f>
        <v>Payroll Liabilities</v>
      </c>
      <c r="E195" s="27" t="str">
        <f>IFERROR(VLOOKUP(C195,'Chart of Accounts'!$A$4:$F$30,4,FALSE),"")</f>
        <v>Payroll Liabilities</v>
      </c>
      <c r="F195" s="27" t="str">
        <f>IFERROR(VLOOKUP(C195,'Chart of Accounts'!$A$4:$F$30,5,FALSE),"")</f>
        <v>BS</v>
      </c>
      <c r="G195" s="15">
        <v>0</v>
      </c>
      <c r="H195" s="15">
        <v>13572.539984824503</v>
      </c>
      <c r="I195" s="10">
        <f t="shared" si="6"/>
        <v>-13572.539984824503</v>
      </c>
      <c r="J195" s="14" t="s">
        <v>319</v>
      </c>
      <c r="K195" s="14" t="s">
        <v>219</v>
      </c>
      <c r="L195" s="14" t="s">
        <v>220</v>
      </c>
      <c r="M195" s="8" t="str">
        <f t="shared" si="7"/>
        <v>2026-02</v>
      </c>
      <c r="N195" s="8" t="str">
        <f t="shared" si="8"/>
        <v>OK</v>
      </c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>
      <c r="A196" s="14" t="s">
        <v>320</v>
      </c>
      <c r="B196" s="26">
        <v>46081</v>
      </c>
      <c r="C196" s="14" t="s">
        <v>76</v>
      </c>
      <c r="D196" s="27" t="str">
        <f>IFERROR(VLOOKUP(C196,'Chart of Accounts'!$A$4:$F$30,2,FALSE),"")</f>
        <v>Payroll Liabilities</v>
      </c>
      <c r="E196" s="27" t="str">
        <f>IFERROR(VLOOKUP(C196,'Chart of Accounts'!$A$4:$F$30,4,FALSE),"")</f>
        <v>Payroll Liabilities</v>
      </c>
      <c r="F196" s="27" t="str">
        <f>IFERROR(VLOOKUP(C196,'Chart of Accounts'!$A$4:$F$30,5,FALSE),"")</f>
        <v>BS</v>
      </c>
      <c r="G196" s="15">
        <v>13572.539984824503</v>
      </c>
      <c r="H196" s="15">
        <v>0</v>
      </c>
      <c r="I196" s="10">
        <f t="shared" ref="I196:I259" si="9">G196-H196</f>
        <v>13572.539984824503</v>
      </c>
      <c r="J196" s="14" t="s">
        <v>321</v>
      </c>
      <c r="K196" s="14" t="s">
        <v>223</v>
      </c>
      <c r="L196" s="14" t="s">
        <v>220</v>
      </c>
      <c r="M196" s="8" t="str">
        <f t="shared" ref="M196:M259" si="10">TEXT(B196,"yyyy-mm")</f>
        <v>2026-02</v>
      </c>
      <c r="N196" s="8" t="str">
        <f t="shared" ref="N196:N259" si="11">"OK"</f>
        <v>OK</v>
      </c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>
      <c r="A197" s="14" t="s">
        <v>320</v>
      </c>
      <c r="B197" s="26">
        <v>46081</v>
      </c>
      <c r="C197" s="14" t="s">
        <v>52</v>
      </c>
      <c r="D197" s="27" t="str">
        <f>IFERROR(VLOOKUP(C197,'Chart of Accounts'!$A$4:$F$30,2,FALSE),"")</f>
        <v>Bank</v>
      </c>
      <c r="E197" s="27" t="str">
        <f>IFERROR(VLOOKUP(C197,'Chart of Accounts'!$A$4:$F$30,4,FALSE),"")</f>
        <v>Cash</v>
      </c>
      <c r="F197" s="27" t="str">
        <f>IFERROR(VLOOKUP(C197,'Chart of Accounts'!$A$4:$F$30,5,FALSE),"")</f>
        <v>BS</v>
      </c>
      <c r="G197" s="15">
        <v>0</v>
      </c>
      <c r="H197" s="15">
        <v>13572.539984824503</v>
      </c>
      <c r="I197" s="10">
        <f t="shared" si="9"/>
        <v>-13572.539984824503</v>
      </c>
      <c r="J197" s="14" t="s">
        <v>321</v>
      </c>
      <c r="K197" s="14" t="s">
        <v>223</v>
      </c>
      <c r="L197" s="14" t="s">
        <v>220</v>
      </c>
      <c r="M197" s="8" t="str">
        <f t="shared" si="10"/>
        <v>2026-02</v>
      </c>
      <c r="N197" s="8" t="str">
        <f t="shared" si="11"/>
        <v>OK</v>
      </c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>
      <c r="A198" s="14" t="s">
        <v>322</v>
      </c>
      <c r="B198" s="26">
        <v>46071</v>
      </c>
      <c r="C198" s="14" t="s">
        <v>100</v>
      </c>
      <c r="D198" s="27" t="str">
        <f>IFERROR(VLOOKUP(C198,'Chart of Accounts'!$A$4:$F$30,2,FALSE),"")</f>
        <v>Marketing</v>
      </c>
      <c r="E198" s="27" t="str">
        <f>IFERROR(VLOOKUP(C198,'Chart of Accounts'!$A$4:$F$30,4,FALSE),"")</f>
        <v>Marketing</v>
      </c>
      <c r="F198" s="27" t="str">
        <f>IFERROR(VLOOKUP(C198,'Chart of Accounts'!$A$4:$F$30,5,FALSE),"")</f>
        <v>PL</v>
      </c>
      <c r="G198" s="15">
        <v>65397.666755843282</v>
      </c>
      <c r="H198" s="15">
        <v>0</v>
      </c>
      <c r="I198" s="10">
        <f t="shared" si="9"/>
        <v>65397.666755843282</v>
      </c>
      <c r="J198" s="14" t="s">
        <v>323</v>
      </c>
      <c r="K198" s="14" t="s">
        <v>226</v>
      </c>
      <c r="L198" s="14" t="s">
        <v>190</v>
      </c>
      <c r="M198" s="8" t="str">
        <f t="shared" si="10"/>
        <v>2026-02</v>
      </c>
      <c r="N198" s="8" t="str">
        <f t="shared" si="11"/>
        <v>OK</v>
      </c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>
      <c r="A199" s="14" t="s">
        <v>322</v>
      </c>
      <c r="B199" s="26">
        <v>46071</v>
      </c>
      <c r="C199" s="14" t="s">
        <v>71</v>
      </c>
      <c r="D199" s="27" t="str">
        <f>IFERROR(VLOOKUP(C199,'Chart of Accounts'!$A$4:$F$30,2,FALSE),"")</f>
        <v>Trade Payables</v>
      </c>
      <c r="E199" s="27" t="str">
        <f>IFERROR(VLOOKUP(C199,'Chart of Accounts'!$A$4:$F$30,4,FALSE),"")</f>
        <v>Trade Payables</v>
      </c>
      <c r="F199" s="27" t="str">
        <f>IFERROR(VLOOKUP(C199,'Chart of Accounts'!$A$4:$F$30,5,FALSE),"")</f>
        <v>BS</v>
      </c>
      <c r="G199" s="15">
        <v>0</v>
      </c>
      <c r="H199" s="15">
        <v>65397.666755843282</v>
      </c>
      <c r="I199" s="10">
        <f t="shared" si="9"/>
        <v>-65397.666755843282</v>
      </c>
      <c r="J199" s="14" t="s">
        <v>323</v>
      </c>
      <c r="K199" s="14" t="s">
        <v>226</v>
      </c>
      <c r="L199" s="14" t="s">
        <v>190</v>
      </c>
      <c r="M199" s="8" t="str">
        <f t="shared" si="10"/>
        <v>2026-02</v>
      </c>
      <c r="N199" s="8" t="str">
        <f t="shared" si="11"/>
        <v>OK</v>
      </c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>
      <c r="A200" s="14" t="s">
        <v>324</v>
      </c>
      <c r="B200" s="26">
        <v>46054</v>
      </c>
      <c r="C200" s="14" t="s">
        <v>102</v>
      </c>
      <c r="D200" s="27" t="str">
        <f>IFERROR(VLOOKUP(C200,'Chart of Accounts'!$A$4:$F$30,2,FALSE),"")</f>
        <v>Rent</v>
      </c>
      <c r="E200" s="27" t="str">
        <f>IFERROR(VLOOKUP(C200,'Chart of Accounts'!$A$4:$F$30,4,FALSE),"")</f>
        <v>Rent</v>
      </c>
      <c r="F200" s="27" t="str">
        <f>IFERROR(VLOOKUP(C200,'Chart of Accounts'!$A$4:$F$30,5,FALSE),"")</f>
        <v>PL</v>
      </c>
      <c r="G200" s="15">
        <v>52000</v>
      </c>
      <c r="H200" s="15">
        <v>0</v>
      </c>
      <c r="I200" s="10">
        <f t="shared" si="9"/>
        <v>52000</v>
      </c>
      <c r="J200" s="14" t="s">
        <v>325</v>
      </c>
      <c r="K200" s="14" t="s">
        <v>229</v>
      </c>
      <c r="L200" s="14" t="s">
        <v>53</v>
      </c>
      <c r="M200" s="8" t="str">
        <f t="shared" si="10"/>
        <v>2026-02</v>
      </c>
      <c r="N200" s="8" t="str">
        <f t="shared" si="11"/>
        <v>OK</v>
      </c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>
      <c r="A201" s="14" t="s">
        <v>324</v>
      </c>
      <c r="B201" s="26">
        <v>46054</v>
      </c>
      <c r="C201" s="14" t="s">
        <v>52</v>
      </c>
      <c r="D201" s="27" t="str">
        <f>IFERROR(VLOOKUP(C201,'Chart of Accounts'!$A$4:$F$30,2,FALSE),"")</f>
        <v>Bank</v>
      </c>
      <c r="E201" s="27" t="str">
        <f>IFERROR(VLOOKUP(C201,'Chart of Accounts'!$A$4:$F$30,4,FALSE),"")</f>
        <v>Cash</v>
      </c>
      <c r="F201" s="27" t="str">
        <f>IFERROR(VLOOKUP(C201,'Chart of Accounts'!$A$4:$F$30,5,FALSE),"")</f>
        <v>BS</v>
      </c>
      <c r="G201" s="15">
        <v>0</v>
      </c>
      <c r="H201" s="15">
        <v>52000</v>
      </c>
      <c r="I201" s="10">
        <f t="shared" si="9"/>
        <v>-52000</v>
      </c>
      <c r="J201" s="14" t="s">
        <v>325</v>
      </c>
      <c r="K201" s="14" t="s">
        <v>229</v>
      </c>
      <c r="L201" s="14" t="s">
        <v>53</v>
      </c>
      <c r="M201" s="8" t="str">
        <f t="shared" si="10"/>
        <v>2026-02</v>
      </c>
      <c r="N201" s="8" t="str">
        <f t="shared" si="11"/>
        <v>OK</v>
      </c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>
      <c r="A202" s="14" t="s">
        <v>326</v>
      </c>
      <c r="B202" s="26">
        <v>46073</v>
      </c>
      <c r="C202" s="14" t="s">
        <v>104</v>
      </c>
      <c r="D202" s="27" t="str">
        <f>IFERROR(VLOOKUP(C202,'Chart of Accounts'!$A$4:$F$30,2,FALSE),"")</f>
        <v>Utilities</v>
      </c>
      <c r="E202" s="27" t="str">
        <f>IFERROR(VLOOKUP(C202,'Chart of Accounts'!$A$4:$F$30,4,FALSE),"")</f>
        <v>Utilities</v>
      </c>
      <c r="F202" s="27" t="str">
        <f>IFERROR(VLOOKUP(C202,'Chart of Accounts'!$A$4:$F$30,5,FALSE),"")</f>
        <v>PL</v>
      </c>
      <c r="G202" s="15">
        <v>20248.497906937399</v>
      </c>
      <c r="H202" s="15">
        <v>0</v>
      </c>
      <c r="I202" s="10">
        <f t="shared" si="9"/>
        <v>20248.497906937399</v>
      </c>
      <c r="J202" s="14" t="s">
        <v>327</v>
      </c>
      <c r="K202" s="14" t="s">
        <v>232</v>
      </c>
      <c r="L202" s="14" t="s">
        <v>190</v>
      </c>
      <c r="M202" s="8" t="str">
        <f t="shared" si="10"/>
        <v>2026-02</v>
      </c>
      <c r="N202" s="8" t="str">
        <f t="shared" si="11"/>
        <v>OK</v>
      </c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>
      <c r="A203" s="14" t="s">
        <v>326</v>
      </c>
      <c r="B203" s="26">
        <v>46073</v>
      </c>
      <c r="C203" s="14" t="s">
        <v>71</v>
      </c>
      <c r="D203" s="27" t="str">
        <f>IFERROR(VLOOKUP(C203,'Chart of Accounts'!$A$4:$F$30,2,FALSE),"")</f>
        <v>Trade Payables</v>
      </c>
      <c r="E203" s="27" t="str">
        <f>IFERROR(VLOOKUP(C203,'Chart of Accounts'!$A$4:$F$30,4,FALSE),"")</f>
        <v>Trade Payables</v>
      </c>
      <c r="F203" s="27" t="str">
        <f>IFERROR(VLOOKUP(C203,'Chart of Accounts'!$A$4:$F$30,5,FALSE),"")</f>
        <v>BS</v>
      </c>
      <c r="G203" s="15">
        <v>0</v>
      </c>
      <c r="H203" s="15">
        <v>20248.497906937399</v>
      </c>
      <c r="I203" s="10">
        <f t="shared" si="9"/>
        <v>-20248.497906937399</v>
      </c>
      <c r="J203" s="14" t="s">
        <v>327</v>
      </c>
      <c r="K203" s="14" t="s">
        <v>232</v>
      </c>
      <c r="L203" s="14" t="s">
        <v>190</v>
      </c>
      <c r="M203" s="8" t="str">
        <f t="shared" si="10"/>
        <v>2026-02</v>
      </c>
      <c r="N203" s="8" t="str">
        <f t="shared" si="11"/>
        <v>OK</v>
      </c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>
      <c r="A204" s="14" t="s">
        <v>328</v>
      </c>
      <c r="B204" s="26">
        <v>46069</v>
      </c>
      <c r="C204" s="14" t="s">
        <v>106</v>
      </c>
      <c r="D204" s="27" t="str">
        <f>IFERROR(VLOOKUP(C204,'Chart of Accounts'!$A$4:$F$30,2,FALSE),"")</f>
        <v>Professional Fees</v>
      </c>
      <c r="E204" s="27" t="str">
        <f>IFERROR(VLOOKUP(C204,'Chart of Accounts'!$A$4:$F$30,4,FALSE),"")</f>
        <v>Professional Fees</v>
      </c>
      <c r="F204" s="27" t="str">
        <f>IFERROR(VLOOKUP(C204,'Chart of Accounts'!$A$4:$F$30,5,FALSE),"")</f>
        <v>PL</v>
      </c>
      <c r="G204" s="15">
        <v>14572.913421774845</v>
      </c>
      <c r="H204" s="15">
        <v>0</v>
      </c>
      <c r="I204" s="10">
        <f t="shared" si="9"/>
        <v>14572.913421774845</v>
      </c>
      <c r="J204" s="14" t="s">
        <v>329</v>
      </c>
      <c r="K204" s="14" t="s">
        <v>235</v>
      </c>
      <c r="L204" s="14" t="s">
        <v>190</v>
      </c>
      <c r="M204" s="8" t="str">
        <f t="shared" si="10"/>
        <v>2026-02</v>
      </c>
      <c r="N204" s="8" t="str">
        <f t="shared" si="11"/>
        <v>OK</v>
      </c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>
      <c r="A205" s="14" t="s">
        <v>328</v>
      </c>
      <c r="B205" s="26">
        <v>46069</v>
      </c>
      <c r="C205" s="14" t="s">
        <v>71</v>
      </c>
      <c r="D205" s="27" t="str">
        <f>IFERROR(VLOOKUP(C205,'Chart of Accounts'!$A$4:$F$30,2,FALSE),"")</f>
        <v>Trade Payables</v>
      </c>
      <c r="E205" s="27" t="str">
        <f>IFERROR(VLOOKUP(C205,'Chart of Accounts'!$A$4:$F$30,4,FALSE),"")</f>
        <v>Trade Payables</v>
      </c>
      <c r="F205" s="27" t="str">
        <f>IFERROR(VLOOKUP(C205,'Chart of Accounts'!$A$4:$F$30,5,FALSE),"")</f>
        <v>BS</v>
      </c>
      <c r="G205" s="15">
        <v>0</v>
      </c>
      <c r="H205" s="15">
        <v>14572.913421774845</v>
      </c>
      <c r="I205" s="10">
        <f t="shared" si="9"/>
        <v>-14572.913421774845</v>
      </c>
      <c r="J205" s="14" t="s">
        <v>329</v>
      </c>
      <c r="K205" s="14" t="s">
        <v>235</v>
      </c>
      <c r="L205" s="14" t="s">
        <v>190</v>
      </c>
      <c r="M205" s="8" t="str">
        <f t="shared" si="10"/>
        <v>2026-02</v>
      </c>
      <c r="N205" s="8" t="str">
        <f t="shared" si="11"/>
        <v>OK</v>
      </c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>
      <c r="A206" s="14" t="s">
        <v>330</v>
      </c>
      <c r="B206" s="26">
        <v>46058</v>
      </c>
      <c r="C206" s="14" t="s">
        <v>110</v>
      </c>
      <c r="D206" s="27" t="str">
        <f>IFERROR(VLOOKUP(C206,'Chart of Accounts'!$A$4:$F$30,2,FALSE),"")</f>
        <v>Software &amp; IT</v>
      </c>
      <c r="E206" s="27" t="str">
        <f>IFERROR(VLOOKUP(C206,'Chart of Accounts'!$A$4:$F$30,4,FALSE),"")</f>
        <v>Software &amp; IT</v>
      </c>
      <c r="F206" s="27" t="str">
        <f>IFERROR(VLOOKUP(C206,'Chart of Accounts'!$A$4:$F$30,5,FALSE),"")</f>
        <v>PL</v>
      </c>
      <c r="G206" s="15">
        <v>25600</v>
      </c>
      <c r="H206" s="15">
        <v>0</v>
      </c>
      <c r="I206" s="10">
        <f t="shared" si="9"/>
        <v>25600</v>
      </c>
      <c r="J206" s="14" t="s">
        <v>331</v>
      </c>
      <c r="K206" s="14" t="s">
        <v>238</v>
      </c>
      <c r="L206" s="14" t="s">
        <v>53</v>
      </c>
      <c r="M206" s="8" t="str">
        <f t="shared" si="10"/>
        <v>2026-02</v>
      </c>
      <c r="N206" s="8" t="str">
        <f t="shared" si="11"/>
        <v>OK</v>
      </c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>
      <c r="A207" s="14" t="s">
        <v>330</v>
      </c>
      <c r="B207" s="26">
        <v>46058</v>
      </c>
      <c r="C207" s="14" t="s">
        <v>52</v>
      </c>
      <c r="D207" s="27" t="str">
        <f>IFERROR(VLOOKUP(C207,'Chart of Accounts'!$A$4:$F$30,2,FALSE),"")</f>
        <v>Bank</v>
      </c>
      <c r="E207" s="27" t="str">
        <f>IFERROR(VLOOKUP(C207,'Chart of Accounts'!$A$4:$F$30,4,FALSE),"")</f>
        <v>Cash</v>
      </c>
      <c r="F207" s="27" t="str">
        <f>IFERROR(VLOOKUP(C207,'Chart of Accounts'!$A$4:$F$30,5,FALSE),"")</f>
        <v>BS</v>
      </c>
      <c r="G207" s="15">
        <v>0</v>
      </c>
      <c r="H207" s="15">
        <v>25600</v>
      </c>
      <c r="I207" s="10">
        <f t="shared" si="9"/>
        <v>-25600</v>
      </c>
      <c r="J207" s="14" t="s">
        <v>331</v>
      </c>
      <c r="K207" s="14" t="s">
        <v>238</v>
      </c>
      <c r="L207" s="14" t="s">
        <v>53</v>
      </c>
      <c r="M207" s="8" t="str">
        <f t="shared" si="10"/>
        <v>2026-02</v>
      </c>
      <c r="N207" s="8" t="str">
        <f t="shared" si="11"/>
        <v>OK</v>
      </c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>
      <c r="A208" s="14" t="s">
        <v>332</v>
      </c>
      <c r="B208" s="26">
        <v>46075</v>
      </c>
      <c r="C208" s="14" t="s">
        <v>112</v>
      </c>
      <c r="D208" s="27" t="str">
        <f>IFERROR(VLOOKUP(C208,'Chart of Accounts'!$A$4:$F$30,2,FALSE),"")</f>
        <v>Travel &amp; Entertainment</v>
      </c>
      <c r="E208" s="27" t="str">
        <f>IFERROR(VLOOKUP(C208,'Chart of Accounts'!$A$4:$F$30,4,FALSE),"")</f>
        <v>Travel</v>
      </c>
      <c r="F208" s="27" t="str">
        <f>IFERROR(VLOOKUP(C208,'Chart of Accounts'!$A$4:$F$30,5,FALSE),"")</f>
        <v>PL</v>
      </c>
      <c r="G208" s="15">
        <v>8621.2821447361312</v>
      </c>
      <c r="H208" s="15">
        <v>0</v>
      </c>
      <c r="I208" s="10">
        <f t="shared" si="9"/>
        <v>8621.2821447361312</v>
      </c>
      <c r="J208" s="14" t="s">
        <v>333</v>
      </c>
      <c r="K208" s="14" t="s">
        <v>241</v>
      </c>
      <c r="L208" s="14" t="s">
        <v>53</v>
      </c>
      <c r="M208" s="8" t="str">
        <f t="shared" si="10"/>
        <v>2026-02</v>
      </c>
      <c r="N208" s="8" t="str">
        <f t="shared" si="11"/>
        <v>OK</v>
      </c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>
      <c r="A209" s="14" t="s">
        <v>332</v>
      </c>
      <c r="B209" s="26">
        <v>46075</v>
      </c>
      <c r="C209" s="14" t="s">
        <v>52</v>
      </c>
      <c r="D209" s="27" t="str">
        <f>IFERROR(VLOOKUP(C209,'Chart of Accounts'!$A$4:$F$30,2,FALSE),"")</f>
        <v>Bank</v>
      </c>
      <c r="E209" s="27" t="str">
        <f>IFERROR(VLOOKUP(C209,'Chart of Accounts'!$A$4:$F$30,4,FALSE),"")</f>
        <v>Cash</v>
      </c>
      <c r="F209" s="27" t="str">
        <f>IFERROR(VLOOKUP(C209,'Chart of Accounts'!$A$4:$F$30,5,FALSE),"")</f>
        <v>BS</v>
      </c>
      <c r="G209" s="15">
        <v>0</v>
      </c>
      <c r="H209" s="15">
        <v>8621.2821447361312</v>
      </c>
      <c r="I209" s="10">
        <f t="shared" si="9"/>
        <v>-8621.2821447361312</v>
      </c>
      <c r="J209" s="14" t="s">
        <v>333</v>
      </c>
      <c r="K209" s="14" t="s">
        <v>241</v>
      </c>
      <c r="L209" s="14" t="s">
        <v>53</v>
      </c>
      <c r="M209" s="8" t="str">
        <f t="shared" si="10"/>
        <v>2026-02</v>
      </c>
      <c r="N209" s="8" t="str">
        <f t="shared" si="11"/>
        <v>OK</v>
      </c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>
      <c r="A210" s="14" t="s">
        <v>334</v>
      </c>
      <c r="B210" s="26">
        <v>46080</v>
      </c>
      <c r="C210" s="14" t="s">
        <v>120</v>
      </c>
      <c r="D210" s="27" t="str">
        <f>IFERROR(VLOOKUP(C210,'Chart of Accounts'!$A$4:$F$30,2,FALSE),"")</f>
        <v>Interest Expense</v>
      </c>
      <c r="E210" s="27" t="str">
        <f>IFERROR(VLOOKUP(C210,'Chart of Accounts'!$A$4:$F$30,4,FALSE),"")</f>
        <v>Interest</v>
      </c>
      <c r="F210" s="27" t="str">
        <f>IFERROR(VLOOKUP(C210,'Chart of Accounts'!$A$4:$F$30,5,FALSE),"")</f>
        <v>PL</v>
      </c>
      <c r="G210" s="15">
        <v>5500</v>
      </c>
      <c r="H210" s="15">
        <v>0</v>
      </c>
      <c r="I210" s="10">
        <f t="shared" si="9"/>
        <v>5500</v>
      </c>
      <c r="J210" s="14" t="s">
        <v>335</v>
      </c>
      <c r="K210" s="14" t="s">
        <v>244</v>
      </c>
      <c r="L210" s="14" t="s">
        <v>53</v>
      </c>
      <c r="M210" s="8" t="str">
        <f t="shared" si="10"/>
        <v>2026-02</v>
      </c>
      <c r="N210" s="8" t="str">
        <f t="shared" si="11"/>
        <v>OK</v>
      </c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>
      <c r="A211" s="14" t="s">
        <v>334</v>
      </c>
      <c r="B211" s="26">
        <v>46080</v>
      </c>
      <c r="C211" s="14" t="s">
        <v>52</v>
      </c>
      <c r="D211" s="27" t="str">
        <f>IFERROR(VLOOKUP(C211,'Chart of Accounts'!$A$4:$F$30,2,FALSE),"")</f>
        <v>Bank</v>
      </c>
      <c r="E211" s="27" t="str">
        <f>IFERROR(VLOOKUP(C211,'Chart of Accounts'!$A$4:$F$30,4,FALSE),"")</f>
        <v>Cash</v>
      </c>
      <c r="F211" s="27" t="str">
        <f>IFERROR(VLOOKUP(C211,'Chart of Accounts'!$A$4:$F$30,5,FALSE),"")</f>
        <v>BS</v>
      </c>
      <c r="G211" s="15">
        <v>0</v>
      </c>
      <c r="H211" s="15">
        <v>5500</v>
      </c>
      <c r="I211" s="10">
        <f t="shared" si="9"/>
        <v>-5500</v>
      </c>
      <c r="J211" s="14" t="s">
        <v>335</v>
      </c>
      <c r="K211" s="14" t="s">
        <v>244</v>
      </c>
      <c r="L211" s="14" t="s">
        <v>53</v>
      </c>
      <c r="M211" s="8" t="str">
        <f t="shared" si="10"/>
        <v>2026-02</v>
      </c>
      <c r="N211" s="8" t="str">
        <f t="shared" si="11"/>
        <v>OK</v>
      </c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>
      <c r="A212" s="14" t="s">
        <v>336</v>
      </c>
      <c r="B212" s="26">
        <v>46081</v>
      </c>
      <c r="C212" s="14" t="s">
        <v>115</v>
      </c>
      <c r="D212" s="27" t="str">
        <f>IFERROR(VLOOKUP(C212,'Chart of Accounts'!$A$4:$F$30,2,FALSE),"")</f>
        <v>Depreciation</v>
      </c>
      <c r="E212" s="27" t="str">
        <f>IFERROR(VLOOKUP(C212,'Chart of Accounts'!$A$4:$F$30,4,FALSE),"")</f>
        <v>Depreciation</v>
      </c>
      <c r="F212" s="27" t="str">
        <f>IFERROR(VLOOKUP(C212,'Chart of Accounts'!$A$4:$F$30,5,FALSE),"")</f>
        <v>PL</v>
      </c>
      <c r="G212" s="15">
        <v>15000</v>
      </c>
      <c r="H212" s="15">
        <v>0</v>
      </c>
      <c r="I212" s="10">
        <f t="shared" si="9"/>
        <v>15000</v>
      </c>
      <c r="J212" s="14" t="s">
        <v>337</v>
      </c>
      <c r="K212" s="14" t="s">
        <v>247</v>
      </c>
      <c r="L212" s="14" t="s">
        <v>248</v>
      </c>
      <c r="M212" s="8" t="str">
        <f t="shared" si="10"/>
        <v>2026-02</v>
      </c>
      <c r="N212" s="8" t="str">
        <f t="shared" si="11"/>
        <v>OK</v>
      </c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>
      <c r="A213" s="14" t="s">
        <v>336</v>
      </c>
      <c r="B213" s="26">
        <v>46081</v>
      </c>
      <c r="C213" s="14" t="s">
        <v>69</v>
      </c>
      <c r="D213" s="27" t="str">
        <f>IFERROR(VLOOKUP(C213,'Chart of Accounts'!$A$4:$F$30,2,FALSE),"")</f>
        <v>Accumulated Depreciation</v>
      </c>
      <c r="E213" s="27" t="str">
        <f>IFERROR(VLOOKUP(C213,'Chart of Accounts'!$A$4:$F$30,4,FALSE),"")</f>
        <v>Accumulated Depreciation</v>
      </c>
      <c r="F213" s="27" t="str">
        <f>IFERROR(VLOOKUP(C213,'Chart of Accounts'!$A$4:$F$30,5,FALSE),"")</f>
        <v>BS</v>
      </c>
      <c r="G213" s="15">
        <v>0</v>
      </c>
      <c r="H213" s="15">
        <v>15000</v>
      </c>
      <c r="I213" s="10">
        <f t="shared" si="9"/>
        <v>-15000</v>
      </c>
      <c r="J213" s="14" t="s">
        <v>337</v>
      </c>
      <c r="K213" s="14" t="s">
        <v>247</v>
      </c>
      <c r="L213" s="14" t="s">
        <v>248</v>
      </c>
      <c r="M213" s="8" t="str">
        <f t="shared" si="10"/>
        <v>2026-02</v>
      </c>
      <c r="N213" s="8" t="str">
        <f t="shared" si="11"/>
        <v>OK</v>
      </c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>
      <c r="A214" s="14" t="s">
        <v>338</v>
      </c>
      <c r="B214" s="26">
        <v>46095</v>
      </c>
      <c r="C214" s="14" t="s">
        <v>58</v>
      </c>
      <c r="D214" s="27" t="str">
        <f>IFERROR(VLOOKUP(C214,'Chart of Accounts'!$A$4:$F$30,2,FALSE),"")</f>
        <v>Trade Receivables</v>
      </c>
      <c r="E214" s="27" t="str">
        <f>IFERROR(VLOOKUP(C214,'Chart of Accounts'!$A$4:$F$30,4,FALSE),"")</f>
        <v>Trade Receivables</v>
      </c>
      <c r="F214" s="27" t="str">
        <f>IFERROR(VLOOKUP(C214,'Chart of Accounts'!$A$4:$F$30,5,FALSE),"")</f>
        <v>BS</v>
      </c>
      <c r="G214" s="15">
        <v>65567.954092262473</v>
      </c>
      <c r="H214" s="15">
        <v>0</v>
      </c>
      <c r="I214" s="10">
        <f t="shared" si="9"/>
        <v>65567.954092262473</v>
      </c>
      <c r="J214" s="14" t="s">
        <v>339</v>
      </c>
      <c r="K214" s="14" t="s">
        <v>158</v>
      </c>
      <c r="L214" s="14" t="s">
        <v>140</v>
      </c>
      <c r="M214" s="8" t="str">
        <f t="shared" si="10"/>
        <v>2026-03</v>
      </c>
      <c r="N214" s="8" t="str">
        <f t="shared" si="11"/>
        <v>OK</v>
      </c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>
      <c r="A215" s="14" t="s">
        <v>338</v>
      </c>
      <c r="B215" s="26">
        <v>46095</v>
      </c>
      <c r="C215" s="14" t="s">
        <v>86</v>
      </c>
      <c r="D215" s="27" t="str">
        <f>IFERROR(VLOOKUP(C215,'Chart of Accounts'!$A$4:$F$30,2,FALSE),"")</f>
        <v>Product Sales</v>
      </c>
      <c r="E215" s="27" t="str">
        <f>IFERROR(VLOOKUP(C215,'Chart of Accounts'!$A$4:$F$30,4,FALSE),"")</f>
        <v>Revenue</v>
      </c>
      <c r="F215" s="27" t="str">
        <f>IFERROR(VLOOKUP(C215,'Chart of Accounts'!$A$4:$F$30,5,FALSE),"")</f>
        <v>PL</v>
      </c>
      <c r="G215" s="15">
        <v>0</v>
      </c>
      <c r="H215" s="15">
        <v>65567.954092262473</v>
      </c>
      <c r="I215" s="10">
        <f t="shared" si="9"/>
        <v>-65567.954092262473</v>
      </c>
      <c r="J215" s="14" t="s">
        <v>339</v>
      </c>
      <c r="K215" s="14" t="s">
        <v>158</v>
      </c>
      <c r="L215" s="14" t="s">
        <v>140</v>
      </c>
      <c r="M215" s="8" t="str">
        <f t="shared" si="10"/>
        <v>2026-03</v>
      </c>
      <c r="N215" s="8" t="str">
        <f t="shared" si="11"/>
        <v>OK</v>
      </c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>
      <c r="A216" s="14" t="s">
        <v>338</v>
      </c>
      <c r="B216" s="26">
        <v>46095</v>
      </c>
      <c r="C216" s="14" t="s">
        <v>90</v>
      </c>
      <c r="D216" s="27" t="str">
        <f>IFERROR(VLOOKUP(C216,'Chart of Accounts'!$A$4:$F$30,2,FALSE),"")</f>
        <v>Cost of Goods Sold</v>
      </c>
      <c r="E216" s="27" t="str">
        <f>IFERROR(VLOOKUP(C216,'Chart of Accounts'!$A$4:$F$30,4,FALSE),"")</f>
        <v>COGS</v>
      </c>
      <c r="F216" s="27" t="str">
        <f>IFERROR(VLOOKUP(C216,'Chart of Accounts'!$A$4:$F$30,5,FALSE),"")</f>
        <v>PL</v>
      </c>
      <c r="G216" s="15">
        <v>36193.510658928884</v>
      </c>
      <c r="H216" s="15">
        <v>0</v>
      </c>
      <c r="I216" s="10">
        <f t="shared" si="9"/>
        <v>36193.510658928884</v>
      </c>
      <c r="J216" s="14" t="s">
        <v>339</v>
      </c>
      <c r="K216" s="14" t="s">
        <v>158</v>
      </c>
      <c r="L216" s="14" t="s">
        <v>140</v>
      </c>
      <c r="M216" s="8" t="str">
        <f t="shared" si="10"/>
        <v>2026-03</v>
      </c>
      <c r="N216" s="8" t="str">
        <f t="shared" si="11"/>
        <v>OK</v>
      </c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>
      <c r="A217" s="14" t="s">
        <v>338</v>
      </c>
      <c r="B217" s="26">
        <v>46095</v>
      </c>
      <c r="C217" s="14" t="s">
        <v>63</v>
      </c>
      <c r="D217" s="27" t="str">
        <f>IFERROR(VLOOKUP(C217,'Chart of Accounts'!$A$4:$F$30,2,FALSE),"")</f>
        <v>Inventory</v>
      </c>
      <c r="E217" s="27" t="str">
        <f>IFERROR(VLOOKUP(C217,'Chart of Accounts'!$A$4:$F$30,4,FALSE),"")</f>
        <v>Inventory</v>
      </c>
      <c r="F217" s="27" t="str">
        <f>IFERROR(VLOOKUP(C217,'Chart of Accounts'!$A$4:$F$30,5,FALSE),"")</f>
        <v>BS</v>
      </c>
      <c r="G217" s="15">
        <v>0</v>
      </c>
      <c r="H217" s="15">
        <v>36193.510658928884</v>
      </c>
      <c r="I217" s="10">
        <f t="shared" si="9"/>
        <v>-36193.510658928884</v>
      </c>
      <c r="J217" s="14" t="s">
        <v>339</v>
      </c>
      <c r="K217" s="14" t="s">
        <v>158</v>
      </c>
      <c r="L217" s="14" t="s">
        <v>140</v>
      </c>
      <c r="M217" s="8" t="str">
        <f t="shared" si="10"/>
        <v>2026-03</v>
      </c>
      <c r="N217" s="8" t="str">
        <f t="shared" si="11"/>
        <v>OK</v>
      </c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>
      <c r="A218" s="14" t="s">
        <v>340</v>
      </c>
      <c r="B218" s="26">
        <v>46096</v>
      </c>
      <c r="C218" s="14" t="s">
        <v>58</v>
      </c>
      <c r="D218" s="27" t="str">
        <f>IFERROR(VLOOKUP(C218,'Chart of Accounts'!$A$4:$F$30,2,FALSE),"")</f>
        <v>Trade Receivables</v>
      </c>
      <c r="E218" s="27" t="str">
        <f>IFERROR(VLOOKUP(C218,'Chart of Accounts'!$A$4:$F$30,4,FALSE),"")</f>
        <v>Trade Receivables</v>
      </c>
      <c r="F218" s="27" t="str">
        <f>IFERROR(VLOOKUP(C218,'Chart of Accounts'!$A$4:$F$30,5,FALSE),"")</f>
        <v>BS</v>
      </c>
      <c r="G218" s="15">
        <v>81327.745241801982</v>
      </c>
      <c r="H218" s="15">
        <v>0</v>
      </c>
      <c r="I218" s="10">
        <f t="shared" si="9"/>
        <v>81327.745241801982</v>
      </c>
      <c r="J218" s="14" t="s">
        <v>341</v>
      </c>
      <c r="K218" s="14" t="s">
        <v>167</v>
      </c>
      <c r="L218" s="14" t="s">
        <v>140</v>
      </c>
      <c r="M218" s="8" t="str">
        <f t="shared" si="10"/>
        <v>2026-03</v>
      </c>
      <c r="N218" s="8" t="str">
        <f t="shared" si="11"/>
        <v>OK</v>
      </c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>
      <c r="A219" s="14" t="s">
        <v>340</v>
      </c>
      <c r="B219" s="26">
        <v>46096</v>
      </c>
      <c r="C219" s="14" t="s">
        <v>86</v>
      </c>
      <c r="D219" s="27" t="str">
        <f>IFERROR(VLOOKUP(C219,'Chart of Accounts'!$A$4:$F$30,2,FALSE),"")</f>
        <v>Product Sales</v>
      </c>
      <c r="E219" s="27" t="str">
        <f>IFERROR(VLOOKUP(C219,'Chart of Accounts'!$A$4:$F$30,4,FALSE),"")</f>
        <v>Revenue</v>
      </c>
      <c r="F219" s="27" t="str">
        <f>IFERROR(VLOOKUP(C219,'Chart of Accounts'!$A$4:$F$30,5,FALSE),"")</f>
        <v>PL</v>
      </c>
      <c r="G219" s="15">
        <v>0</v>
      </c>
      <c r="H219" s="15">
        <v>81327.745241801982</v>
      </c>
      <c r="I219" s="10">
        <f t="shared" si="9"/>
        <v>-81327.745241801982</v>
      </c>
      <c r="J219" s="14" t="s">
        <v>341</v>
      </c>
      <c r="K219" s="14" t="s">
        <v>167</v>
      </c>
      <c r="L219" s="14" t="s">
        <v>140</v>
      </c>
      <c r="M219" s="8" t="str">
        <f t="shared" si="10"/>
        <v>2026-03</v>
      </c>
      <c r="N219" s="8" t="str">
        <f t="shared" si="11"/>
        <v>OK</v>
      </c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>
      <c r="A220" s="14" t="s">
        <v>340</v>
      </c>
      <c r="B220" s="26">
        <v>46096</v>
      </c>
      <c r="C220" s="14" t="s">
        <v>90</v>
      </c>
      <c r="D220" s="27" t="str">
        <f>IFERROR(VLOOKUP(C220,'Chart of Accounts'!$A$4:$F$30,2,FALSE),"")</f>
        <v>Cost of Goods Sold</v>
      </c>
      <c r="E220" s="27" t="str">
        <f>IFERROR(VLOOKUP(C220,'Chart of Accounts'!$A$4:$F$30,4,FALSE),"")</f>
        <v>COGS</v>
      </c>
      <c r="F220" s="27" t="str">
        <f>IFERROR(VLOOKUP(C220,'Chart of Accounts'!$A$4:$F$30,5,FALSE),"")</f>
        <v>PL</v>
      </c>
      <c r="G220" s="15">
        <v>44892.915373474701</v>
      </c>
      <c r="H220" s="15">
        <v>0</v>
      </c>
      <c r="I220" s="10">
        <f t="shared" si="9"/>
        <v>44892.915373474701</v>
      </c>
      <c r="J220" s="14" t="s">
        <v>341</v>
      </c>
      <c r="K220" s="14" t="s">
        <v>167</v>
      </c>
      <c r="L220" s="14" t="s">
        <v>140</v>
      </c>
      <c r="M220" s="8" t="str">
        <f t="shared" si="10"/>
        <v>2026-03</v>
      </c>
      <c r="N220" s="8" t="str">
        <f t="shared" si="11"/>
        <v>OK</v>
      </c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>
      <c r="A221" s="14" t="s">
        <v>340</v>
      </c>
      <c r="B221" s="26">
        <v>46096</v>
      </c>
      <c r="C221" s="14" t="s">
        <v>63</v>
      </c>
      <c r="D221" s="27" t="str">
        <f>IFERROR(VLOOKUP(C221,'Chart of Accounts'!$A$4:$F$30,2,FALSE),"")</f>
        <v>Inventory</v>
      </c>
      <c r="E221" s="27" t="str">
        <f>IFERROR(VLOOKUP(C221,'Chart of Accounts'!$A$4:$F$30,4,FALSE),"")</f>
        <v>Inventory</v>
      </c>
      <c r="F221" s="27" t="str">
        <f>IFERROR(VLOOKUP(C221,'Chart of Accounts'!$A$4:$F$30,5,FALSE),"")</f>
        <v>BS</v>
      </c>
      <c r="G221" s="15">
        <v>0</v>
      </c>
      <c r="H221" s="15">
        <v>44892.915373474701</v>
      </c>
      <c r="I221" s="10">
        <f t="shared" si="9"/>
        <v>-44892.915373474701</v>
      </c>
      <c r="J221" s="14" t="s">
        <v>341</v>
      </c>
      <c r="K221" s="14" t="s">
        <v>167</v>
      </c>
      <c r="L221" s="14" t="s">
        <v>140</v>
      </c>
      <c r="M221" s="8" t="str">
        <f t="shared" si="10"/>
        <v>2026-03</v>
      </c>
      <c r="N221" s="8" t="str">
        <f t="shared" si="11"/>
        <v>OK</v>
      </c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>
      <c r="A222" s="14" t="s">
        <v>342</v>
      </c>
      <c r="B222" s="26">
        <v>46095</v>
      </c>
      <c r="C222" s="14" t="s">
        <v>58</v>
      </c>
      <c r="D222" s="27" t="str">
        <f>IFERROR(VLOOKUP(C222,'Chart of Accounts'!$A$4:$F$30,2,FALSE),"")</f>
        <v>Trade Receivables</v>
      </c>
      <c r="E222" s="27" t="str">
        <f>IFERROR(VLOOKUP(C222,'Chart of Accounts'!$A$4:$F$30,4,FALSE),"")</f>
        <v>Trade Receivables</v>
      </c>
      <c r="F222" s="27" t="str">
        <f>IFERROR(VLOOKUP(C222,'Chart of Accounts'!$A$4:$F$30,5,FALSE),"")</f>
        <v>BS</v>
      </c>
      <c r="G222" s="15">
        <v>88252.598905902865</v>
      </c>
      <c r="H222" s="15">
        <v>0</v>
      </c>
      <c r="I222" s="10">
        <f t="shared" si="9"/>
        <v>88252.598905902865</v>
      </c>
      <c r="J222" s="14" t="s">
        <v>343</v>
      </c>
      <c r="K222" s="14" t="s">
        <v>344</v>
      </c>
      <c r="L222" s="14" t="s">
        <v>140</v>
      </c>
      <c r="M222" s="8" t="str">
        <f t="shared" si="10"/>
        <v>2026-03</v>
      </c>
      <c r="N222" s="8" t="str">
        <f t="shared" si="11"/>
        <v>OK</v>
      </c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>
      <c r="A223" s="14" t="s">
        <v>342</v>
      </c>
      <c r="B223" s="26">
        <v>46095</v>
      </c>
      <c r="C223" s="14" t="s">
        <v>86</v>
      </c>
      <c r="D223" s="27" t="str">
        <f>IFERROR(VLOOKUP(C223,'Chart of Accounts'!$A$4:$F$30,2,FALSE),"")</f>
        <v>Product Sales</v>
      </c>
      <c r="E223" s="27" t="str">
        <f>IFERROR(VLOOKUP(C223,'Chart of Accounts'!$A$4:$F$30,4,FALSE),"")</f>
        <v>Revenue</v>
      </c>
      <c r="F223" s="27" t="str">
        <f>IFERROR(VLOOKUP(C223,'Chart of Accounts'!$A$4:$F$30,5,FALSE),"")</f>
        <v>PL</v>
      </c>
      <c r="G223" s="15">
        <v>0</v>
      </c>
      <c r="H223" s="15">
        <v>88252.598905902865</v>
      </c>
      <c r="I223" s="10">
        <f t="shared" si="9"/>
        <v>-88252.598905902865</v>
      </c>
      <c r="J223" s="14" t="s">
        <v>343</v>
      </c>
      <c r="K223" s="14" t="s">
        <v>344</v>
      </c>
      <c r="L223" s="14" t="s">
        <v>140</v>
      </c>
      <c r="M223" s="8" t="str">
        <f t="shared" si="10"/>
        <v>2026-03</v>
      </c>
      <c r="N223" s="8" t="str">
        <f t="shared" si="11"/>
        <v>OK</v>
      </c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>
      <c r="A224" s="14" t="s">
        <v>342</v>
      </c>
      <c r="B224" s="26">
        <v>46095</v>
      </c>
      <c r="C224" s="14" t="s">
        <v>90</v>
      </c>
      <c r="D224" s="27" t="str">
        <f>IFERROR(VLOOKUP(C224,'Chart of Accounts'!$A$4:$F$30,2,FALSE),"")</f>
        <v>Cost of Goods Sold</v>
      </c>
      <c r="E224" s="27" t="str">
        <f>IFERROR(VLOOKUP(C224,'Chart of Accounts'!$A$4:$F$30,4,FALSE),"")</f>
        <v>COGS</v>
      </c>
      <c r="F224" s="27" t="str">
        <f>IFERROR(VLOOKUP(C224,'Chart of Accounts'!$A$4:$F$30,5,FALSE),"")</f>
        <v>PL</v>
      </c>
      <c r="G224" s="15">
        <v>48715.434596058374</v>
      </c>
      <c r="H224" s="15">
        <v>0</v>
      </c>
      <c r="I224" s="10">
        <f t="shared" si="9"/>
        <v>48715.434596058374</v>
      </c>
      <c r="J224" s="14" t="s">
        <v>343</v>
      </c>
      <c r="K224" s="14" t="s">
        <v>344</v>
      </c>
      <c r="L224" s="14" t="s">
        <v>140</v>
      </c>
      <c r="M224" s="8" t="str">
        <f t="shared" si="10"/>
        <v>2026-03</v>
      </c>
      <c r="N224" s="8" t="str">
        <f t="shared" si="11"/>
        <v>OK</v>
      </c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>
      <c r="A225" s="14" t="s">
        <v>342</v>
      </c>
      <c r="B225" s="26">
        <v>46095</v>
      </c>
      <c r="C225" s="14" t="s">
        <v>63</v>
      </c>
      <c r="D225" s="27" t="str">
        <f>IFERROR(VLOOKUP(C225,'Chart of Accounts'!$A$4:$F$30,2,FALSE),"")</f>
        <v>Inventory</v>
      </c>
      <c r="E225" s="27" t="str">
        <f>IFERROR(VLOOKUP(C225,'Chart of Accounts'!$A$4:$F$30,4,FALSE),"")</f>
        <v>Inventory</v>
      </c>
      <c r="F225" s="27" t="str">
        <f>IFERROR(VLOOKUP(C225,'Chart of Accounts'!$A$4:$F$30,5,FALSE),"")</f>
        <v>BS</v>
      </c>
      <c r="G225" s="15">
        <v>0</v>
      </c>
      <c r="H225" s="15">
        <v>48715.434596058374</v>
      </c>
      <c r="I225" s="10">
        <f t="shared" si="9"/>
        <v>-48715.434596058374</v>
      </c>
      <c r="J225" s="14" t="s">
        <v>343</v>
      </c>
      <c r="K225" s="14" t="s">
        <v>344</v>
      </c>
      <c r="L225" s="14" t="s">
        <v>140</v>
      </c>
      <c r="M225" s="8" t="str">
        <f t="shared" si="10"/>
        <v>2026-03</v>
      </c>
      <c r="N225" s="8" t="str">
        <f t="shared" si="11"/>
        <v>OK</v>
      </c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>
      <c r="A226" s="14" t="s">
        <v>345</v>
      </c>
      <c r="B226" s="26">
        <v>46102</v>
      </c>
      <c r="C226" s="14" t="s">
        <v>58</v>
      </c>
      <c r="D226" s="27" t="str">
        <f>IFERROR(VLOOKUP(C226,'Chart of Accounts'!$A$4:$F$30,2,FALSE),"")</f>
        <v>Trade Receivables</v>
      </c>
      <c r="E226" s="27" t="str">
        <f>IFERROR(VLOOKUP(C226,'Chart of Accounts'!$A$4:$F$30,4,FALSE),"")</f>
        <v>Trade Receivables</v>
      </c>
      <c r="F226" s="27" t="str">
        <f>IFERROR(VLOOKUP(C226,'Chart of Accounts'!$A$4:$F$30,5,FALSE),"")</f>
        <v>BS</v>
      </c>
      <c r="G226" s="15">
        <v>51190.889427375718</v>
      </c>
      <c r="H226" s="15">
        <v>0</v>
      </c>
      <c r="I226" s="10">
        <f t="shared" si="9"/>
        <v>51190.889427375718</v>
      </c>
      <c r="J226" s="14" t="s">
        <v>346</v>
      </c>
      <c r="K226" s="14" t="s">
        <v>347</v>
      </c>
      <c r="L226" s="14" t="s">
        <v>140</v>
      </c>
      <c r="M226" s="8" t="str">
        <f t="shared" si="10"/>
        <v>2026-03</v>
      </c>
      <c r="N226" s="8" t="str">
        <f t="shared" si="11"/>
        <v>OK</v>
      </c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>
      <c r="A227" s="14" t="s">
        <v>345</v>
      </c>
      <c r="B227" s="26">
        <v>46102</v>
      </c>
      <c r="C227" s="14" t="s">
        <v>86</v>
      </c>
      <c r="D227" s="27" t="str">
        <f>IFERROR(VLOOKUP(C227,'Chart of Accounts'!$A$4:$F$30,2,FALSE),"")</f>
        <v>Product Sales</v>
      </c>
      <c r="E227" s="27" t="str">
        <f>IFERROR(VLOOKUP(C227,'Chart of Accounts'!$A$4:$F$30,4,FALSE),"")</f>
        <v>Revenue</v>
      </c>
      <c r="F227" s="27" t="str">
        <f>IFERROR(VLOOKUP(C227,'Chart of Accounts'!$A$4:$F$30,5,FALSE),"")</f>
        <v>PL</v>
      </c>
      <c r="G227" s="15">
        <v>0</v>
      </c>
      <c r="H227" s="15">
        <v>51190.889427375718</v>
      </c>
      <c r="I227" s="10">
        <f t="shared" si="9"/>
        <v>-51190.889427375718</v>
      </c>
      <c r="J227" s="14" t="s">
        <v>346</v>
      </c>
      <c r="K227" s="14" t="s">
        <v>347</v>
      </c>
      <c r="L227" s="14" t="s">
        <v>140</v>
      </c>
      <c r="M227" s="8" t="str">
        <f t="shared" si="10"/>
        <v>2026-03</v>
      </c>
      <c r="N227" s="8" t="str">
        <f t="shared" si="11"/>
        <v>OK</v>
      </c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>
      <c r="A228" s="14" t="s">
        <v>345</v>
      </c>
      <c r="B228" s="26">
        <v>46102</v>
      </c>
      <c r="C228" s="14" t="s">
        <v>90</v>
      </c>
      <c r="D228" s="27" t="str">
        <f>IFERROR(VLOOKUP(C228,'Chart of Accounts'!$A$4:$F$30,2,FALSE),"")</f>
        <v>Cost of Goods Sold</v>
      </c>
      <c r="E228" s="27" t="str">
        <f>IFERROR(VLOOKUP(C228,'Chart of Accounts'!$A$4:$F$30,4,FALSE),"")</f>
        <v>COGS</v>
      </c>
      <c r="F228" s="27" t="str">
        <f>IFERROR(VLOOKUP(C228,'Chart of Accounts'!$A$4:$F$30,5,FALSE),"")</f>
        <v>PL</v>
      </c>
      <c r="G228" s="15">
        <v>28257.370963911399</v>
      </c>
      <c r="H228" s="15">
        <v>0</v>
      </c>
      <c r="I228" s="10">
        <f t="shared" si="9"/>
        <v>28257.370963911399</v>
      </c>
      <c r="J228" s="14" t="s">
        <v>346</v>
      </c>
      <c r="K228" s="14" t="s">
        <v>347</v>
      </c>
      <c r="L228" s="14" t="s">
        <v>140</v>
      </c>
      <c r="M228" s="8" t="str">
        <f t="shared" si="10"/>
        <v>2026-03</v>
      </c>
      <c r="N228" s="8" t="str">
        <f t="shared" si="11"/>
        <v>OK</v>
      </c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>
      <c r="A229" s="14" t="s">
        <v>345</v>
      </c>
      <c r="B229" s="26">
        <v>46102</v>
      </c>
      <c r="C229" s="14" t="s">
        <v>63</v>
      </c>
      <c r="D229" s="27" t="str">
        <f>IFERROR(VLOOKUP(C229,'Chart of Accounts'!$A$4:$F$30,2,FALSE),"")</f>
        <v>Inventory</v>
      </c>
      <c r="E229" s="27" t="str">
        <f>IFERROR(VLOOKUP(C229,'Chart of Accounts'!$A$4:$F$30,4,FALSE),"")</f>
        <v>Inventory</v>
      </c>
      <c r="F229" s="27" t="str">
        <f>IFERROR(VLOOKUP(C229,'Chart of Accounts'!$A$4:$F$30,5,FALSE),"")</f>
        <v>BS</v>
      </c>
      <c r="G229" s="15">
        <v>0</v>
      </c>
      <c r="H229" s="15">
        <v>28257.370963911399</v>
      </c>
      <c r="I229" s="10">
        <f t="shared" si="9"/>
        <v>-28257.370963911399</v>
      </c>
      <c r="J229" s="14" t="s">
        <v>346</v>
      </c>
      <c r="K229" s="14" t="s">
        <v>347</v>
      </c>
      <c r="L229" s="14" t="s">
        <v>140</v>
      </c>
      <c r="M229" s="8" t="str">
        <f t="shared" si="10"/>
        <v>2026-03</v>
      </c>
      <c r="N229" s="8" t="str">
        <f t="shared" si="11"/>
        <v>OK</v>
      </c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>
      <c r="A230" s="14" t="s">
        <v>348</v>
      </c>
      <c r="B230" s="26">
        <v>46097</v>
      </c>
      <c r="C230" s="14" t="s">
        <v>58</v>
      </c>
      <c r="D230" s="27" t="str">
        <f>IFERROR(VLOOKUP(C230,'Chart of Accounts'!$A$4:$F$30,2,FALSE),"")</f>
        <v>Trade Receivables</v>
      </c>
      <c r="E230" s="27" t="str">
        <f>IFERROR(VLOOKUP(C230,'Chart of Accounts'!$A$4:$F$30,4,FALSE),"")</f>
        <v>Trade Receivables</v>
      </c>
      <c r="F230" s="27" t="str">
        <f>IFERROR(VLOOKUP(C230,'Chart of Accounts'!$A$4:$F$30,5,FALSE),"")</f>
        <v>BS</v>
      </c>
      <c r="G230" s="15">
        <v>82380.342838933386</v>
      </c>
      <c r="H230" s="15">
        <v>0</v>
      </c>
      <c r="I230" s="10">
        <f t="shared" si="9"/>
        <v>82380.342838933386</v>
      </c>
      <c r="J230" s="14" t="s">
        <v>349</v>
      </c>
      <c r="K230" s="14" t="s">
        <v>350</v>
      </c>
      <c r="L230" s="14" t="s">
        <v>140</v>
      </c>
      <c r="M230" s="8" t="str">
        <f t="shared" si="10"/>
        <v>2026-03</v>
      </c>
      <c r="N230" s="8" t="str">
        <f t="shared" si="11"/>
        <v>OK</v>
      </c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>
      <c r="A231" s="14" t="s">
        <v>348</v>
      </c>
      <c r="B231" s="26">
        <v>46097</v>
      </c>
      <c r="C231" s="14" t="s">
        <v>86</v>
      </c>
      <c r="D231" s="27" t="str">
        <f>IFERROR(VLOOKUP(C231,'Chart of Accounts'!$A$4:$F$30,2,FALSE),"")</f>
        <v>Product Sales</v>
      </c>
      <c r="E231" s="27" t="str">
        <f>IFERROR(VLOOKUP(C231,'Chart of Accounts'!$A$4:$F$30,4,FALSE),"")</f>
        <v>Revenue</v>
      </c>
      <c r="F231" s="27" t="str">
        <f>IFERROR(VLOOKUP(C231,'Chart of Accounts'!$A$4:$F$30,5,FALSE),"")</f>
        <v>PL</v>
      </c>
      <c r="G231" s="15">
        <v>0</v>
      </c>
      <c r="H231" s="15">
        <v>82380.342838933386</v>
      </c>
      <c r="I231" s="10">
        <f t="shared" si="9"/>
        <v>-82380.342838933386</v>
      </c>
      <c r="J231" s="14" t="s">
        <v>349</v>
      </c>
      <c r="K231" s="14" t="s">
        <v>350</v>
      </c>
      <c r="L231" s="14" t="s">
        <v>140</v>
      </c>
      <c r="M231" s="8" t="str">
        <f t="shared" si="10"/>
        <v>2026-03</v>
      </c>
      <c r="N231" s="8" t="str">
        <f t="shared" si="11"/>
        <v>OK</v>
      </c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>
      <c r="A232" s="14" t="s">
        <v>348</v>
      </c>
      <c r="B232" s="26">
        <v>46097</v>
      </c>
      <c r="C232" s="14" t="s">
        <v>90</v>
      </c>
      <c r="D232" s="27" t="str">
        <f>IFERROR(VLOOKUP(C232,'Chart of Accounts'!$A$4:$F$30,2,FALSE),"")</f>
        <v>Cost of Goods Sold</v>
      </c>
      <c r="E232" s="27" t="str">
        <f>IFERROR(VLOOKUP(C232,'Chart of Accounts'!$A$4:$F$30,4,FALSE),"")</f>
        <v>COGS</v>
      </c>
      <c r="F232" s="27" t="str">
        <f>IFERROR(VLOOKUP(C232,'Chart of Accounts'!$A$4:$F$30,5,FALSE),"")</f>
        <v>PL</v>
      </c>
      <c r="G232" s="15">
        <v>45473.94924709123</v>
      </c>
      <c r="H232" s="15">
        <v>0</v>
      </c>
      <c r="I232" s="10">
        <f t="shared" si="9"/>
        <v>45473.94924709123</v>
      </c>
      <c r="J232" s="14" t="s">
        <v>349</v>
      </c>
      <c r="K232" s="14" t="s">
        <v>350</v>
      </c>
      <c r="L232" s="14" t="s">
        <v>140</v>
      </c>
      <c r="M232" s="8" t="str">
        <f t="shared" si="10"/>
        <v>2026-03</v>
      </c>
      <c r="N232" s="8" t="str">
        <f t="shared" si="11"/>
        <v>OK</v>
      </c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>
      <c r="A233" s="14" t="s">
        <v>348</v>
      </c>
      <c r="B233" s="26">
        <v>46097</v>
      </c>
      <c r="C233" s="14" t="s">
        <v>63</v>
      </c>
      <c r="D233" s="27" t="str">
        <f>IFERROR(VLOOKUP(C233,'Chart of Accounts'!$A$4:$F$30,2,FALSE),"")</f>
        <v>Inventory</v>
      </c>
      <c r="E233" s="27" t="str">
        <f>IFERROR(VLOOKUP(C233,'Chart of Accounts'!$A$4:$F$30,4,FALSE),"")</f>
        <v>Inventory</v>
      </c>
      <c r="F233" s="27" t="str">
        <f>IFERROR(VLOOKUP(C233,'Chart of Accounts'!$A$4:$F$30,5,FALSE),"")</f>
        <v>BS</v>
      </c>
      <c r="G233" s="15">
        <v>0</v>
      </c>
      <c r="H233" s="15">
        <v>45473.94924709123</v>
      </c>
      <c r="I233" s="10">
        <f t="shared" si="9"/>
        <v>-45473.94924709123</v>
      </c>
      <c r="J233" s="14" t="s">
        <v>349</v>
      </c>
      <c r="K233" s="14" t="s">
        <v>350</v>
      </c>
      <c r="L233" s="14" t="s">
        <v>140</v>
      </c>
      <c r="M233" s="8" t="str">
        <f t="shared" si="10"/>
        <v>2026-03</v>
      </c>
      <c r="N233" s="8" t="str">
        <f t="shared" si="11"/>
        <v>OK</v>
      </c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>
      <c r="A234" s="14" t="s">
        <v>351</v>
      </c>
      <c r="B234" s="26">
        <v>46104</v>
      </c>
      <c r="C234" s="14" t="s">
        <v>58</v>
      </c>
      <c r="D234" s="27" t="str">
        <f>IFERROR(VLOOKUP(C234,'Chart of Accounts'!$A$4:$F$30,2,FALSE),"")</f>
        <v>Trade Receivables</v>
      </c>
      <c r="E234" s="27" t="str">
        <f>IFERROR(VLOOKUP(C234,'Chart of Accounts'!$A$4:$F$30,4,FALSE),"")</f>
        <v>Trade Receivables</v>
      </c>
      <c r="F234" s="27" t="str">
        <f>IFERROR(VLOOKUP(C234,'Chart of Accounts'!$A$4:$F$30,5,FALSE),"")</f>
        <v>BS</v>
      </c>
      <c r="G234" s="15">
        <v>83397.463703700967</v>
      </c>
      <c r="H234" s="15">
        <v>0</v>
      </c>
      <c r="I234" s="10">
        <f t="shared" si="9"/>
        <v>83397.463703700967</v>
      </c>
      <c r="J234" s="14" t="s">
        <v>352</v>
      </c>
      <c r="K234" s="14" t="s">
        <v>164</v>
      </c>
      <c r="L234" s="14" t="s">
        <v>140</v>
      </c>
      <c r="M234" s="8" t="str">
        <f t="shared" si="10"/>
        <v>2026-03</v>
      </c>
      <c r="N234" s="8" t="str">
        <f t="shared" si="11"/>
        <v>OK</v>
      </c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>
      <c r="A235" s="14" t="s">
        <v>351</v>
      </c>
      <c r="B235" s="26">
        <v>46104</v>
      </c>
      <c r="C235" s="14" t="s">
        <v>86</v>
      </c>
      <c r="D235" s="27" t="str">
        <f>IFERROR(VLOOKUP(C235,'Chart of Accounts'!$A$4:$F$30,2,FALSE),"")</f>
        <v>Product Sales</v>
      </c>
      <c r="E235" s="27" t="str">
        <f>IFERROR(VLOOKUP(C235,'Chart of Accounts'!$A$4:$F$30,4,FALSE),"")</f>
        <v>Revenue</v>
      </c>
      <c r="F235" s="27" t="str">
        <f>IFERROR(VLOOKUP(C235,'Chart of Accounts'!$A$4:$F$30,5,FALSE),"")</f>
        <v>PL</v>
      </c>
      <c r="G235" s="15">
        <v>0</v>
      </c>
      <c r="H235" s="15">
        <v>83397.463703700967</v>
      </c>
      <c r="I235" s="10">
        <f t="shared" si="9"/>
        <v>-83397.463703700967</v>
      </c>
      <c r="J235" s="14" t="s">
        <v>352</v>
      </c>
      <c r="K235" s="14" t="s">
        <v>164</v>
      </c>
      <c r="L235" s="14" t="s">
        <v>140</v>
      </c>
      <c r="M235" s="8" t="str">
        <f t="shared" si="10"/>
        <v>2026-03</v>
      </c>
      <c r="N235" s="8" t="str">
        <f t="shared" si="11"/>
        <v>OK</v>
      </c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>
      <c r="A236" s="14" t="s">
        <v>351</v>
      </c>
      <c r="B236" s="26">
        <v>46104</v>
      </c>
      <c r="C236" s="14" t="s">
        <v>90</v>
      </c>
      <c r="D236" s="27" t="str">
        <f>IFERROR(VLOOKUP(C236,'Chart of Accounts'!$A$4:$F$30,2,FALSE),"")</f>
        <v>Cost of Goods Sold</v>
      </c>
      <c r="E236" s="27" t="str">
        <f>IFERROR(VLOOKUP(C236,'Chart of Accounts'!$A$4:$F$30,4,FALSE),"")</f>
        <v>COGS</v>
      </c>
      <c r="F236" s="27" t="str">
        <f>IFERROR(VLOOKUP(C236,'Chart of Accounts'!$A$4:$F$30,5,FALSE),"")</f>
        <v>PL</v>
      </c>
      <c r="G236" s="15">
        <v>46035.399964442942</v>
      </c>
      <c r="H236" s="15">
        <v>0</v>
      </c>
      <c r="I236" s="10">
        <f t="shared" si="9"/>
        <v>46035.399964442942</v>
      </c>
      <c r="J236" s="14" t="s">
        <v>352</v>
      </c>
      <c r="K236" s="14" t="s">
        <v>164</v>
      </c>
      <c r="L236" s="14" t="s">
        <v>140</v>
      </c>
      <c r="M236" s="8" t="str">
        <f t="shared" si="10"/>
        <v>2026-03</v>
      </c>
      <c r="N236" s="8" t="str">
        <f t="shared" si="11"/>
        <v>OK</v>
      </c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>
      <c r="A237" s="14" t="s">
        <v>351</v>
      </c>
      <c r="B237" s="26">
        <v>46104</v>
      </c>
      <c r="C237" s="14" t="s">
        <v>63</v>
      </c>
      <c r="D237" s="27" t="str">
        <f>IFERROR(VLOOKUP(C237,'Chart of Accounts'!$A$4:$F$30,2,FALSE),"")</f>
        <v>Inventory</v>
      </c>
      <c r="E237" s="27" t="str">
        <f>IFERROR(VLOOKUP(C237,'Chart of Accounts'!$A$4:$F$30,4,FALSE),"")</f>
        <v>Inventory</v>
      </c>
      <c r="F237" s="27" t="str">
        <f>IFERROR(VLOOKUP(C237,'Chart of Accounts'!$A$4:$F$30,5,FALSE),"")</f>
        <v>BS</v>
      </c>
      <c r="G237" s="15">
        <v>0</v>
      </c>
      <c r="H237" s="15">
        <v>46035.399964442942</v>
      </c>
      <c r="I237" s="10">
        <f t="shared" si="9"/>
        <v>-46035.399964442942</v>
      </c>
      <c r="J237" s="14" t="s">
        <v>352</v>
      </c>
      <c r="K237" s="14" t="s">
        <v>164</v>
      </c>
      <c r="L237" s="14" t="s">
        <v>140</v>
      </c>
      <c r="M237" s="8" t="str">
        <f t="shared" si="10"/>
        <v>2026-03</v>
      </c>
      <c r="N237" s="8" t="str">
        <f t="shared" si="11"/>
        <v>OK</v>
      </c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>
      <c r="A238" s="14" t="s">
        <v>353</v>
      </c>
      <c r="B238" s="26">
        <v>46086</v>
      </c>
      <c r="C238" s="14" t="s">
        <v>58</v>
      </c>
      <c r="D238" s="27" t="str">
        <f>IFERROR(VLOOKUP(C238,'Chart of Accounts'!$A$4:$F$30,2,FALSE),"")</f>
        <v>Trade Receivables</v>
      </c>
      <c r="E238" s="27" t="str">
        <f>IFERROR(VLOOKUP(C238,'Chart of Accounts'!$A$4:$F$30,4,FALSE),"")</f>
        <v>Trade Receivables</v>
      </c>
      <c r="F238" s="27" t="str">
        <f>IFERROR(VLOOKUP(C238,'Chart of Accounts'!$A$4:$F$30,5,FALSE),"")</f>
        <v>BS</v>
      </c>
      <c r="G238" s="15">
        <v>60586.848705302094</v>
      </c>
      <c r="H238" s="15">
        <v>0</v>
      </c>
      <c r="I238" s="10">
        <f t="shared" si="9"/>
        <v>60586.848705302094</v>
      </c>
      <c r="J238" s="14" t="s">
        <v>354</v>
      </c>
      <c r="K238" s="14" t="s">
        <v>164</v>
      </c>
      <c r="L238" s="14" t="s">
        <v>140</v>
      </c>
      <c r="M238" s="8" t="str">
        <f t="shared" si="10"/>
        <v>2026-03</v>
      </c>
      <c r="N238" s="8" t="str">
        <f t="shared" si="11"/>
        <v>OK</v>
      </c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>
      <c r="A239" s="14" t="s">
        <v>353</v>
      </c>
      <c r="B239" s="26">
        <v>46086</v>
      </c>
      <c r="C239" s="14" t="s">
        <v>86</v>
      </c>
      <c r="D239" s="27" t="str">
        <f>IFERROR(VLOOKUP(C239,'Chart of Accounts'!$A$4:$F$30,2,FALSE),"")</f>
        <v>Product Sales</v>
      </c>
      <c r="E239" s="27" t="str">
        <f>IFERROR(VLOOKUP(C239,'Chart of Accounts'!$A$4:$F$30,4,FALSE),"")</f>
        <v>Revenue</v>
      </c>
      <c r="F239" s="27" t="str">
        <f>IFERROR(VLOOKUP(C239,'Chart of Accounts'!$A$4:$F$30,5,FALSE),"")</f>
        <v>PL</v>
      </c>
      <c r="G239" s="15">
        <v>0</v>
      </c>
      <c r="H239" s="15">
        <v>60586.848705302094</v>
      </c>
      <c r="I239" s="10">
        <f t="shared" si="9"/>
        <v>-60586.848705302094</v>
      </c>
      <c r="J239" s="14" t="s">
        <v>354</v>
      </c>
      <c r="K239" s="14" t="s">
        <v>164</v>
      </c>
      <c r="L239" s="14" t="s">
        <v>140</v>
      </c>
      <c r="M239" s="8" t="str">
        <f t="shared" si="10"/>
        <v>2026-03</v>
      </c>
      <c r="N239" s="8" t="str">
        <f t="shared" si="11"/>
        <v>OK</v>
      </c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>
      <c r="A240" s="14" t="s">
        <v>353</v>
      </c>
      <c r="B240" s="26">
        <v>46086</v>
      </c>
      <c r="C240" s="14" t="s">
        <v>90</v>
      </c>
      <c r="D240" s="27" t="str">
        <f>IFERROR(VLOOKUP(C240,'Chart of Accounts'!$A$4:$F$30,2,FALSE),"")</f>
        <v>Cost of Goods Sold</v>
      </c>
      <c r="E240" s="27" t="str">
        <f>IFERROR(VLOOKUP(C240,'Chart of Accounts'!$A$4:$F$30,4,FALSE),"")</f>
        <v>COGS</v>
      </c>
      <c r="F240" s="27" t="str">
        <f>IFERROR(VLOOKUP(C240,'Chart of Accounts'!$A$4:$F$30,5,FALSE),"")</f>
        <v>PL</v>
      </c>
      <c r="G240" s="15">
        <v>33443.940485326755</v>
      </c>
      <c r="H240" s="15">
        <v>0</v>
      </c>
      <c r="I240" s="10">
        <f t="shared" si="9"/>
        <v>33443.940485326755</v>
      </c>
      <c r="J240" s="14" t="s">
        <v>354</v>
      </c>
      <c r="K240" s="14" t="s">
        <v>164</v>
      </c>
      <c r="L240" s="14" t="s">
        <v>140</v>
      </c>
      <c r="M240" s="8" t="str">
        <f t="shared" si="10"/>
        <v>2026-03</v>
      </c>
      <c r="N240" s="8" t="str">
        <f t="shared" si="11"/>
        <v>OK</v>
      </c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>
      <c r="A241" s="14" t="s">
        <v>353</v>
      </c>
      <c r="B241" s="26">
        <v>46086</v>
      </c>
      <c r="C241" s="14" t="s">
        <v>63</v>
      </c>
      <c r="D241" s="27" t="str">
        <f>IFERROR(VLOOKUP(C241,'Chart of Accounts'!$A$4:$F$30,2,FALSE),"")</f>
        <v>Inventory</v>
      </c>
      <c r="E241" s="27" t="str">
        <f>IFERROR(VLOOKUP(C241,'Chart of Accounts'!$A$4:$F$30,4,FALSE),"")</f>
        <v>Inventory</v>
      </c>
      <c r="F241" s="27" t="str">
        <f>IFERROR(VLOOKUP(C241,'Chart of Accounts'!$A$4:$F$30,5,FALSE),"")</f>
        <v>BS</v>
      </c>
      <c r="G241" s="15">
        <v>0</v>
      </c>
      <c r="H241" s="15">
        <v>33443.940485326755</v>
      </c>
      <c r="I241" s="10">
        <f t="shared" si="9"/>
        <v>-33443.940485326755</v>
      </c>
      <c r="J241" s="14" t="s">
        <v>354</v>
      </c>
      <c r="K241" s="14" t="s">
        <v>164</v>
      </c>
      <c r="L241" s="14" t="s">
        <v>140</v>
      </c>
      <c r="M241" s="8" t="str">
        <f t="shared" si="10"/>
        <v>2026-03</v>
      </c>
      <c r="N241" s="8" t="str">
        <f t="shared" si="11"/>
        <v>OK</v>
      </c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>
      <c r="A242" s="14" t="s">
        <v>355</v>
      </c>
      <c r="B242" s="26">
        <v>46095</v>
      </c>
      <c r="C242" s="14" t="s">
        <v>58</v>
      </c>
      <c r="D242" s="27" t="str">
        <f>IFERROR(VLOOKUP(C242,'Chart of Accounts'!$A$4:$F$30,2,FALSE),"")</f>
        <v>Trade Receivables</v>
      </c>
      <c r="E242" s="27" t="str">
        <f>IFERROR(VLOOKUP(C242,'Chart of Accounts'!$A$4:$F$30,4,FALSE),"")</f>
        <v>Trade Receivables</v>
      </c>
      <c r="F242" s="27" t="str">
        <f>IFERROR(VLOOKUP(C242,'Chart of Accounts'!$A$4:$F$30,5,FALSE),"")</f>
        <v>BS</v>
      </c>
      <c r="G242" s="15">
        <v>55934.418522306412</v>
      </c>
      <c r="H242" s="15">
        <v>0</v>
      </c>
      <c r="I242" s="10">
        <f t="shared" si="9"/>
        <v>55934.418522306412</v>
      </c>
      <c r="J242" s="14" t="s">
        <v>356</v>
      </c>
      <c r="K242" s="14" t="s">
        <v>344</v>
      </c>
      <c r="L242" s="14" t="s">
        <v>140</v>
      </c>
      <c r="M242" s="8" t="str">
        <f t="shared" si="10"/>
        <v>2026-03</v>
      </c>
      <c r="N242" s="8" t="str">
        <f t="shared" si="11"/>
        <v>OK</v>
      </c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>
      <c r="A243" s="14" t="s">
        <v>355</v>
      </c>
      <c r="B243" s="26">
        <v>46095</v>
      </c>
      <c r="C243" s="14" t="s">
        <v>86</v>
      </c>
      <c r="D243" s="27" t="str">
        <f>IFERROR(VLOOKUP(C243,'Chart of Accounts'!$A$4:$F$30,2,FALSE),"")</f>
        <v>Product Sales</v>
      </c>
      <c r="E243" s="27" t="str">
        <f>IFERROR(VLOOKUP(C243,'Chart of Accounts'!$A$4:$F$30,4,FALSE),"")</f>
        <v>Revenue</v>
      </c>
      <c r="F243" s="27" t="str">
        <f>IFERROR(VLOOKUP(C243,'Chart of Accounts'!$A$4:$F$30,5,FALSE),"")</f>
        <v>PL</v>
      </c>
      <c r="G243" s="15">
        <v>0</v>
      </c>
      <c r="H243" s="15">
        <v>55934.418522306412</v>
      </c>
      <c r="I243" s="10">
        <f t="shared" si="9"/>
        <v>-55934.418522306412</v>
      </c>
      <c r="J243" s="14" t="s">
        <v>356</v>
      </c>
      <c r="K243" s="14" t="s">
        <v>344</v>
      </c>
      <c r="L243" s="14" t="s">
        <v>140</v>
      </c>
      <c r="M243" s="8" t="str">
        <f t="shared" si="10"/>
        <v>2026-03</v>
      </c>
      <c r="N243" s="8" t="str">
        <f t="shared" si="11"/>
        <v>OK</v>
      </c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>
      <c r="A244" s="14" t="s">
        <v>355</v>
      </c>
      <c r="B244" s="26">
        <v>46095</v>
      </c>
      <c r="C244" s="14" t="s">
        <v>90</v>
      </c>
      <c r="D244" s="27" t="str">
        <f>IFERROR(VLOOKUP(C244,'Chart of Accounts'!$A$4:$F$30,2,FALSE),"")</f>
        <v>Cost of Goods Sold</v>
      </c>
      <c r="E244" s="27" t="str">
        <f>IFERROR(VLOOKUP(C244,'Chart of Accounts'!$A$4:$F$30,4,FALSE),"")</f>
        <v>COGS</v>
      </c>
      <c r="F244" s="27" t="str">
        <f>IFERROR(VLOOKUP(C244,'Chart of Accounts'!$A$4:$F$30,5,FALSE),"")</f>
        <v>PL</v>
      </c>
      <c r="G244" s="15">
        <v>30875.799024313146</v>
      </c>
      <c r="H244" s="15">
        <v>0</v>
      </c>
      <c r="I244" s="10">
        <f t="shared" si="9"/>
        <v>30875.799024313146</v>
      </c>
      <c r="J244" s="14" t="s">
        <v>356</v>
      </c>
      <c r="K244" s="14" t="s">
        <v>344</v>
      </c>
      <c r="L244" s="14" t="s">
        <v>140</v>
      </c>
      <c r="M244" s="8" t="str">
        <f t="shared" si="10"/>
        <v>2026-03</v>
      </c>
      <c r="N244" s="8" t="str">
        <f t="shared" si="11"/>
        <v>OK</v>
      </c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>
      <c r="A245" s="14" t="s">
        <v>355</v>
      </c>
      <c r="B245" s="26">
        <v>46095</v>
      </c>
      <c r="C245" s="14" t="s">
        <v>63</v>
      </c>
      <c r="D245" s="27" t="str">
        <f>IFERROR(VLOOKUP(C245,'Chart of Accounts'!$A$4:$F$30,2,FALSE),"")</f>
        <v>Inventory</v>
      </c>
      <c r="E245" s="27" t="str">
        <f>IFERROR(VLOOKUP(C245,'Chart of Accounts'!$A$4:$F$30,4,FALSE),"")</f>
        <v>Inventory</v>
      </c>
      <c r="F245" s="27" t="str">
        <f>IFERROR(VLOOKUP(C245,'Chart of Accounts'!$A$4:$F$30,5,FALSE),"")</f>
        <v>BS</v>
      </c>
      <c r="G245" s="15">
        <v>0</v>
      </c>
      <c r="H245" s="15">
        <v>30875.799024313146</v>
      </c>
      <c r="I245" s="10">
        <f t="shared" si="9"/>
        <v>-30875.799024313146</v>
      </c>
      <c r="J245" s="14" t="s">
        <v>356</v>
      </c>
      <c r="K245" s="14" t="s">
        <v>344</v>
      </c>
      <c r="L245" s="14" t="s">
        <v>140</v>
      </c>
      <c r="M245" s="8" t="str">
        <f t="shared" si="10"/>
        <v>2026-03</v>
      </c>
      <c r="N245" s="8" t="str">
        <f t="shared" si="11"/>
        <v>OK</v>
      </c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>
      <c r="A246" s="14" t="s">
        <v>357</v>
      </c>
      <c r="B246" s="26">
        <v>46100</v>
      </c>
      <c r="C246" s="14" t="s">
        <v>58</v>
      </c>
      <c r="D246" s="27" t="str">
        <f>IFERROR(VLOOKUP(C246,'Chart of Accounts'!$A$4:$F$30,2,FALSE),"")</f>
        <v>Trade Receivables</v>
      </c>
      <c r="E246" s="27" t="str">
        <f>IFERROR(VLOOKUP(C246,'Chart of Accounts'!$A$4:$F$30,4,FALSE),"")</f>
        <v>Trade Receivables</v>
      </c>
      <c r="F246" s="27" t="str">
        <f>IFERROR(VLOOKUP(C246,'Chart of Accounts'!$A$4:$F$30,5,FALSE),"")</f>
        <v>BS</v>
      </c>
      <c r="G246" s="15">
        <v>85618.9256470408</v>
      </c>
      <c r="H246" s="15">
        <v>0</v>
      </c>
      <c r="I246" s="10">
        <f t="shared" si="9"/>
        <v>85618.9256470408</v>
      </c>
      <c r="J246" s="14" t="s">
        <v>358</v>
      </c>
      <c r="K246" s="14" t="s">
        <v>359</v>
      </c>
      <c r="L246" s="14" t="s">
        <v>140</v>
      </c>
      <c r="M246" s="8" t="str">
        <f t="shared" si="10"/>
        <v>2026-03</v>
      </c>
      <c r="N246" s="8" t="str">
        <f t="shared" si="11"/>
        <v>OK</v>
      </c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>
      <c r="A247" s="14" t="s">
        <v>357</v>
      </c>
      <c r="B247" s="26">
        <v>46100</v>
      </c>
      <c r="C247" s="14" t="s">
        <v>86</v>
      </c>
      <c r="D247" s="27" t="str">
        <f>IFERROR(VLOOKUP(C247,'Chart of Accounts'!$A$4:$F$30,2,FALSE),"")</f>
        <v>Product Sales</v>
      </c>
      <c r="E247" s="27" t="str">
        <f>IFERROR(VLOOKUP(C247,'Chart of Accounts'!$A$4:$F$30,4,FALSE),"")</f>
        <v>Revenue</v>
      </c>
      <c r="F247" s="27" t="str">
        <f>IFERROR(VLOOKUP(C247,'Chart of Accounts'!$A$4:$F$30,5,FALSE),"")</f>
        <v>PL</v>
      </c>
      <c r="G247" s="15">
        <v>0</v>
      </c>
      <c r="H247" s="15">
        <v>85618.9256470408</v>
      </c>
      <c r="I247" s="10">
        <f t="shared" si="9"/>
        <v>-85618.9256470408</v>
      </c>
      <c r="J247" s="14" t="s">
        <v>358</v>
      </c>
      <c r="K247" s="14" t="s">
        <v>359</v>
      </c>
      <c r="L247" s="14" t="s">
        <v>140</v>
      </c>
      <c r="M247" s="8" t="str">
        <f t="shared" si="10"/>
        <v>2026-03</v>
      </c>
      <c r="N247" s="8" t="str">
        <f t="shared" si="11"/>
        <v>OK</v>
      </c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>
      <c r="A248" s="14" t="s">
        <v>357</v>
      </c>
      <c r="B248" s="26">
        <v>46100</v>
      </c>
      <c r="C248" s="14" t="s">
        <v>90</v>
      </c>
      <c r="D248" s="27" t="str">
        <f>IFERROR(VLOOKUP(C248,'Chart of Accounts'!$A$4:$F$30,2,FALSE),"")</f>
        <v>Cost of Goods Sold</v>
      </c>
      <c r="E248" s="27" t="str">
        <f>IFERROR(VLOOKUP(C248,'Chart of Accounts'!$A$4:$F$30,4,FALSE),"")</f>
        <v>COGS</v>
      </c>
      <c r="F248" s="27" t="str">
        <f>IFERROR(VLOOKUP(C248,'Chart of Accounts'!$A$4:$F$30,5,FALSE),"")</f>
        <v>PL</v>
      </c>
      <c r="G248" s="15">
        <v>47261.646957166537</v>
      </c>
      <c r="H248" s="15">
        <v>0</v>
      </c>
      <c r="I248" s="10">
        <f t="shared" si="9"/>
        <v>47261.646957166537</v>
      </c>
      <c r="J248" s="14" t="s">
        <v>358</v>
      </c>
      <c r="K248" s="14" t="s">
        <v>359</v>
      </c>
      <c r="L248" s="14" t="s">
        <v>140</v>
      </c>
      <c r="M248" s="8" t="str">
        <f t="shared" si="10"/>
        <v>2026-03</v>
      </c>
      <c r="N248" s="8" t="str">
        <f t="shared" si="11"/>
        <v>OK</v>
      </c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>
      <c r="A249" s="14" t="s">
        <v>357</v>
      </c>
      <c r="B249" s="26">
        <v>46100</v>
      </c>
      <c r="C249" s="14" t="s">
        <v>63</v>
      </c>
      <c r="D249" s="27" t="str">
        <f>IFERROR(VLOOKUP(C249,'Chart of Accounts'!$A$4:$F$30,2,FALSE),"")</f>
        <v>Inventory</v>
      </c>
      <c r="E249" s="27" t="str">
        <f>IFERROR(VLOOKUP(C249,'Chart of Accounts'!$A$4:$F$30,4,FALSE),"")</f>
        <v>Inventory</v>
      </c>
      <c r="F249" s="27" t="str">
        <f>IFERROR(VLOOKUP(C249,'Chart of Accounts'!$A$4:$F$30,5,FALSE),"")</f>
        <v>BS</v>
      </c>
      <c r="G249" s="15">
        <v>0</v>
      </c>
      <c r="H249" s="15">
        <v>47261.646957166537</v>
      </c>
      <c r="I249" s="10">
        <f t="shared" si="9"/>
        <v>-47261.646957166537</v>
      </c>
      <c r="J249" s="14" t="s">
        <v>358</v>
      </c>
      <c r="K249" s="14" t="s">
        <v>359</v>
      </c>
      <c r="L249" s="14" t="s">
        <v>140</v>
      </c>
      <c r="M249" s="8" t="str">
        <f t="shared" si="10"/>
        <v>2026-03</v>
      </c>
      <c r="N249" s="8" t="str">
        <f t="shared" si="11"/>
        <v>OK</v>
      </c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>
      <c r="A250" s="14" t="s">
        <v>360</v>
      </c>
      <c r="B250" s="26">
        <v>46093</v>
      </c>
      <c r="C250" s="14" t="s">
        <v>58</v>
      </c>
      <c r="D250" s="27" t="str">
        <f>IFERROR(VLOOKUP(C250,'Chart of Accounts'!$A$4:$F$30,2,FALSE),"")</f>
        <v>Trade Receivables</v>
      </c>
      <c r="E250" s="27" t="str">
        <f>IFERROR(VLOOKUP(C250,'Chart of Accounts'!$A$4:$F$30,4,FALSE),"")</f>
        <v>Trade Receivables</v>
      </c>
      <c r="F250" s="27" t="str">
        <f>IFERROR(VLOOKUP(C250,'Chart of Accounts'!$A$4:$F$30,5,FALSE),"")</f>
        <v>BS</v>
      </c>
      <c r="G250" s="15">
        <v>88519.767954980343</v>
      </c>
      <c r="H250" s="15">
        <v>0</v>
      </c>
      <c r="I250" s="10">
        <f t="shared" si="9"/>
        <v>88519.767954980343</v>
      </c>
      <c r="J250" s="14" t="s">
        <v>361</v>
      </c>
      <c r="K250" s="14" t="s">
        <v>172</v>
      </c>
      <c r="L250" s="14" t="s">
        <v>140</v>
      </c>
      <c r="M250" s="8" t="str">
        <f t="shared" si="10"/>
        <v>2026-03</v>
      </c>
      <c r="N250" s="8" t="str">
        <f t="shared" si="11"/>
        <v>OK</v>
      </c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>
      <c r="A251" s="14" t="s">
        <v>360</v>
      </c>
      <c r="B251" s="26">
        <v>46093</v>
      </c>
      <c r="C251" s="14" t="s">
        <v>86</v>
      </c>
      <c r="D251" s="27" t="str">
        <f>IFERROR(VLOOKUP(C251,'Chart of Accounts'!$A$4:$F$30,2,FALSE),"")</f>
        <v>Product Sales</v>
      </c>
      <c r="E251" s="27" t="str">
        <f>IFERROR(VLOOKUP(C251,'Chart of Accounts'!$A$4:$F$30,4,FALSE),"")</f>
        <v>Revenue</v>
      </c>
      <c r="F251" s="27" t="str">
        <f>IFERROR(VLOOKUP(C251,'Chart of Accounts'!$A$4:$F$30,5,FALSE),"")</f>
        <v>PL</v>
      </c>
      <c r="G251" s="15">
        <v>0</v>
      </c>
      <c r="H251" s="15">
        <v>88519.767954980343</v>
      </c>
      <c r="I251" s="10">
        <f t="shared" si="9"/>
        <v>-88519.767954980343</v>
      </c>
      <c r="J251" s="14" t="s">
        <v>361</v>
      </c>
      <c r="K251" s="14" t="s">
        <v>172</v>
      </c>
      <c r="L251" s="14" t="s">
        <v>140</v>
      </c>
      <c r="M251" s="8" t="str">
        <f t="shared" si="10"/>
        <v>2026-03</v>
      </c>
      <c r="N251" s="8" t="str">
        <f t="shared" si="11"/>
        <v>OK</v>
      </c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>
      <c r="A252" s="14" t="s">
        <v>360</v>
      </c>
      <c r="B252" s="26">
        <v>46093</v>
      </c>
      <c r="C252" s="14" t="s">
        <v>90</v>
      </c>
      <c r="D252" s="27" t="str">
        <f>IFERROR(VLOOKUP(C252,'Chart of Accounts'!$A$4:$F$30,2,FALSE),"")</f>
        <v>Cost of Goods Sold</v>
      </c>
      <c r="E252" s="27" t="str">
        <f>IFERROR(VLOOKUP(C252,'Chart of Accounts'!$A$4:$F$30,4,FALSE),"")</f>
        <v>COGS</v>
      </c>
      <c r="F252" s="27" t="str">
        <f>IFERROR(VLOOKUP(C252,'Chart of Accounts'!$A$4:$F$30,5,FALSE),"")</f>
        <v>PL</v>
      </c>
      <c r="G252" s="15">
        <v>48862.911911149153</v>
      </c>
      <c r="H252" s="15">
        <v>0</v>
      </c>
      <c r="I252" s="10">
        <f t="shared" si="9"/>
        <v>48862.911911149153</v>
      </c>
      <c r="J252" s="14" t="s">
        <v>361</v>
      </c>
      <c r="K252" s="14" t="s">
        <v>172</v>
      </c>
      <c r="L252" s="14" t="s">
        <v>140</v>
      </c>
      <c r="M252" s="8" t="str">
        <f t="shared" si="10"/>
        <v>2026-03</v>
      </c>
      <c r="N252" s="8" t="str">
        <f t="shared" si="11"/>
        <v>OK</v>
      </c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>
      <c r="A253" s="14" t="s">
        <v>360</v>
      </c>
      <c r="B253" s="26">
        <v>46093</v>
      </c>
      <c r="C253" s="14" t="s">
        <v>63</v>
      </c>
      <c r="D253" s="27" t="str">
        <f>IFERROR(VLOOKUP(C253,'Chart of Accounts'!$A$4:$F$30,2,FALSE),"")</f>
        <v>Inventory</v>
      </c>
      <c r="E253" s="27" t="str">
        <f>IFERROR(VLOOKUP(C253,'Chart of Accounts'!$A$4:$F$30,4,FALSE),"")</f>
        <v>Inventory</v>
      </c>
      <c r="F253" s="27" t="str">
        <f>IFERROR(VLOOKUP(C253,'Chart of Accounts'!$A$4:$F$30,5,FALSE),"")</f>
        <v>BS</v>
      </c>
      <c r="G253" s="15">
        <v>0</v>
      </c>
      <c r="H253" s="15">
        <v>48862.911911149153</v>
      </c>
      <c r="I253" s="10">
        <f t="shared" si="9"/>
        <v>-48862.911911149153</v>
      </c>
      <c r="J253" s="14" t="s">
        <v>361</v>
      </c>
      <c r="K253" s="14" t="s">
        <v>172</v>
      </c>
      <c r="L253" s="14" t="s">
        <v>140</v>
      </c>
      <c r="M253" s="8" t="str">
        <f t="shared" si="10"/>
        <v>2026-03</v>
      </c>
      <c r="N253" s="8" t="str">
        <f t="shared" si="11"/>
        <v>OK</v>
      </c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>
      <c r="A254" s="14" t="s">
        <v>362</v>
      </c>
      <c r="B254" s="26">
        <v>46086</v>
      </c>
      <c r="C254" s="14" t="s">
        <v>58</v>
      </c>
      <c r="D254" s="27" t="str">
        <f>IFERROR(VLOOKUP(C254,'Chart of Accounts'!$A$4:$F$30,2,FALSE),"")</f>
        <v>Trade Receivables</v>
      </c>
      <c r="E254" s="27" t="str">
        <f>IFERROR(VLOOKUP(C254,'Chart of Accounts'!$A$4:$F$30,4,FALSE),"")</f>
        <v>Trade Receivables</v>
      </c>
      <c r="F254" s="27" t="str">
        <f>IFERROR(VLOOKUP(C254,'Chart of Accounts'!$A$4:$F$30,5,FALSE),"")</f>
        <v>BS</v>
      </c>
      <c r="G254" s="15">
        <v>67506.484512167299</v>
      </c>
      <c r="H254" s="15">
        <v>0</v>
      </c>
      <c r="I254" s="10">
        <f t="shared" si="9"/>
        <v>67506.484512167299</v>
      </c>
      <c r="J254" s="14" t="s">
        <v>363</v>
      </c>
      <c r="K254" s="14" t="s">
        <v>344</v>
      </c>
      <c r="L254" s="14" t="s">
        <v>140</v>
      </c>
      <c r="M254" s="8" t="str">
        <f t="shared" si="10"/>
        <v>2026-03</v>
      </c>
      <c r="N254" s="8" t="str">
        <f t="shared" si="11"/>
        <v>OK</v>
      </c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>
      <c r="A255" s="14" t="s">
        <v>362</v>
      </c>
      <c r="B255" s="26">
        <v>46086</v>
      </c>
      <c r="C255" s="14" t="s">
        <v>86</v>
      </c>
      <c r="D255" s="27" t="str">
        <f>IFERROR(VLOOKUP(C255,'Chart of Accounts'!$A$4:$F$30,2,FALSE),"")</f>
        <v>Product Sales</v>
      </c>
      <c r="E255" s="27" t="str">
        <f>IFERROR(VLOOKUP(C255,'Chart of Accounts'!$A$4:$F$30,4,FALSE),"")</f>
        <v>Revenue</v>
      </c>
      <c r="F255" s="27" t="str">
        <f>IFERROR(VLOOKUP(C255,'Chart of Accounts'!$A$4:$F$30,5,FALSE),"")</f>
        <v>PL</v>
      </c>
      <c r="G255" s="15">
        <v>0</v>
      </c>
      <c r="H255" s="15">
        <v>67506.484512167299</v>
      </c>
      <c r="I255" s="10">
        <f t="shared" si="9"/>
        <v>-67506.484512167299</v>
      </c>
      <c r="J255" s="14" t="s">
        <v>363</v>
      </c>
      <c r="K255" s="14" t="s">
        <v>344</v>
      </c>
      <c r="L255" s="14" t="s">
        <v>140</v>
      </c>
      <c r="M255" s="8" t="str">
        <f t="shared" si="10"/>
        <v>2026-03</v>
      </c>
      <c r="N255" s="8" t="str">
        <f t="shared" si="11"/>
        <v>OK</v>
      </c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>
      <c r="A256" s="14" t="s">
        <v>362</v>
      </c>
      <c r="B256" s="26">
        <v>46086</v>
      </c>
      <c r="C256" s="14" t="s">
        <v>90</v>
      </c>
      <c r="D256" s="27" t="str">
        <f>IFERROR(VLOOKUP(C256,'Chart of Accounts'!$A$4:$F$30,2,FALSE),"")</f>
        <v>Cost of Goods Sold</v>
      </c>
      <c r="E256" s="27" t="str">
        <f>IFERROR(VLOOKUP(C256,'Chart of Accounts'!$A$4:$F$30,4,FALSE),"")</f>
        <v>COGS</v>
      </c>
      <c r="F256" s="27" t="str">
        <f>IFERROR(VLOOKUP(C256,'Chart of Accounts'!$A$4:$F$30,5,FALSE),"")</f>
        <v>PL</v>
      </c>
      <c r="G256" s="15">
        <v>37263.579450716352</v>
      </c>
      <c r="H256" s="15">
        <v>0</v>
      </c>
      <c r="I256" s="10">
        <f t="shared" si="9"/>
        <v>37263.579450716352</v>
      </c>
      <c r="J256" s="14" t="s">
        <v>363</v>
      </c>
      <c r="K256" s="14" t="s">
        <v>344</v>
      </c>
      <c r="L256" s="14" t="s">
        <v>140</v>
      </c>
      <c r="M256" s="8" t="str">
        <f t="shared" si="10"/>
        <v>2026-03</v>
      </c>
      <c r="N256" s="8" t="str">
        <f t="shared" si="11"/>
        <v>OK</v>
      </c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>
      <c r="A257" s="14" t="s">
        <v>362</v>
      </c>
      <c r="B257" s="26">
        <v>46086</v>
      </c>
      <c r="C257" s="14" t="s">
        <v>63</v>
      </c>
      <c r="D257" s="27" t="str">
        <f>IFERROR(VLOOKUP(C257,'Chart of Accounts'!$A$4:$F$30,2,FALSE),"")</f>
        <v>Inventory</v>
      </c>
      <c r="E257" s="27" t="str">
        <f>IFERROR(VLOOKUP(C257,'Chart of Accounts'!$A$4:$F$30,4,FALSE),"")</f>
        <v>Inventory</v>
      </c>
      <c r="F257" s="27" t="str">
        <f>IFERROR(VLOOKUP(C257,'Chart of Accounts'!$A$4:$F$30,5,FALSE),"")</f>
        <v>BS</v>
      </c>
      <c r="G257" s="15">
        <v>0</v>
      </c>
      <c r="H257" s="15">
        <v>37263.579450716352</v>
      </c>
      <c r="I257" s="10">
        <f t="shared" si="9"/>
        <v>-37263.579450716352</v>
      </c>
      <c r="J257" s="14" t="s">
        <v>363</v>
      </c>
      <c r="K257" s="14" t="s">
        <v>344</v>
      </c>
      <c r="L257" s="14" t="s">
        <v>140</v>
      </c>
      <c r="M257" s="8" t="str">
        <f t="shared" si="10"/>
        <v>2026-03</v>
      </c>
      <c r="N257" s="8" t="str">
        <f t="shared" si="11"/>
        <v>OK</v>
      </c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>
      <c r="A258" s="14" t="s">
        <v>364</v>
      </c>
      <c r="B258" s="26">
        <v>46086</v>
      </c>
      <c r="C258" s="14" t="s">
        <v>58</v>
      </c>
      <c r="D258" s="27" t="str">
        <f>IFERROR(VLOOKUP(C258,'Chart of Accounts'!$A$4:$F$30,2,FALSE),"")</f>
        <v>Trade Receivables</v>
      </c>
      <c r="E258" s="27" t="str">
        <f>IFERROR(VLOOKUP(C258,'Chart of Accounts'!$A$4:$F$30,4,FALSE),"")</f>
        <v>Trade Receivables</v>
      </c>
      <c r="F258" s="27" t="str">
        <f>IFERROR(VLOOKUP(C258,'Chart of Accounts'!$A$4:$F$30,5,FALSE),"")</f>
        <v>BS</v>
      </c>
      <c r="G258" s="15">
        <v>64716.560448225639</v>
      </c>
      <c r="H258" s="15">
        <v>0</v>
      </c>
      <c r="I258" s="10">
        <f t="shared" si="9"/>
        <v>64716.560448225639</v>
      </c>
      <c r="J258" s="14" t="s">
        <v>365</v>
      </c>
      <c r="K258" s="14" t="s">
        <v>161</v>
      </c>
      <c r="L258" s="14" t="s">
        <v>140</v>
      </c>
      <c r="M258" s="8" t="str">
        <f t="shared" si="10"/>
        <v>2026-03</v>
      </c>
      <c r="N258" s="8" t="str">
        <f t="shared" si="11"/>
        <v>OK</v>
      </c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>
      <c r="A259" s="14" t="s">
        <v>364</v>
      </c>
      <c r="B259" s="26">
        <v>46086</v>
      </c>
      <c r="C259" s="14" t="s">
        <v>86</v>
      </c>
      <c r="D259" s="27" t="str">
        <f>IFERROR(VLOOKUP(C259,'Chart of Accounts'!$A$4:$F$30,2,FALSE),"")</f>
        <v>Product Sales</v>
      </c>
      <c r="E259" s="27" t="str">
        <f>IFERROR(VLOOKUP(C259,'Chart of Accounts'!$A$4:$F$30,4,FALSE),"")</f>
        <v>Revenue</v>
      </c>
      <c r="F259" s="27" t="str">
        <f>IFERROR(VLOOKUP(C259,'Chart of Accounts'!$A$4:$F$30,5,FALSE),"")</f>
        <v>PL</v>
      </c>
      <c r="G259" s="15">
        <v>0</v>
      </c>
      <c r="H259" s="15">
        <v>64716.560448225639</v>
      </c>
      <c r="I259" s="10">
        <f t="shared" si="9"/>
        <v>-64716.560448225639</v>
      </c>
      <c r="J259" s="14" t="s">
        <v>365</v>
      </c>
      <c r="K259" s="14" t="s">
        <v>161</v>
      </c>
      <c r="L259" s="14" t="s">
        <v>140</v>
      </c>
      <c r="M259" s="8" t="str">
        <f t="shared" si="10"/>
        <v>2026-03</v>
      </c>
      <c r="N259" s="8" t="str">
        <f t="shared" si="11"/>
        <v>OK</v>
      </c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>
      <c r="A260" s="14" t="s">
        <v>364</v>
      </c>
      <c r="B260" s="26">
        <v>46086</v>
      </c>
      <c r="C260" s="14" t="s">
        <v>90</v>
      </c>
      <c r="D260" s="27" t="str">
        <f>IFERROR(VLOOKUP(C260,'Chart of Accounts'!$A$4:$F$30,2,FALSE),"")</f>
        <v>Cost of Goods Sold</v>
      </c>
      <c r="E260" s="27" t="str">
        <f>IFERROR(VLOOKUP(C260,'Chart of Accounts'!$A$4:$F$30,4,FALSE),"")</f>
        <v>COGS</v>
      </c>
      <c r="F260" s="27" t="str">
        <f>IFERROR(VLOOKUP(C260,'Chart of Accounts'!$A$4:$F$30,5,FALSE),"")</f>
        <v>PL</v>
      </c>
      <c r="G260" s="15">
        <v>35723.541367420556</v>
      </c>
      <c r="H260" s="15">
        <v>0</v>
      </c>
      <c r="I260" s="10">
        <f t="shared" ref="I260:I323" si="12">G260-H260</f>
        <v>35723.541367420556</v>
      </c>
      <c r="J260" s="14" t="s">
        <v>365</v>
      </c>
      <c r="K260" s="14" t="s">
        <v>161</v>
      </c>
      <c r="L260" s="14" t="s">
        <v>140</v>
      </c>
      <c r="M260" s="8" t="str">
        <f t="shared" ref="M260:M323" si="13">TEXT(B260,"yyyy-mm")</f>
        <v>2026-03</v>
      </c>
      <c r="N260" s="8" t="str">
        <f t="shared" ref="N260:N323" si="14">"OK"</f>
        <v>OK</v>
      </c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>
      <c r="A261" s="14" t="s">
        <v>364</v>
      </c>
      <c r="B261" s="26">
        <v>46086</v>
      </c>
      <c r="C261" s="14" t="s">
        <v>63</v>
      </c>
      <c r="D261" s="27" t="str">
        <f>IFERROR(VLOOKUP(C261,'Chart of Accounts'!$A$4:$F$30,2,FALSE),"")</f>
        <v>Inventory</v>
      </c>
      <c r="E261" s="27" t="str">
        <f>IFERROR(VLOOKUP(C261,'Chart of Accounts'!$A$4:$F$30,4,FALSE),"")</f>
        <v>Inventory</v>
      </c>
      <c r="F261" s="27" t="str">
        <f>IFERROR(VLOOKUP(C261,'Chart of Accounts'!$A$4:$F$30,5,FALSE),"")</f>
        <v>BS</v>
      </c>
      <c r="G261" s="15">
        <v>0</v>
      </c>
      <c r="H261" s="15">
        <v>35723.541367420556</v>
      </c>
      <c r="I261" s="10">
        <f t="shared" si="12"/>
        <v>-35723.541367420556</v>
      </c>
      <c r="J261" s="14" t="s">
        <v>365</v>
      </c>
      <c r="K261" s="14" t="s">
        <v>161</v>
      </c>
      <c r="L261" s="14" t="s">
        <v>140</v>
      </c>
      <c r="M261" s="8" t="str">
        <f t="shared" si="13"/>
        <v>2026-03</v>
      </c>
      <c r="N261" s="8" t="str">
        <f t="shared" si="14"/>
        <v>OK</v>
      </c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>
      <c r="A262" s="14" t="s">
        <v>366</v>
      </c>
      <c r="B262" s="26">
        <v>46102</v>
      </c>
      <c r="C262" s="14" t="s">
        <v>52</v>
      </c>
      <c r="D262" s="27" t="str">
        <f>IFERROR(VLOOKUP(C262,'Chart of Accounts'!$A$4:$F$30,2,FALSE),"")</f>
        <v>Bank</v>
      </c>
      <c r="E262" s="27" t="str">
        <f>IFERROR(VLOOKUP(C262,'Chart of Accounts'!$A$4:$F$30,4,FALSE),"")</f>
        <v>Cash</v>
      </c>
      <c r="F262" s="27" t="str">
        <f>IFERROR(VLOOKUP(C262,'Chart of Accounts'!$A$4:$F$30,5,FALSE),"")</f>
        <v>BS</v>
      </c>
      <c r="G262" s="15">
        <v>172136.58842578044</v>
      </c>
      <c r="H262" s="15">
        <v>0</v>
      </c>
      <c r="I262" s="10">
        <f t="shared" si="12"/>
        <v>172136.58842578044</v>
      </c>
      <c r="J262" s="14" t="s">
        <v>367</v>
      </c>
      <c r="K262" s="14" t="s">
        <v>175</v>
      </c>
      <c r="L262" s="14" t="s">
        <v>176</v>
      </c>
      <c r="M262" s="8" t="str">
        <f t="shared" si="13"/>
        <v>2026-03</v>
      </c>
      <c r="N262" s="8" t="str">
        <f t="shared" si="14"/>
        <v>OK</v>
      </c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>
      <c r="A263" s="14" t="s">
        <v>366</v>
      </c>
      <c r="B263" s="26">
        <v>46102</v>
      </c>
      <c r="C263" s="14" t="s">
        <v>58</v>
      </c>
      <c r="D263" s="27" t="str">
        <f>IFERROR(VLOOKUP(C263,'Chart of Accounts'!$A$4:$F$30,2,FALSE),"")</f>
        <v>Trade Receivables</v>
      </c>
      <c r="E263" s="27" t="str">
        <f>IFERROR(VLOOKUP(C263,'Chart of Accounts'!$A$4:$F$30,4,FALSE),"")</f>
        <v>Trade Receivables</v>
      </c>
      <c r="F263" s="27" t="str">
        <f>IFERROR(VLOOKUP(C263,'Chart of Accounts'!$A$4:$F$30,5,FALSE),"")</f>
        <v>BS</v>
      </c>
      <c r="G263" s="15">
        <v>0</v>
      </c>
      <c r="H263" s="15">
        <v>172136.58842578044</v>
      </c>
      <c r="I263" s="10">
        <f t="shared" si="12"/>
        <v>-172136.58842578044</v>
      </c>
      <c r="J263" s="14" t="s">
        <v>367</v>
      </c>
      <c r="K263" s="14" t="s">
        <v>175</v>
      </c>
      <c r="L263" s="14" t="s">
        <v>176</v>
      </c>
      <c r="M263" s="8" t="str">
        <f t="shared" si="13"/>
        <v>2026-03</v>
      </c>
      <c r="N263" s="8" t="str">
        <f t="shared" si="14"/>
        <v>OK</v>
      </c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>
      <c r="A264" s="14" t="s">
        <v>368</v>
      </c>
      <c r="B264" s="26">
        <v>46103</v>
      </c>
      <c r="C264" s="14" t="s">
        <v>52</v>
      </c>
      <c r="D264" s="27" t="str">
        <f>IFERROR(VLOOKUP(C264,'Chart of Accounts'!$A$4:$F$30,2,FALSE),"")</f>
        <v>Bank</v>
      </c>
      <c r="E264" s="27" t="str">
        <f>IFERROR(VLOOKUP(C264,'Chart of Accounts'!$A$4:$F$30,4,FALSE),"")</f>
        <v>Cash</v>
      </c>
      <c r="F264" s="27" t="str">
        <f>IFERROR(VLOOKUP(C264,'Chart of Accounts'!$A$4:$F$30,5,FALSE),"")</f>
        <v>BS</v>
      </c>
      <c r="G264" s="15">
        <v>147662.89693138289</v>
      </c>
      <c r="H264" s="15">
        <v>0</v>
      </c>
      <c r="I264" s="10">
        <f t="shared" si="12"/>
        <v>147662.89693138289</v>
      </c>
      <c r="J264" s="14" t="s">
        <v>369</v>
      </c>
      <c r="K264" s="14" t="s">
        <v>175</v>
      </c>
      <c r="L264" s="14" t="s">
        <v>176</v>
      </c>
      <c r="M264" s="8" t="str">
        <f t="shared" si="13"/>
        <v>2026-03</v>
      </c>
      <c r="N264" s="8" t="str">
        <f t="shared" si="14"/>
        <v>OK</v>
      </c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>
      <c r="A265" s="14" t="s">
        <v>368</v>
      </c>
      <c r="B265" s="26">
        <v>46103</v>
      </c>
      <c r="C265" s="14" t="s">
        <v>58</v>
      </c>
      <c r="D265" s="27" t="str">
        <f>IFERROR(VLOOKUP(C265,'Chart of Accounts'!$A$4:$F$30,2,FALSE),"")</f>
        <v>Trade Receivables</v>
      </c>
      <c r="E265" s="27" t="str">
        <f>IFERROR(VLOOKUP(C265,'Chart of Accounts'!$A$4:$F$30,4,FALSE),"")</f>
        <v>Trade Receivables</v>
      </c>
      <c r="F265" s="27" t="str">
        <f>IFERROR(VLOOKUP(C265,'Chart of Accounts'!$A$4:$F$30,5,FALSE),"")</f>
        <v>BS</v>
      </c>
      <c r="G265" s="15">
        <v>0</v>
      </c>
      <c r="H265" s="15">
        <v>147662.89693138289</v>
      </c>
      <c r="I265" s="10">
        <f t="shared" si="12"/>
        <v>-147662.89693138289</v>
      </c>
      <c r="J265" s="14" t="s">
        <v>369</v>
      </c>
      <c r="K265" s="14" t="s">
        <v>175</v>
      </c>
      <c r="L265" s="14" t="s">
        <v>176</v>
      </c>
      <c r="M265" s="8" t="str">
        <f t="shared" si="13"/>
        <v>2026-03</v>
      </c>
      <c r="N265" s="8" t="str">
        <f t="shared" si="14"/>
        <v>OK</v>
      </c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>
      <c r="A266" s="14" t="s">
        <v>370</v>
      </c>
      <c r="B266" s="26">
        <v>46096</v>
      </c>
      <c r="C266" s="14" t="s">
        <v>52</v>
      </c>
      <c r="D266" s="27" t="str">
        <f>IFERROR(VLOOKUP(C266,'Chart of Accounts'!$A$4:$F$30,2,FALSE),"")</f>
        <v>Bank</v>
      </c>
      <c r="E266" s="27" t="str">
        <f>IFERROR(VLOOKUP(C266,'Chart of Accounts'!$A$4:$F$30,4,FALSE),"")</f>
        <v>Cash</v>
      </c>
      <c r="F266" s="27" t="str">
        <f>IFERROR(VLOOKUP(C266,'Chart of Accounts'!$A$4:$F$30,5,FALSE),"")</f>
        <v>BS</v>
      </c>
      <c r="G266" s="15">
        <v>108454.41100512214</v>
      </c>
      <c r="H266" s="15">
        <v>0</v>
      </c>
      <c r="I266" s="10">
        <f t="shared" si="12"/>
        <v>108454.41100512214</v>
      </c>
      <c r="J266" s="14" t="s">
        <v>371</v>
      </c>
      <c r="K266" s="14" t="s">
        <v>175</v>
      </c>
      <c r="L266" s="14" t="s">
        <v>176</v>
      </c>
      <c r="M266" s="8" t="str">
        <f t="shared" si="13"/>
        <v>2026-03</v>
      </c>
      <c r="N266" s="8" t="str">
        <f t="shared" si="14"/>
        <v>OK</v>
      </c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>
      <c r="A267" s="14" t="s">
        <v>370</v>
      </c>
      <c r="B267" s="26">
        <v>46096</v>
      </c>
      <c r="C267" s="14" t="s">
        <v>58</v>
      </c>
      <c r="D267" s="27" t="str">
        <f>IFERROR(VLOOKUP(C267,'Chart of Accounts'!$A$4:$F$30,2,FALSE),"")</f>
        <v>Trade Receivables</v>
      </c>
      <c r="E267" s="27" t="str">
        <f>IFERROR(VLOOKUP(C267,'Chart of Accounts'!$A$4:$F$30,4,FALSE),"")</f>
        <v>Trade Receivables</v>
      </c>
      <c r="F267" s="27" t="str">
        <f>IFERROR(VLOOKUP(C267,'Chart of Accounts'!$A$4:$F$30,5,FALSE),"")</f>
        <v>BS</v>
      </c>
      <c r="G267" s="15">
        <v>0</v>
      </c>
      <c r="H267" s="15">
        <v>108454.41100512214</v>
      </c>
      <c r="I267" s="10">
        <f t="shared" si="12"/>
        <v>-108454.41100512214</v>
      </c>
      <c r="J267" s="14" t="s">
        <v>371</v>
      </c>
      <c r="K267" s="14" t="s">
        <v>175</v>
      </c>
      <c r="L267" s="14" t="s">
        <v>176</v>
      </c>
      <c r="M267" s="8" t="str">
        <f t="shared" si="13"/>
        <v>2026-03</v>
      </c>
      <c r="N267" s="8" t="str">
        <f t="shared" si="14"/>
        <v>OK</v>
      </c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>
      <c r="A268" s="14" t="s">
        <v>372</v>
      </c>
      <c r="B268" s="26">
        <v>46095</v>
      </c>
      <c r="C268" s="14" t="s">
        <v>52</v>
      </c>
      <c r="D268" s="27" t="str">
        <f>IFERROR(VLOOKUP(C268,'Chart of Accounts'!$A$4:$F$30,2,FALSE),"")</f>
        <v>Bank</v>
      </c>
      <c r="E268" s="27" t="str">
        <f>IFERROR(VLOOKUP(C268,'Chart of Accounts'!$A$4:$F$30,4,FALSE),"")</f>
        <v>Cash</v>
      </c>
      <c r="F268" s="27" t="str">
        <f>IFERROR(VLOOKUP(C268,'Chart of Accounts'!$A$4:$F$30,5,FALSE),"")</f>
        <v>BS</v>
      </c>
      <c r="G268" s="15">
        <v>113728.49521287446</v>
      </c>
      <c r="H268" s="15">
        <v>0</v>
      </c>
      <c r="I268" s="10">
        <f t="shared" si="12"/>
        <v>113728.49521287446</v>
      </c>
      <c r="J268" s="14" t="s">
        <v>373</v>
      </c>
      <c r="K268" s="14" t="s">
        <v>175</v>
      </c>
      <c r="L268" s="14" t="s">
        <v>176</v>
      </c>
      <c r="M268" s="8" t="str">
        <f t="shared" si="13"/>
        <v>2026-03</v>
      </c>
      <c r="N268" s="8" t="str">
        <f t="shared" si="14"/>
        <v>OK</v>
      </c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>
      <c r="A269" s="14" t="s">
        <v>372</v>
      </c>
      <c r="B269" s="26">
        <v>46095</v>
      </c>
      <c r="C269" s="14" t="s">
        <v>58</v>
      </c>
      <c r="D269" s="27" t="str">
        <f>IFERROR(VLOOKUP(C269,'Chart of Accounts'!$A$4:$F$30,2,FALSE),"")</f>
        <v>Trade Receivables</v>
      </c>
      <c r="E269" s="27" t="str">
        <f>IFERROR(VLOOKUP(C269,'Chart of Accounts'!$A$4:$F$30,4,FALSE),"")</f>
        <v>Trade Receivables</v>
      </c>
      <c r="F269" s="27" t="str">
        <f>IFERROR(VLOOKUP(C269,'Chart of Accounts'!$A$4:$F$30,5,FALSE),"")</f>
        <v>BS</v>
      </c>
      <c r="G269" s="15">
        <v>0</v>
      </c>
      <c r="H269" s="15">
        <v>113728.49521287446</v>
      </c>
      <c r="I269" s="10">
        <f t="shared" si="12"/>
        <v>-113728.49521287446</v>
      </c>
      <c r="J269" s="14" t="s">
        <v>373</v>
      </c>
      <c r="K269" s="14" t="s">
        <v>175</v>
      </c>
      <c r="L269" s="14" t="s">
        <v>176</v>
      </c>
      <c r="M269" s="8" t="str">
        <f t="shared" si="13"/>
        <v>2026-03</v>
      </c>
      <c r="N269" s="8" t="str">
        <f t="shared" si="14"/>
        <v>OK</v>
      </c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>
      <c r="A270" s="14" t="s">
        <v>374</v>
      </c>
      <c r="B270" s="26">
        <v>46107</v>
      </c>
      <c r="C270" s="14" t="s">
        <v>52</v>
      </c>
      <c r="D270" s="27" t="str">
        <f>IFERROR(VLOOKUP(C270,'Chart of Accounts'!$A$4:$F$30,2,FALSE),"")</f>
        <v>Bank</v>
      </c>
      <c r="E270" s="27" t="str">
        <f>IFERROR(VLOOKUP(C270,'Chart of Accounts'!$A$4:$F$30,4,FALSE),"")</f>
        <v>Cash</v>
      </c>
      <c r="F270" s="27" t="str">
        <f>IFERROR(VLOOKUP(C270,'Chart of Accounts'!$A$4:$F$30,5,FALSE),"")</f>
        <v>BS</v>
      </c>
      <c r="G270" s="15">
        <v>150575.81281623305</v>
      </c>
      <c r="H270" s="15">
        <v>0</v>
      </c>
      <c r="I270" s="10">
        <f t="shared" si="12"/>
        <v>150575.81281623305</v>
      </c>
      <c r="J270" s="14" t="s">
        <v>375</v>
      </c>
      <c r="K270" s="14" t="s">
        <v>175</v>
      </c>
      <c r="L270" s="14" t="s">
        <v>176</v>
      </c>
      <c r="M270" s="8" t="str">
        <f t="shared" si="13"/>
        <v>2026-03</v>
      </c>
      <c r="N270" s="8" t="str">
        <f t="shared" si="14"/>
        <v>OK</v>
      </c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>
      <c r="A271" s="14" t="s">
        <v>374</v>
      </c>
      <c r="B271" s="26">
        <v>46107</v>
      </c>
      <c r="C271" s="14" t="s">
        <v>58</v>
      </c>
      <c r="D271" s="27" t="str">
        <f>IFERROR(VLOOKUP(C271,'Chart of Accounts'!$A$4:$F$30,2,FALSE),"")</f>
        <v>Trade Receivables</v>
      </c>
      <c r="E271" s="27" t="str">
        <f>IFERROR(VLOOKUP(C271,'Chart of Accounts'!$A$4:$F$30,4,FALSE),"")</f>
        <v>Trade Receivables</v>
      </c>
      <c r="F271" s="27" t="str">
        <f>IFERROR(VLOOKUP(C271,'Chart of Accounts'!$A$4:$F$30,5,FALSE),"")</f>
        <v>BS</v>
      </c>
      <c r="G271" s="15">
        <v>0</v>
      </c>
      <c r="H271" s="15">
        <v>150575.81281623305</v>
      </c>
      <c r="I271" s="10">
        <f t="shared" si="12"/>
        <v>-150575.81281623305</v>
      </c>
      <c r="J271" s="14" t="s">
        <v>375</v>
      </c>
      <c r="K271" s="14" t="s">
        <v>175</v>
      </c>
      <c r="L271" s="14" t="s">
        <v>176</v>
      </c>
      <c r="M271" s="8" t="str">
        <f t="shared" si="13"/>
        <v>2026-03</v>
      </c>
      <c r="N271" s="8" t="str">
        <f t="shared" si="14"/>
        <v>OK</v>
      </c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>
      <c r="A272" s="14" t="s">
        <v>376</v>
      </c>
      <c r="B272" s="26">
        <v>46092</v>
      </c>
      <c r="C272" s="14" t="s">
        <v>52</v>
      </c>
      <c r="D272" s="27" t="str">
        <f>IFERROR(VLOOKUP(C272,'Chart of Accounts'!$A$4:$F$30,2,FALSE),"")</f>
        <v>Bank</v>
      </c>
      <c r="E272" s="27" t="str">
        <f>IFERROR(VLOOKUP(C272,'Chart of Accounts'!$A$4:$F$30,4,FALSE),"")</f>
        <v>Cash</v>
      </c>
      <c r="F272" s="27" t="str">
        <f>IFERROR(VLOOKUP(C272,'Chart of Accounts'!$A$4:$F$30,5,FALSE),"")</f>
        <v>BS</v>
      </c>
      <c r="G272" s="15">
        <v>145691.795608607</v>
      </c>
      <c r="H272" s="15">
        <v>0</v>
      </c>
      <c r="I272" s="10">
        <f t="shared" si="12"/>
        <v>145691.795608607</v>
      </c>
      <c r="J272" s="14" t="s">
        <v>377</v>
      </c>
      <c r="K272" s="14" t="s">
        <v>175</v>
      </c>
      <c r="L272" s="14" t="s">
        <v>176</v>
      </c>
      <c r="M272" s="8" t="str">
        <f t="shared" si="13"/>
        <v>2026-03</v>
      </c>
      <c r="N272" s="8" t="str">
        <f t="shared" si="14"/>
        <v>OK</v>
      </c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>
      <c r="A273" s="14" t="s">
        <v>376</v>
      </c>
      <c r="B273" s="26">
        <v>46092</v>
      </c>
      <c r="C273" s="14" t="s">
        <v>58</v>
      </c>
      <c r="D273" s="27" t="str">
        <f>IFERROR(VLOOKUP(C273,'Chart of Accounts'!$A$4:$F$30,2,FALSE),"")</f>
        <v>Trade Receivables</v>
      </c>
      <c r="E273" s="27" t="str">
        <f>IFERROR(VLOOKUP(C273,'Chart of Accounts'!$A$4:$F$30,4,FALSE),"")</f>
        <v>Trade Receivables</v>
      </c>
      <c r="F273" s="27" t="str">
        <f>IFERROR(VLOOKUP(C273,'Chart of Accounts'!$A$4:$F$30,5,FALSE),"")</f>
        <v>BS</v>
      </c>
      <c r="G273" s="15">
        <v>0</v>
      </c>
      <c r="H273" s="15">
        <v>145691.795608607</v>
      </c>
      <c r="I273" s="10">
        <f t="shared" si="12"/>
        <v>-145691.795608607</v>
      </c>
      <c r="J273" s="14" t="s">
        <v>377</v>
      </c>
      <c r="K273" s="14" t="s">
        <v>175</v>
      </c>
      <c r="L273" s="14" t="s">
        <v>176</v>
      </c>
      <c r="M273" s="8" t="str">
        <f t="shared" si="13"/>
        <v>2026-03</v>
      </c>
      <c r="N273" s="8" t="str">
        <f t="shared" si="14"/>
        <v>OK</v>
      </c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>
      <c r="A274" s="14" t="s">
        <v>378</v>
      </c>
      <c r="B274" s="26">
        <v>46090</v>
      </c>
      <c r="C274" s="14" t="s">
        <v>63</v>
      </c>
      <c r="D274" s="27" t="str">
        <f>IFERROR(VLOOKUP(C274,'Chart of Accounts'!$A$4:$F$30,2,FALSE),"")</f>
        <v>Inventory</v>
      </c>
      <c r="E274" s="27" t="str">
        <f>IFERROR(VLOOKUP(C274,'Chart of Accounts'!$A$4:$F$30,4,FALSE),"")</f>
        <v>Inventory</v>
      </c>
      <c r="F274" s="27" t="str">
        <f>IFERROR(VLOOKUP(C274,'Chart of Accounts'!$A$4:$F$30,5,FALSE),"")</f>
        <v>BS</v>
      </c>
      <c r="G274" s="15">
        <v>96866.246289711649</v>
      </c>
      <c r="H274" s="15">
        <v>0</v>
      </c>
      <c r="I274" s="10">
        <f t="shared" si="12"/>
        <v>96866.246289711649</v>
      </c>
      <c r="J274" s="14" t="s">
        <v>379</v>
      </c>
      <c r="K274" s="14" t="s">
        <v>380</v>
      </c>
      <c r="L274" s="14" t="s">
        <v>190</v>
      </c>
      <c r="M274" s="8" t="str">
        <f t="shared" si="13"/>
        <v>2026-03</v>
      </c>
      <c r="N274" s="8" t="str">
        <f t="shared" si="14"/>
        <v>OK</v>
      </c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>
      <c r="A275" s="14" t="s">
        <v>378</v>
      </c>
      <c r="B275" s="26">
        <v>46090</v>
      </c>
      <c r="C275" s="14" t="s">
        <v>71</v>
      </c>
      <c r="D275" s="27" t="str">
        <f>IFERROR(VLOOKUP(C275,'Chart of Accounts'!$A$4:$F$30,2,FALSE),"")</f>
        <v>Trade Payables</v>
      </c>
      <c r="E275" s="27" t="str">
        <f>IFERROR(VLOOKUP(C275,'Chart of Accounts'!$A$4:$F$30,4,FALSE),"")</f>
        <v>Trade Payables</v>
      </c>
      <c r="F275" s="27" t="str">
        <f>IFERROR(VLOOKUP(C275,'Chart of Accounts'!$A$4:$F$30,5,FALSE),"")</f>
        <v>BS</v>
      </c>
      <c r="G275" s="15">
        <v>0</v>
      </c>
      <c r="H275" s="15">
        <v>96866.246289711649</v>
      </c>
      <c r="I275" s="10">
        <f t="shared" si="12"/>
        <v>-96866.246289711649</v>
      </c>
      <c r="J275" s="14" t="s">
        <v>379</v>
      </c>
      <c r="K275" s="14" t="s">
        <v>380</v>
      </c>
      <c r="L275" s="14" t="s">
        <v>190</v>
      </c>
      <c r="M275" s="8" t="str">
        <f t="shared" si="13"/>
        <v>2026-03</v>
      </c>
      <c r="N275" s="8" t="str">
        <f t="shared" si="14"/>
        <v>OK</v>
      </c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>
      <c r="A276" s="14" t="s">
        <v>381</v>
      </c>
      <c r="B276" s="26">
        <v>46101</v>
      </c>
      <c r="C276" s="14" t="s">
        <v>63</v>
      </c>
      <c r="D276" s="27" t="str">
        <f>IFERROR(VLOOKUP(C276,'Chart of Accounts'!$A$4:$F$30,2,FALSE),"")</f>
        <v>Inventory</v>
      </c>
      <c r="E276" s="27" t="str">
        <f>IFERROR(VLOOKUP(C276,'Chart of Accounts'!$A$4:$F$30,4,FALSE),"")</f>
        <v>Inventory</v>
      </c>
      <c r="F276" s="27" t="str">
        <f>IFERROR(VLOOKUP(C276,'Chart of Accounts'!$A$4:$F$30,5,FALSE),"")</f>
        <v>BS</v>
      </c>
      <c r="G276" s="15">
        <v>66404.30957495296</v>
      </c>
      <c r="H276" s="15">
        <v>0</v>
      </c>
      <c r="I276" s="10">
        <f t="shared" si="12"/>
        <v>66404.30957495296</v>
      </c>
      <c r="J276" s="14" t="s">
        <v>382</v>
      </c>
      <c r="K276" s="14" t="s">
        <v>383</v>
      </c>
      <c r="L276" s="14" t="s">
        <v>190</v>
      </c>
      <c r="M276" s="8" t="str">
        <f t="shared" si="13"/>
        <v>2026-03</v>
      </c>
      <c r="N276" s="8" t="str">
        <f t="shared" si="14"/>
        <v>OK</v>
      </c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>
      <c r="A277" s="14" t="s">
        <v>381</v>
      </c>
      <c r="B277" s="26">
        <v>46101</v>
      </c>
      <c r="C277" s="14" t="s">
        <v>71</v>
      </c>
      <c r="D277" s="27" t="str">
        <f>IFERROR(VLOOKUP(C277,'Chart of Accounts'!$A$4:$F$30,2,FALSE),"")</f>
        <v>Trade Payables</v>
      </c>
      <c r="E277" s="27" t="str">
        <f>IFERROR(VLOOKUP(C277,'Chart of Accounts'!$A$4:$F$30,4,FALSE),"")</f>
        <v>Trade Payables</v>
      </c>
      <c r="F277" s="27" t="str">
        <f>IFERROR(VLOOKUP(C277,'Chart of Accounts'!$A$4:$F$30,5,FALSE),"")</f>
        <v>BS</v>
      </c>
      <c r="G277" s="15">
        <v>0</v>
      </c>
      <c r="H277" s="15">
        <v>66404.30957495296</v>
      </c>
      <c r="I277" s="10">
        <f t="shared" si="12"/>
        <v>-66404.30957495296</v>
      </c>
      <c r="J277" s="14" t="s">
        <v>382</v>
      </c>
      <c r="K277" s="14" t="s">
        <v>383</v>
      </c>
      <c r="L277" s="14" t="s">
        <v>190</v>
      </c>
      <c r="M277" s="8" t="str">
        <f t="shared" si="13"/>
        <v>2026-03</v>
      </c>
      <c r="N277" s="8" t="str">
        <f t="shared" si="14"/>
        <v>OK</v>
      </c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>
      <c r="A278" s="14" t="s">
        <v>384</v>
      </c>
      <c r="B278" s="26">
        <v>46101</v>
      </c>
      <c r="C278" s="14" t="s">
        <v>63</v>
      </c>
      <c r="D278" s="27" t="str">
        <f>IFERROR(VLOOKUP(C278,'Chart of Accounts'!$A$4:$F$30,2,FALSE),"")</f>
        <v>Inventory</v>
      </c>
      <c r="E278" s="27" t="str">
        <f>IFERROR(VLOOKUP(C278,'Chart of Accounts'!$A$4:$F$30,4,FALSE),"")</f>
        <v>Inventory</v>
      </c>
      <c r="F278" s="27" t="str">
        <f>IFERROR(VLOOKUP(C278,'Chart of Accounts'!$A$4:$F$30,5,FALSE),"")</f>
        <v>BS</v>
      </c>
      <c r="G278" s="15">
        <v>73626.269052451709</v>
      </c>
      <c r="H278" s="15">
        <v>0</v>
      </c>
      <c r="I278" s="10">
        <f t="shared" si="12"/>
        <v>73626.269052451709</v>
      </c>
      <c r="J278" s="14" t="s">
        <v>385</v>
      </c>
      <c r="K278" s="14" t="s">
        <v>386</v>
      </c>
      <c r="L278" s="14" t="s">
        <v>190</v>
      </c>
      <c r="M278" s="8" t="str">
        <f t="shared" si="13"/>
        <v>2026-03</v>
      </c>
      <c r="N278" s="8" t="str">
        <f t="shared" si="14"/>
        <v>OK</v>
      </c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>
      <c r="A279" s="14" t="s">
        <v>384</v>
      </c>
      <c r="B279" s="26">
        <v>46101</v>
      </c>
      <c r="C279" s="14" t="s">
        <v>71</v>
      </c>
      <c r="D279" s="27" t="str">
        <f>IFERROR(VLOOKUP(C279,'Chart of Accounts'!$A$4:$F$30,2,FALSE),"")</f>
        <v>Trade Payables</v>
      </c>
      <c r="E279" s="27" t="str">
        <f>IFERROR(VLOOKUP(C279,'Chart of Accounts'!$A$4:$F$30,4,FALSE),"")</f>
        <v>Trade Payables</v>
      </c>
      <c r="F279" s="27" t="str">
        <f>IFERROR(VLOOKUP(C279,'Chart of Accounts'!$A$4:$F$30,5,FALSE),"")</f>
        <v>BS</v>
      </c>
      <c r="G279" s="15">
        <v>0</v>
      </c>
      <c r="H279" s="15">
        <v>73626.269052451709</v>
      </c>
      <c r="I279" s="10">
        <f t="shared" si="12"/>
        <v>-73626.269052451709</v>
      </c>
      <c r="J279" s="14" t="s">
        <v>385</v>
      </c>
      <c r="K279" s="14" t="s">
        <v>386</v>
      </c>
      <c r="L279" s="14" t="s">
        <v>190</v>
      </c>
      <c r="M279" s="8" t="str">
        <f t="shared" si="13"/>
        <v>2026-03</v>
      </c>
      <c r="N279" s="8" t="str">
        <f t="shared" si="14"/>
        <v>OK</v>
      </c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>
      <c r="A280" s="14" t="s">
        <v>387</v>
      </c>
      <c r="B280" s="26">
        <v>46086</v>
      </c>
      <c r="C280" s="14" t="s">
        <v>63</v>
      </c>
      <c r="D280" s="27" t="str">
        <f>IFERROR(VLOOKUP(C280,'Chart of Accounts'!$A$4:$F$30,2,FALSE),"")</f>
        <v>Inventory</v>
      </c>
      <c r="E280" s="27" t="str">
        <f>IFERROR(VLOOKUP(C280,'Chart of Accounts'!$A$4:$F$30,4,FALSE),"")</f>
        <v>Inventory</v>
      </c>
      <c r="F280" s="27" t="str">
        <f>IFERROR(VLOOKUP(C280,'Chart of Accounts'!$A$4:$F$30,5,FALSE),"")</f>
        <v>BS</v>
      </c>
      <c r="G280" s="15">
        <v>109826.43155883483</v>
      </c>
      <c r="H280" s="15">
        <v>0</v>
      </c>
      <c r="I280" s="10">
        <f t="shared" si="12"/>
        <v>109826.43155883483</v>
      </c>
      <c r="J280" s="14" t="s">
        <v>388</v>
      </c>
      <c r="K280" s="14" t="s">
        <v>389</v>
      </c>
      <c r="L280" s="14" t="s">
        <v>190</v>
      </c>
      <c r="M280" s="8" t="str">
        <f t="shared" si="13"/>
        <v>2026-03</v>
      </c>
      <c r="N280" s="8" t="str">
        <f t="shared" si="14"/>
        <v>OK</v>
      </c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>
      <c r="A281" s="14" t="s">
        <v>387</v>
      </c>
      <c r="B281" s="26">
        <v>46086</v>
      </c>
      <c r="C281" s="14" t="s">
        <v>71</v>
      </c>
      <c r="D281" s="27" t="str">
        <f>IFERROR(VLOOKUP(C281,'Chart of Accounts'!$A$4:$F$30,2,FALSE),"")</f>
        <v>Trade Payables</v>
      </c>
      <c r="E281" s="27" t="str">
        <f>IFERROR(VLOOKUP(C281,'Chart of Accounts'!$A$4:$F$30,4,FALSE),"")</f>
        <v>Trade Payables</v>
      </c>
      <c r="F281" s="27" t="str">
        <f>IFERROR(VLOOKUP(C281,'Chart of Accounts'!$A$4:$F$30,5,FALSE),"")</f>
        <v>BS</v>
      </c>
      <c r="G281" s="15">
        <v>0</v>
      </c>
      <c r="H281" s="15">
        <v>109826.43155883483</v>
      </c>
      <c r="I281" s="10">
        <f t="shared" si="12"/>
        <v>-109826.43155883483</v>
      </c>
      <c r="J281" s="14" t="s">
        <v>388</v>
      </c>
      <c r="K281" s="14" t="s">
        <v>389</v>
      </c>
      <c r="L281" s="14" t="s">
        <v>190</v>
      </c>
      <c r="M281" s="8" t="str">
        <f t="shared" si="13"/>
        <v>2026-03</v>
      </c>
      <c r="N281" s="8" t="str">
        <f t="shared" si="14"/>
        <v>OK</v>
      </c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>
      <c r="A282" s="14" t="s">
        <v>390</v>
      </c>
      <c r="B282" s="26">
        <v>46086</v>
      </c>
      <c r="C282" s="14" t="s">
        <v>63</v>
      </c>
      <c r="D282" s="27" t="str">
        <f>IFERROR(VLOOKUP(C282,'Chart of Accounts'!$A$4:$F$30,2,FALSE),"")</f>
        <v>Inventory</v>
      </c>
      <c r="E282" s="27" t="str">
        <f>IFERROR(VLOOKUP(C282,'Chart of Accounts'!$A$4:$F$30,4,FALSE),"")</f>
        <v>Inventory</v>
      </c>
      <c r="F282" s="27" t="str">
        <f>IFERROR(VLOOKUP(C282,'Chart of Accounts'!$A$4:$F$30,5,FALSE),"")</f>
        <v>BS</v>
      </c>
      <c r="G282" s="15">
        <v>76000.849278095877</v>
      </c>
      <c r="H282" s="15">
        <v>0</v>
      </c>
      <c r="I282" s="10">
        <f t="shared" si="12"/>
        <v>76000.849278095877</v>
      </c>
      <c r="J282" s="14" t="s">
        <v>391</v>
      </c>
      <c r="K282" s="14" t="s">
        <v>383</v>
      </c>
      <c r="L282" s="14" t="s">
        <v>190</v>
      </c>
      <c r="M282" s="8" t="str">
        <f t="shared" si="13"/>
        <v>2026-03</v>
      </c>
      <c r="N282" s="8" t="str">
        <f t="shared" si="14"/>
        <v>OK</v>
      </c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>
      <c r="A283" s="14" t="s">
        <v>390</v>
      </c>
      <c r="B283" s="26">
        <v>46086</v>
      </c>
      <c r="C283" s="14" t="s">
        <v>71</v>
      </c>
      <c r="D283" s="27" t="str">
        <f>IFERROR(VLOOKUP(C283,'Chart of Accounts'!$A$4:$F$30,2,FALSE),"")</f>
        <v>Trade Payables</v>
      </c>
      <c r="E283" s="27" t="str">
        <f>IFERROR(VLOOKUP(C283,'Chart of Accounts'!$A$4:$F$30,4,FALSE),"")</f>
        <v>Trade Payables</v>
      </c>
      <c r="F283" s="27" t="str">
        <f>IFERROR(VLOOKUP(C283,'Chart of Accounts'!$A$4:$F$30,5,FALSE),"")</f>
        <v>BS</v>
      </c>
      <c r="G283" s="15">
        <v>0</v>
      </c>
      <c r="H283" s="15">
        <v>76000.849278095877</v>
      </c>
      <c r="I283" s="10">
        <f t="shared" si="12"/>
        <v>-76000.849278095877</v>
      </c>
      <c r="J283" s="14" t="s">
        <v>391</v>
      </c>
      <c r="K283" s="14" t="s">
        <v>383</v>
      </c>
      <c r="L283" s="14" t="s">
        <v>190</v>
      </c>
      <c r="M283" s="8" t="str">
        <f t="shared" si="13"/>
        <v>2026-03</v>
      </c>
      <c r="N283" s="8" t="str">
        <f t="shared" si="14"/>
        <v>OK</v>
      </c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>
      <c r="A284" s="14" t="s">
        <v>392</v>
      </c>
      <c r="B284" s="26">
        <v>46096</v>
      </c>
      <c r="C284" s="14" t="s">
        <v>63</v>
      </c>
      <c r="D284" s="27" t="str">
        <f>IFERROR(VLOOKUP(C284,'Chart of Accounts'!$A$4:$F$30,2,FALSE),"")</f>
        <v>Inventory</v>
      </c>
      <c r="E284" s="27" t="str">
        <f>IFERROR(VLOOKUP(C284,'Chart of Accounts'!$A$4:$F$30,4,FALSE),"")</f>
        <v>Inventory</v>
      </c>
      <c r="F284" s="27" t="str">
        <f>IFERROR(VLOOKUP(C284,'Chart of Accounts'!$A$4:$F$30,5,FALSE),"")</f>
        <v>BS</v>
      </c>
      <c r="G284" s="15">
        <v>60275.89424595303</v>
      </c>
      <c r="H284" s="15">
        <v>0</v>
      </c>
      <c r="I284" s="10">
        <f t="shared" si="12"/>
        <v>60275.89424595303</v>
      </c>
      <c r="J284" s="14" t="s">
        <v>393</v>
      </c>
      <c r="K284" s="14" t="s">
        <v>193</v>
      </c>
      <c r="L284" s="14" t="s">
        <v>190</v>
      </c>
      <c r="M284" s="8" t="str">
        <f t="shared" si="13"/>
        <v>2026-03</v>
      </c>
      <c r="N284" s="8" t="str">
        <f t="shared" si="14"/>
        <v>OK</v>
      </c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>
      <c r="A285" s="14" t="s">
        <v>392</v>
      </c>
      <c r="B285" s="26">
        <v>46096</v>
      </c>
      <c r="C285" s="14" t="s">
        <v>71</v>
      </c>
      <c r="D285" s="27" t="str">
        <f>IFERROR(VLOOKUP(C285,'Chart of Accounts'!$A$4:$F$30,2,FALSE),"")</f>
        <v>Trade Payables</v>
      </c>
      <c r="E285" s="27" t="str">
        <f>IFERROR(VLOOKUP(C285,'Chart of Accounts'!$A$4:$F$30,4,FALSE),"")</f>
        <v>Trade Payables</v>
      </c>
      <c r="F285" s="27" t="str">
        <f>IFERROR(VLOOKUP(C285,'Chart of Accounts'!$A$4:$F$30,5,FALSE),"")</f>
        <v>BS</v>
      </c>
      <c r="G285" s="15">
        <v>0</v>
      </c>
      <c r="H285" s="15">
        <v>60275.89424595303</v>
      </c>
      <c r="I285" s="10">
        <f t="shared" si="12"/>
        <v>-60275.89424595303</v>
      </c>
      <c r="J285" s="14" t="s">
        <v>393</v>
      </c>
      <c r="K285" s="14" t="s">
        <v>193</v>
      </c>
      <c r="L285" s="14" t="s">
        <v>190</v>
      </c>
      <c r="M285" s="8" t="str">
        <f t="shared" si="13"/>
        <v>2026-03</v>
      </c>
      <c r="N285" s="8" t="str">
        <f t="shared" si="14"/>
        <v>OK</v>
      </c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>
      <c r="A286" s="14" t="s">
        <v>394</v>
      </c>
      <c r="B286" s="26">
        <v>46108</v>
      </c>
      <c r="C286" s="14" t="s">
        <v>71</v>
      </c>
      <c r="D286" s="27" t="str">
        <f>IFERROR(VLOOKUP(C286,'Chart of Accounts'!$A$4:$F$30,2,FALSE),"")</f>
        <v>Trade Payables</v>
      </c>
      <c r="E286" s="27" t="str">
        <f>IFERROR(VLOOKUP(C286,'Chart of Accounts'!$A$4:$F$30,4,FALSE),"")</f>
        <v>Trade Payables</v>
      </c>
      <c r="F286" s="27" t="str">
        <f>IFERROR(VLOOKUP(C286,'Chart of Accounts'!$A$4:$F$30,5,FALSE),"")</f>
        <v>BS</v>
      </c>
      <c r="G286" s="15">
        <v>100088.02015952021</v>
      </c>
      <c r="H286" s="15">
        <v>0</v>
      </c>
      <c r="I286" s="10">
        <f t="shared" si="12"/>
        <v>100088.02015952021</v>
      </c>
      <c r="J286" s="14" t="s">
        <v>395</v>
      </c>
      <c r="K286" s="14" t="s">
        <v>207</v>
      </c>
      <c r="L286" s="14" t="s">
        <v>208</v>
      </c>
      <c r="M286" s="8" t="str">
        <f t="shared" si="13"/>
        <v>2026-03</v>
      </c>
      <c r="N286" s="8" t="str">
        <f t="shared" si="14"/>
        <v>OK</v>
      </c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>
      <c r="A287" s="14" t="s">
        <v>394</v>
      </c>
      <c r="B287" s="26">
        <v>46108</v>
      </c>
      <c r="C287" s="14" t="s">
        <v>52</v>
      </c>
      <c r="D287" s="27" t="str">
        <f>IFERROR(VLOOKUP(C287,'Chart of Accounts'!$A$4:$F$30,2,FALSE),"")</f>
        <v>Bank</v>
      </c>
      <c r="E287" s="27" t="str">
        <f>IFERROR(VLOOKUP(C287,'Chart of Accounts'!$A$4:$F$30,4,FALSE),"")</f>
        <v>Cash</v>
      </c>
      <c r="F287" s="27" t="str">
        <f>IFERROR(VLOOKUP(C287,'Chart of Accounts'!$A$4:$F$30,5,FALSE),"")</f>
        <v>BS</v>
      </c>
      <c r="G287" s="15">
        <v>0</v>
      </c>
      <c r="H287" s="15">
        <v>100088.02015952021</v>
      </c>
      <c r="I287" s="10">
        <f t="shared" si="12"/>
        <v>-100088.02015952021</v>
      </c>
      <c r="J287" s="14" t="s">
        <v>395</v>
      </c>
      <c r="K287" s="14" t="s">
        <v>207</v>
      </c>
      <c r="L287" s="14" t="s">
        <v>208</v>
      </c>
      <c r="M287" s="8" t="str">
        <f t="shared" si="13"/>
        <v>2026-03</v>
      </c>
      <c r="N287" s="8" t="str">
        <f t="shared" si="14"/>
        <v>OK</v>
      </c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>
      <c r="A288" s="14" t="s">
        <v>396</v>
      </c>
      <c r="B288" s="26">
        <v>46094</v>
      </c>
      <c r="C288" s="14" t="s">
        <v>71</v>
      </c>
      <c r="D288" s="27" t="str">
        <f>IFERROR(VLOOKUP(C288,'Chart of Accounts'!$A$4:$F$30,2,FALSE),"")</f>
        <v>Trade Payables</v>
      </c>
      <c r="E288" s="27" t="str">
        <f>IFERROR(VLOOKUP(C288,'Chart of Accounts'!$A$4:$F$30,4,FALSE),"")</f>
        <v>Trade Payables</v>
      </c>
      <c r="F288" s="27" t="str">
        <f>IFERROR(VLOOKUP(C288,'Chart of Accounts'!$A$4:$F$30,5,FALSE),"")</f>
        <v>BS</v>
      </c>
      <c r="G288" s="15">
        <v>93954.359127473246</v>
      </c>
      <c r="H288" s="15">
        <v>0</v>
      </c>
      <c r="I288" s="10">
        <f t="shared" si="12"/>
        <v>93954.359127473246</v>
      </c>
      <c r="J288" s="14" t="s">
        <v>397</v>
      </c>
      <c r="K288" s="14" t="s">
        <v>207</v>
      </c>
      <c r="L288" s="14" t="s">
        <v>208</v>
      </c>
      <c r="M288" s="8" t="str">
        <f t="shared" si="13"/>
        <v>2026-03</v>
      </c>
      <c r="N288" s="8" t="str">
        <f t="shared" si="14"/>
        <v>OK</v>
      </c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>
      <c r="A289" s="14" t="s">
        <v>396</v>
      </c>
      <c r="B289" s="26">
        <v>46094</v>
      </c>
      <c r="C289" s="14" t="s">
        <v>52</v>
      </c>
      <c r="D289" s="27" t="str">
        <f>IFERROR(VLOOKUP(C289,'Chart of Accounts'!$A$4:$F$30,2,FALSE),"")</f>
        <v>Bank</v>
      </c>
      <c r="E289" s="27" t="str">
        <f>IFERROR(VLOOKUP(C289,'Chart of Accounts'!$A$4:$F$30,4,FALSE),"")</f>
        <v>Cash</v>
      </c>
      <c r="F289" s="27" t="str">
        <f>IFERROR(VLOOKUP(C289,'Chart of Accounts'!$A$4:$F$30,5,FALSE),"")</f>
        <v>BS</v>
      </c>
      <c r="G289" s="15">
        <v>0</v>
      </c>
      <c r="H289" s="15">
        <v>93954.359127473246</v>
      </c>
      <c r="I289" s="10">
        <f t="shared" si="12"/>
        <v>-93954.359127473246</v>
      </c>
      <c r="J289" s="14" t="s">
        <v>397</v>
      </c>
      <c r="K289" s="14" t="s">
        <v>207</v>
      </c>
      <c r="L289" s="14" t="s">
        <v>208</v>
      </c>
      <c r="M289" s="8" t="str">
        <f t="shared" si="13"/>
        <v>2026-03</v>
      </c>
      <c r="N289" s="8" t="str">
        <f t="shared" si="14"/>
        <v>OK</v>
      </c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>
      <c r="A290" s="14" t="s">
        <v>398</v>
      </c>
      <c r="B290" s="26">
        <v>46099</v>
      </c>
      <c r="C290" s="14" t="s">
        <v>71</v>
      </c>
      <c r="D290" s="27" t="str">
        <f>IFERROR(VLOOKUP(C290,'Chart of Accounts'!$A$4:$F$30,2,FALSE),"")</f>
        <v>Trade Payables</v>
      </c>
      <c r="E290" s="27" t="str">
        <f>IFERROR(VLOOKUP(C290,'Chart of Accounts'!$A$4:$F$30,4,FALSE),"")</f>
        <v>Trade Payables</v>
      </c>
      <c r="F290" s="27" t="str">
        <f>IFERROR(VLOOKUP(C290,'Chart of Accounts'!$A$4:$F$30,5,FALSE),"")</f>
        <v>BS</v>
      </c>
      <c r="G290" s="15">
        <v>105919.63379848139</v>
      </c>
      <c r="H290" s="15">
        <v>0</v>
      </c>
      <c r="I290" s="10">
        <f t="shared" si="12"/>
        <v>105919.63379848139</v>
      </c>
      <c r="J290" s="14" t="s">
        <v>399</v>
      </c>
      <c r="K290" s="14" t="s">
        <v>207</v>
      </c>
      <c r="L290" s="14" t="s">
        <v>208</v>
      </c>
      <c r="M290" s="8" t="str">
        <f t="shared" si="13"/>
        <v>2026-03</v>
      </c>
      <c r="N290" s="8" t="str">
        <f t="shared" si="14"/>
        <v>OK</v>
      </c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>
      <c r="A291" s="14" t="s">
        <v>398</v>
      </c>
      <c r="B291" s="26">
        <v>46099</v>
      </c>
      <c r="C291" s="14" t="s">
        <v>52</v>
      </c>
      <c r="D291" s="27" t="str">
        <f>IFERROR(VLOOKUP(C291,'Chart of Accounts'!$A$4:$F$30,2,FALSE),"")</f>
        <v>Bank</v>
      </c>
      <c r="E291" s="27" t="str">
        <f>IFERROR(VLOOKUP(C291,'Chart of Accounts'!$A$4:$F$30,4,FALSE),"")</f>
        <v>Cash</v>
      </c>
      <c r="F291" s="27" t="str">
        <f>IFERROR(VLOOKUP(C291,'Chart of Accounts'!$A$4:$F$30,5,FALSE),"")</f>
        <v>BS</v>
      </c>
      <c r="G291" s="15">
        <v>0</v>
      </c>
      <c r="H291" s="15">
        <v>105919.63379848139</v>
      </c>
      <c r="I291" s="10">
        <f t="shared" si="12"/>
        <v>-105919.63379848139</v>
      </c>
      <c r="J291" s="14" t="s">
        <v>399</v>
      </c>
      <c r="K291" s="14" t="s">
        <v>207</v>
      </c>
      <c r="L291" s="14" t="s">
        <v>208</v>
      </c>
      <c r="M291" s="8" t="str">
        <f t="shared" si="13"/>
        <v>2026-03</v>
      </c>
      <c r="N291" s="8" t="str">
        <f t="shared" si="14"/>
        <v>OK</v>
      </c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>
      <c r="A292" s="14" t="s">
        <v>400</v>
      </c>
      <c r="B292" s="26">
        <v>46094</v>
      </c>
      <c r="C292" s="14" t="s">
        <v>71</v>
      </c>
      <c r="D292" s="27" t="str">
        <f>IFERROR(VLOOKUP(C292,'Chart of Accounts'!$A$4:$F$30,2,FALSE),"")</f>
        <v>Trade Payables</v>
      </c>
      <c r="E292" s="27" t="str">
        <f>IFERROR(VLOOKUP(C292,'Chart of Accounts'!$A$4:$F$30,4,FALSE),"")</f>
        <v>Trade Payables</v>
      </c>
      <c r="F292" s="27" t="str">
        <f>IFERROR(VLOOKUP(C292,'Chart of Accounts'!$A$4:$F$30,5,FALSE),"")</f>
        <v>BS</v>
      </c>
      <c r="G292" s="15">
        <v>101409.60103402738</v>
      </c>
      <c r="H292" s="15">
        <v>0</v>
      </c>
      <c r="I292" s="10">
        <f t="shared" si="12"/>
        <v>101409.60103402738</v>
      </c>
      <c r="J292" s="14" t="s">
        <v>401</v>
      </c>
      <c r="K292" s="14" t="s">
        <v>207</v>
      </c>
      <c r="L292" s="14" t="s">
        <v>208</v>
      </c>
      <c r="M292" s="8" t="str">
        <f t="shared" si="13"/>
        <v>2026-03</v>
      </c>
      <c r="N292" s="8" t="str">
        <f t="shared" si="14"/>
        <v>OK</v>
      </c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>
      <c r="A293" s="14" t="s">
        <v>400</v>
      </c>
      <c r="B293" s="26">
        <v>46094</v>
      </c>
      <c r="C293" s="14" t="s">
        <v>52</v>
      </c>
      <c r="D293" s="27" t="str">
        <f>IFERROR(VLOOKUP(C293,'Chart of Accounts'!$A$4:$F$30,2,FALSE),"")</f>
        <v>Bank</v>
      </c>
      <c r="E293" s="27" t="str">
        <f>IFERROR(VLOOKUP(C293,'Chart of Accounts'!$A$4:$F$30,4,FALSE),"")</f>
        <v>Cash</v>
      </c>
      <c r="F293" s="27" t="str">
        <f>IFERROR(VLOOKUP(C293,'Chart of Accounts'!$A$4:$F$30,5,FALSE),"")</f>
        <v>BS</v>
      </c>
      <c r="G293" s="15">
        <v>0</v>
      </c>
      <c r="H293" s="15">
        <v>101409.60103402738</v>
      </c>
      <c r="I293" s="10">
        <f t="shared" si="12"/>
        <v>-101409.60103402738</v>
      </c>
      <c r="J293" s="14" t="s">
        <v>401</v>
      </c>
      <c r="K293" s="14" t="s">
        <v>207</v>
      </c>
      <c r="L293" s="14" t="s">
        <v>208</v>
      </c>
      <c r="M293" s="8" t="str">
        <f t="shared" si="13"/>
        <v>2026-03</v>
      </c>
      <c r="N293" s="8" t="str">
        <f t="shared" si="14"/>
        <v>OK</v>
      </c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>
      <c r="A294" s="14" t="s">
        <v>402</v>
      </c>
      <c r="B294" s="26">
        <v>46100</v>
      </c>
      <c r="C294" s="14" t="s">
        <v>71</v>
      </c>
      <c r="D294" s="27" t="str">
        <f>IFERROR(VLOOKUP(C294,'Chart of Accounts'!$A$4:$F$30,2,FALSE),"")</f>
        <v>Trade Payables</v>
      </c>
      <c r="E294" s="27" t="str">
        <f>IFERROR(VLOOKUP(C294,'Chart of Accounts'!$A$4:$F$30,4,FALSE),"")</f>
        <v>Trade Payables</v>
      </c>
      <c r="F294" s="27" t="str">
        <f>IFERROR(VLOOKUP(C294,'Chart of Accounts'!$A$4:$F$30,5,FALSE),"")</f>
        <v>BS</v>
      </c>
      <c r="G294" s="15">
        <v>67138.385880497837</v>
      </c>
      <c r="H294" s="15">
        <v>0</v>
      </c>
      <c r="I294" s="10">
        <f t="shared" si="12"/>
        <v>67138.385880497837</v>
      </c>
      <c r="J294" s="14" t="s">
        <v>403</v>
      </c>
      <c r="K294" s="14" t="s">
        <v>207</v>
      </c>
      <c r="L294" s="14" t="s">
        <v>208</v>
      </c>
      <c r="M294" s="8" t="str">
        <f t="shared" si="13"/>
        <v>2026-03</v>
      </c>
      <c r="N294" s="8" t="str">
        <f t="shared" si="14"/>
        <v>OK</v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>
      <c r="A295" s="14" t="s">
        <v>402</v>
      </c>
      <c r="B295" s="26">
        <v>46100</v>
      </c>
      <c r="C295" s="14" t="s">
        <v>52</v>
      </c>
      <c r="D295" s="27" t="str">
        <f>IFERROR(VLOOKUP(C295,'Chart of Accounts'!$A$4:$F$30,2,FALSE),"")</f>
        <v>Bank</v>
      </c>
      <c r="E295" s="27" t="str">
        <f>IFERROR(VLOOKUP(C295,'Chart of Accounts'!$A$4:$F$30,4,FALSE),"")</f>
        <v>Cash</v>
      </c>
      <c r="F295" s="27" t="str">
        <f>IFERROR(VLOOKUP(C295,'Chart of Accounts'!$A$4:$F$30,5,FALSE),"")</f>
        <v>BS</v>
      </c>
      <c r="G295" s="15">
        <v>0</v>
      </c>
      <c r="H295" s="15">
        <v>67138.385880497837</v>
      </c>
      <c r="I295" s="10">
        <f t="shared" si="12"/>
        <v>-67138.385880497837</v>
      </c>
      <c r="J295" s="14" t="s">
        <v>403</v>
      </c>
      <c r="K295" s="14" t="s">
        <v>207</v>
      </c>
      <c r="L295" s="14" t="s">
        <v>208</v>
      </c>
      <c r="M295" s="8" t="str">
        <f t="shared" si="13"/>
        <v>2026-03</v>
      </c>
      <c r="N295" s="8" t="str">
        <f t="shared" si="14"/>
        <v>OK</v>
      </c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>
      <c r="A296" s="14" t="s">
        <v>404</v>
      </c>
      <c r="B296" s="26">
        <v>46106</v>
      </c>
      <c r="C296" s="14" t="s">
        <v>94</v>
      </c>
      <c r="D296" s="27" t="str">
        <f>IFERROR(VLOOKUP(C296,'Chart of Accounts'!$A$4:$F$30,2,FALSE),"")</f>
        <v>Salaries &amp; Wages</v>
      </c>
      <c r="E296" s="27" t="str">
        <f>IFERROR(VLOOKUP(C296,'Chart of Accounts'!$A$4:$F$30,4,FALSE),"")</f>
        <v>Salaries</v>
      </c>
      <c r="F296" s="27" t="str">
        <f>IFERROR(VLOOKUP(C296,'Chart of Accounts'!$A$4:$F$30,5,FALSE),"")</f>
        <v>PL</v>
      </c>
      <c r="G296" s="15">
        <v>184387.08062666273</v>
      </c>
      <c r="H296" s="15">
        <v>0</v>
      </c>
      <c r="I296" s="10">
        <f t="shared" si="12"/>
        <v>184387.08062666273</v>
      </c>
      <c r="J296" s="14" t="s">
        <v>405</v>
      </c>
      <c r="K296" s="14" t="s">
        <v>219</v>
      </c>
      <c r="L296" s="14" t="s">
        <v>220</v>
      </c>
      <c r="M296" s="8" t="str">
        <f t="shared" si="13"/>
        <v>2026-03</v>
      </c>
      <c r="N296" s="8" t="str">
        <f t="shared" si="14"/>
        <v>OK</v>
      </c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>
      <c r="A297" s="14" t="s">
        <v>404</v>
      </c>
      <c r="B297" s="26">
        <v>46106</v>
      </c>
      <c r="C297" s="14" t="s">
        <v>97</v>
      </c>
      <c r="D297" s="27" t="str">
        <f>IFERROR(VLOOKUP(C297,'Chart of Accounts'!$A$4:$F$30,2,FALSE),"")</f>
        <v>Employer NI &amp; Pension</v>
      </c>
      <c r="E297" s="27" t="str">
        <f>IFERROR(VLOOKUP(C297,'Chart of Accounts'!$A$4:$F$30,4,FALSE),"")</f>
        <v>Employer Costs</v>
      </c>
      <c r="F297" s="27" t="str">
        <f>IFERROR(VLOOKUP(C297,'Chart of Accounts'!$A$4:$F$30,5,FALSE),"")</f>
        <v>PL</v>
      </c>
      <c r="G297" s="15">
        <v>24892.255884599472</v>
      </c>
      <c r="H297" s="15">
        <v>0</v>
      </c>
      <c r="I297" s="10">
        <f t="shared" si="12"/>
        <v>24892.255884599472</v>
      </c>
      <c r="J297" s="14" t="s">
        <v>405</v>
      </c>
      <c r="K297" s="14" t="s">
        <v>219</v>
      </c>
      <c r="L297" s="14" t="s">
        <v>220</v>
      </c>
      <c r="M297" s="8" t="str">
        <f t="shared" si="13"/>
        <v>2026-03</v>
      </c>
      <c r="N297" s="8" t="str">
        <f t="shared" si="14"/>
        <v>OK</v>
      </c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>
      <c r="A298" s="14" t="s">
        <v>404</v>
      </c>
      <c r="B298" s="26">
        <v>46106</v>
      </c>
      <c r="C298" s="14" t="s">
        <v>52</v>
      </c>
      <c r="D298" s="27" t="str">
        <f>IFERROR(VLOOKUP(C298,'Chart of Accounts'!$A$4:$F$30,2,FALSE),"")</f>
        <v>Bank</v>
      </c>
      <c r="E298" s="27" t="str">
        <f>IFERROR(VLOOKUP(C298,'Chart of Accounts'!$A$4:$F$30,4,FALSE),"")</f>
        <v>Cash</v>
      </c>
      <c r="F298" s="27" t="str">
        <f>IFERROR(VLOOKUP(C298,'Chart of Accounts'!$A$4:$F$30,5,FALSE),"")</f>
        <v>BS</v>
      </c>
      <c r="G298" s="15">
        <v>0</v>
      </c>
      <c r="H298" s="15">
        <v>195450.30546426249</v>
      </c>
      <c r="I298" s="10">
        <f t="shared" si="12"/>
        <v>-195450.30546426249</v>
      </c>
      <c r="J298" s="14" t="s">
        <v>405</v>
      </c>
      <c r="K298" s="14" t="s">
        <v>219</v>
      </c>
      <c r="L298" s="14" t="s">
        <v>220</v>
      </c>
      <c r="M298" s="8" t="str">
        <f t="shared" si="13"/>
        <v>2026-03</v>
      </c>
      <c r="N298" s="8" t="str">
        <f t="shared" si="14"/>
        <v>OK</v>
      </c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>
      <c r="A299" s="14" t="s">
        <v>404</v>
      </c>
      <c r="B299" s="26">
        <v>46106</v>
      </c>
      <c r="C299" s="14" t="s">
        <v>76</v>
      </c>
      <c r="D299" s="27" t="str">
        <f>IFERROR(VLOOKUP(C299,'Chart of Accounts'!$A$4:$F$30,2,FALSE),"")</f>
        <v>Payroll Liabilities</v>
      </c>
      <c r="E299" s="27" t="str">
        <f>IFERROR(VLOOKUP(C299,'Chart of Accounts'!$A$4:$F$30,4,FALSE),"")</f>
        <v>Payroll Liabilities</v>
      </c>
      <c r="F299" s="27" t="str">
        <f>IFERROR(VLOOKUP(C299,'Chart of Accounts'!$A$4:$F$30,5,FALSE),"")</f>
        <v>BS</v>
      </c>
      <c r="G299" s="15">
        <v>0</v>
      </c>
      <c r="H299" s="15">
        <v>13829.031046999704</v>
      </c>
      <c r="I299" s="10">
        <f t="shared" si="12"/>
        <v>-13829.031046999704</v>
      </c>
      <c r="J299" s="14" t="s">
        <v>405</v>
      </c>
      <c r="K299" s="14" t="s">
        <v>219</v>
      </c>
      <c r="L299" s="14" t="s">
        <v>220</v>
      </c>
      <c r="M299" s="8" t="str">
        <f t="shared" si="13"/>
        <v>2026-03</v>
      </c>
      <c r="N299" s="8" t="str">
        <f t="shared" si="14"/>
        <v>OK</v>
      </c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>
      <c r="A300" s="14" t="s">
        <v>406</v>
      </c>
      <c r="B300" s="26">
        <v>46109</v>
      </c>
      <c r="C300" s="14" t="s">
        <v>76</v>
      </c>
      <c r="D300" s="27" t="str">
        <f>IFERROR(VLOOKUP(C300,'Chart of Accounts'!$A$4:$F$30,2,FALSE),"")</f>
        <v>Payroll Liabilities</v>
      </c>
      <c r="E300" s="27" t="str">
        <f>IFERROR(VLOOKUP(C300,'Chart of Accounts'!$A$4:$F$30,4,FALSE),"")</f>
        <v>Payroll Liabilities</v>
      </c>
      <c r="F300" s="27" t="str">
        <f>IFERROR(VLOOKUP(C300,'Chart of Accounts'!$A$4:$F$30,5,FALSE),"")</f>
        <v>BS</v>
      </c>
      <c r="G300" s="15">
        <v>13829.031046999704</v>
      </c>
      <c r="H300" s="15">
        <v>0</v>
      </c>
      <c r="I300" s="10">
        <f t="shared" si="12"/>
        <v>13829.031046999704</v>
      </c>
      <c r="J300" s="14" t="s">
        <v>407</v>
      </c>
      <c r="K300" s="14" t="s">
        <v>223</v>
      </c>
      <c r="L300" s="14" t="s">
        <v>220</v>
      </c>
      <c r="M300" s="8" t="str">
        <f t="shared" si="13"/>
        <v>2026-03</v>
      </c>
      <c r="N300" s="8" t="str">
        <f t="shared" si="14"/>
        <v>OK</v>
      </c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>
      <c r="A301" s="14" t="s">
        <v>406</v>
      </c>
      <c r="B301" s="26">
        <v>46109</v>
      </c>
      <c r="C301" s="14" t="s">
        <v>52</v>
      </c>
      <c r="D301" s="27" t="str">
        <f>IFERROR(VLOOKUP(C301,'Chart of Accounts'!$A$4:$F$30,2,FALSE),"")</f>
        <v>Bank</v>
      </c>
      <c r="E301" s="27" t="str">
        <f>IFERROR(VLOOKUP(C301,'Chart of Accounts'!$A$4:$F$30,4,FALSE),"")</f>
        <v>Cash</v>
      </c>
      <c r="F301" s="27" t="str">
        <f>IFERROR(VLOOKUP(C301,'Chart of Accounts'!$A$4:$F$30,5,FALSE),"")</f>
        <v>BS</v>
      </c>
      <c r="G301" s="15">
        <v>0</v>
      </c>
      <c r="H301" s="15">
        <v>13829.031046999704</v>
      </c>
      <c r="I301" s="10">
        <f t="shared" si="12"/>
        <v>-13829.031046999704</v>
      </c>
      <c r="J301" s="14" t="s">
        <v>407</v>
      </c>
      <c r="K301" s="14" t="s">
        <v>223</v>
      </c>
      <c r="L301" s="14" t="s">
        <v>220</v>
      </c>
      <c r="M301" s="8" t="str">
        <f t="shared" si="13"/>
        <v>2026-03</v>
      </c>
      <c r="N301" s="8" t="str">
        <f t="shared" si="14"/>
        <v>OK</v>
      </c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>
      <c r="A302" s="14" t="s">
        <v>408</v>
      </c>
      <c r="B302" s="26">
        <v>46099</v>
      </c>
      <c r="C302" s="14" t="s">
        <v>100</v>
      </c>
      <c r="D302" s="27" t="str">
        <f>IFERROR(VLOOKUP(C302,'Chart of Accounts'!$A$4:$F$30,2,FALSE),"")</f>
        <v>Marketing</v>
      </c>
      <c r="E302" s="27" t="str">
        <f>IFERROR(VLOOKUP(C302,'Chart of Accounts'!$A$4:$F$30,4,FALSE),"")</f>
        <v>Marketing</v>
      </c>
      <c r="F302" s="27" t="str">
        <f>IFERROR(VLOOKUP(C302,'Chart of Accounts'!$A$4:$F$30,5,FALSE),"")</f>
        <v>PL</v>
      </c>
      <c r="G302" s="15">
        <v>61713.152351843913</v>
      </c>
      <c r="H302" s="15">
        <v>0</v>
      </c>
      <c r="I302" s="10">
        <f t="shared" si="12"/>
        <v>61713.152351843913</v>
      </c>
      <c r="J302" s="14" t="s">
        <v>409</v>
      </c>
      <c r="K302" s="14" t="s">
        <v>226</v>
      </c>
      <c r="L302" s="14" t="s">
        <v>190</v>
      </c>
      <c r="M302" s="8" t="str">
        <f t="shared" si="13"/>
        <v>2026-03</v>
      </c>
      <c r="N302" s="8" t="str">
        <f t="shared" si="14"/>
        <v>OK</v>
      </c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>
      <c r="A303" s="14" t="s">
        <v>408</v>
      </c>
      <c r="B303" s="26">
        <v>46099</v>
      </c>
      <c r="C303" s="14" t="s">
        <v>71</v>
      </c>
      <c r="D303" s="27" t="str">
        <f>IFERROR(VLOOKUP(C303,'Chart of Accounts'!$A$4:$F$30,2,FALSE),"")</f>
        <v>Trade Payables</v>
      </c>
      <c r="E303" s="27" t="str">
        <f>IFERROR(VLOOKUP(C303,'Chart of Accounts'!$A$4:$F$30,4,FALSE),"")</f>
        <v>Trade Payables</v>
      </c>
      <c r="F303" s="27" t="str">
        <f>IFERROR(VLOOKUP(C303,'Chart of Accounts'!$A$4:$F$30,5,FALSE),"")</f>
        <v>BS</v>
      </c>
      <c r="G303" s="15">
        <v>0</v>
      </c>
      <c r="H303" s="15">
        <v>61713.152351843913</v>
      </c>
      <c r="I303" s="10">
        <f t="shared" si="12"/>
        <v>-61713.152351843913</v>
      </c>
      <c r="J303" s="14" t="s">
        <v>409</v>
      </c>
      <c r="K303" s="14" t="s">
        <v>226</v>
      </c>
      <c r="L303" s="14" t="s">
        <v>190</v>
      </c>
      <c r="M303" s="8" t="str">
        <f t="shared" si="13"/>
        <v>2026-03</v>
      </c>
      <c r="N303" s="8" t="str">
        <f t="shared" si="14"/>
        <v>OK</v>
      </c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>
      <c r="A304" s="14" t="s">
        <v>410</v>
      </c>
      <c r="B304" s="26">
        <v>46082</v>
      </c>
      <c r="C304" s="14" t="s">
        <v>102</v>
      </c>
      <c r="D304" s="27" t="str">
        <f>IFERROR(VLOOKUP(C304,'Chart of Accounts'!$A$4:$F$30,2,FALSE),"")</f>
        <v>Rent</v>
      </c>
      <c r="E304" s="27" t="str">
        <f>IFERROR(VLOOKUP(C304,'Chart of Accounts'!$A$4:$F$30,4,FALSE),"")</f>
        <v>Rent</v>
      </c>
      <c r="F304" s="27" t="str">
        <f>IFERROR(VLOOKUP(C304,'Chart of Accounts'!$A$4:$F$30,5,FALSE),"")</f>
        <v>PL</v>
      </c>
      <c r="G304" s="15">
        <v>52000</v>
      </c>
      <c r="H304" s="15">
        <v>0</v>
      </c>
      <c r="I304" s="10">
        <f t="shared" si="12"/>
        <v>52000</v>
      </c>
      <c r="J304" s="14" t="s">
        <v>411</v>
      </c>
      <c r="K304" s="14" t="s">
        <v>229</v>
      </c>
      <c r="L304" s="14" t="s">
        <v>53</v>
      </c>
      <c r="M304" s="8" t="str">
        <f t="shared" si="13"/>
        <v>2026-03</v>
      </c>
      <c r="N304" s="8" t="str">
        <f t="shared" si="14"/>
        <v>OK</v>
      </c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>
      <c r="A305" s="14" t="s">
        <v>410</v>
      </c>
      <c r="B305" s="26">
        <v>46082</v>
      </c>
      <c r="C305" s="14" t="s">
        <v>52</v>
      </c>
      <c r="D305" s="27" t="str">
        <f>IFERROR(VLOOKUP(C305,'Chart of Accounts'!$A$4:$F$30,2,FALSE),"")</f>
        <v>Bank</v>
      </c>
      <c r="E305" s="27" t="str">
        <f>IFERROR(VLOOKUP(C305,'Chart of Accounts'!$A$4:$F$30,4,FALSE),"")</f>
        <v>Cash</v>
      </c>
      <c r="F305" s="27" t="str">
        <f>IFERROR(VLOOKUP(C305,'Chart of Accounts'!$A$4:$F$30,5,FALSE),"")</f>
        <v>BS</v>
      </c>
      <c r="G305" s="15">
        <v>0</v>
      </c>
      <c r="H305" s="15">
        <v>52000</v>
      </c>
      <c r="I305" s="10">
        <f t="shared" si="12"/>
        <v>-52000</v>
      </c>
      <c r="J305" s="14" t="s">
        <v>411</v>
      </c>
      <c r="K305" s="14" t="s">
        <v>229</v>
      </c>
      <c r="L305" s="14" t="s">
        <v>53</v>
      </c>
      <c r="M305" s="8" t="str">
        <f t="shared" si="13"/>
        <v>2026-03</v>
      </c>
      <c r="N305" s="8" t="str">
        <f t="shared" si="14"/>
        <v>OK</v>
      </c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>
      <c r="A306" s="14" t="s">
        <v>412</v>
      </c>
      <c r="B306" s="26">
        <v>46101</v>
      </c>
      <c r="C306" s="14" t="s">
        <v>104</v>
      </c>
      <c r="D306" s="27" t="str">
        <f>IFERROR(VLOOKUP(C306,'Chart of Accounts'!$A$4:$F$30,2,FALSE),"")</f>
        <v>Utilities</v>
      </c>
      <c r="E306" s="27" t="str">
        <f>IFERROR(VLOOKUP(C306,'Chart of Accounts'!$A$4:$F$30,4,FALSE),"")</f>
        <v>Utilities</v>
      </c>
      <c r="F306" s="27" t="str">
        <f>IFERROR(VLOOKUP(C306,'Chart of Accounts'!$A$4:$F$30,5,FALSE),"")</f>
        <v>PL</v>
      </c>
      <c r="G306" s="15">
        <v>20775.911650389207</v>
      </c>
      <c r="H306" s="15">
        <v>0</v>
      </c>
      <c r="I306" s="10">
        <f t="shared" si="12"/>
        <v>20775.911650389207</v>
      </c>
      <c r="J306" s="14" t="s">
        <v>413</v>
      </c>
      <c r="K306" s="14" t="s">
        <v>232</v>
      </c>
      <c r="L306" s="14" t="s">
        <v>190</v>
      </c>
      <c r="M306" s="8" t="str">
        <f t="shared" si="13"/>
        <v>2026-03</v>
      </c>
      <c r="N306" s="8" t="str">
        <f t="shared" si="14"/>
        <v>OK</v>
      </c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>
      <c r="A307" s="14" t="s">
        <v>412</v>
      </c>
      <c r="B307" s="26">
        <v>46101</v>
      </c>
      <c r="C307" s="14" t="s">
        <v>71</v>
      </c>
      <c r="D307" s="27" t="str">
        <f>IFERROR(VLOOKUP(C307,'Chart of Accounts'!$A$4:$F$30,2,FALSE),"")</f>
        <v>Trade Payables</v>
      </c>
      <c r="E307" s="27" t="str">
        <f>IFERROR(VLOOKUP(C307,'Chart of Accounts'!$A$4:$F$30,4,FALSE),"")</f>
        <v>Trade Payables</v>
      </c>
      <c r="F307" s="27" t="str">
        <f>IFERROR(VLOOKUP(C307,'Chart of Accounts'!$A$4:$F$30,5,FALSE),"")</f>
        <v>BS</v>
      </c>
      <c r="G307" s="15">
        <v>0</v>
      </c>
      <c r="H307" s="15">
        <v>20775.911650389207</v>
      </c>
      <c r="I307" s="10">
        <f t="shared" si="12"/>
        <v>-20775.911650389207</v>
      </c>
      <c r="J307" s="14" t="s">
        <v>413</v>
      </c>
      <c r="K307" s="14" t="s">
        <v>232</v>
      </c>
      <c r="L307" s="14" t="s">
        <v>190</v>
      </c>
      <c r="M307" s="8" t="str">
        <f t="shared" si="13"/>
        <v>2026-03</v>
      </c>
      <c r="N307" s="8" t="str">
        <f t="shared" si="14"/>
        <v>OK</v>
      </c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>
      <c r="A308" s="14" t="s">
        <v>414</v>
      </c>
      <c r="B308" s="26">
        <v>46097</v>
      </c>
      <c r="C308" s="14" t="s">
        <v>106</v>
      </c>
      <c r="D308" s="27" t="str">
        <f>IFERROR(VLOOKUP(C308,'Chart of Accounts'!$A$4:$F$30,2,FALSE),"")</f>
        <v>Professional Fees</v>
      </c>
      <c r="E308" s="27" t="str">
        <f>IFERROR(VLOOKUP(C308,'Chart of Accounts'!$A$4:$F$30,4,FALSE),"")</f>
        <v>Professional Fees</v>
      </c>
      <c r="F308" s="27" t="str">
        <f>IFERROR(VLOOKUP(C308,'Chart of Accounts'!$A$4:$F$30,5,FALSE),"")</f>
        <v>PL</v>
      </c>
      <c r="G308" s="15">
        <v>14928.637701228903</v>
      </c>
      <c r="H308" s="15">
        <v>0</v>
      </c>
      <c r="I308" s="10">
        <f t="shared" si="12"/>
        <v>14928.637701228903</v>
      </c>
      <c r="J308" s="14" t="s">
        <v>415</v>
      </c>
      <c r="K308" s="14" t="s">
        <v>235</v>
      </c>
      <c r="L308" s="14" t="s">
        <v>190</v>
      </c>
      <c r="M308" s="8" t="str">
        <f t="shared" si="13"/>
        <v>2026-03</v>
      </c>
      <c r="N308" s="8" t="str">
        <f t="shared" si="14"/>
        <v>OK</v>
      </c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>
      <c r="A309" s="14" t="s">
        <v>414</v>
      </c>
      <c r="B309" s="26">
        <v>46097</v>
      </c>
      <c r="C309" s="14" t="s">
        <v>71</v>
      </c>
      <c r="D309" s="27" t="str">
        <f>IFERROR(VLOOKUP(C309,'Chart of Accounts'!$A$4:$F$30,2,FALSE),"")</f>
        <v>Trade Payables</v>
      </c>
      <c r="E309" s="27" t="str">
        <f>IFERROR(VLOOKUP(C309,'Chart of Accounts'!$A$4:$F$30,4,FALSE),"")</f>
        <v>Trade Payables</v>
      </c>
      <c r="F309" s="27" t="str">
        <f>IFERROR(VLOOKUP(C309,'Chart of Accounts'!$A$4:$F$30,5,FALSE),"")</f>
        <v>BS</v>
      </c>
      <c r="G309" s="15">
        <v>0</v>
      </c>
      <c r="H309" s="15">
        <v>14928.637701228903</v>
      </c>
      <c r="I309" s="10">
        <f t="shared" si="12"/>
        <v>-14928.637701228903</v>
      </c>
      <c r="J309" s="14" t="s">
        <v>415</v>
      </c>
      <c r="K309" s="14" t="s">
        <v>235</v>
      </c>
      <c r="L309" s="14" t="s">
        <v>190</v>
      </c>
      <c r="M309" s="8" t="str">
        <f t="shared" si="13"/>
        <v>2026-03</v>
      </c>
      <c r="N309" s="8" t="str">
        <f t="shared" si="14"/>
        <v>OK</v>
      </c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>
      <c r="A310" s="14" t="s">
        <v>416</v>
      </c>
      <c r="B310" s="26">
        <v>46086</v>
      </c>
      <c r="C310" s="14" t="s">
        <v>110</v>
      </c>
      <c r="D310" s="27" t="str">
        <f>IFERROR(VLOOKUP(C310,'Chart of Accounts'!$A$4:$F$30,2,FALSE),"")</f>
        <v>Software &amp; IT</v>
      </c>
      <c r="E310" s="27" t="str">
        <f>IFERROR(VLOOKUP(C310,'Chart of Accounts'!$A$4:$F$30,4,FALSE),"")</f>
        <v>Software &amp; IT</v>
      </c>
      <c r="F310" s="27" t="str">
        <f>IFERROR(VLOOKUP(C310,'Chart of Accounts'!$A$4:$F$30,5,FALSE),"")</f>
        <v>PL</v>
      </c>
      <c r="G310" s="15">
        <v>22000</v>
      </c>
      <c r="H310" s="15">
        <v>0</v>
      </c>
      <c r="I310" s="10">
        <f t="shared" si="12"/>
        <v>22000</v>
      </c>
      <c r="J310" s="14" t="s">
        <v>417</v>
      </c>
      <c r="K310" s="14" t="s">
        <v>238</v>
      </c>
      <c r="L310" s="14" t="s">
        <v>53</v>
      </c>
      <c r="M310" s="8" t="str">
        <f t="shared" si="13"/>
        <v>2026-03</v>
      </c>
      <c r="N310" s="8" t="str">
        <f t="shared" si="14"/>
        <v>OK</v>
      </c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>
      <c r="A311" s="14" t="s">
        <v>416</v>
      </c>
      <c r="B311" s="26">
        <v>46086</v>
      </c>
      <c r="C311" s="14" t="s">
        <v>52</v>
      </c>
      <c r="D311" s="27" t="str">
        <f>IFERROR(VLOOKUP(C311,'Chart of Accounts'!$A$4:$F$30,2,FALSE),"")</f>
        <v>Bank</v>
      </c>
      <c r="E311" s="27" t="str">
        <f>IFERROR(VLOOKUP(C311,'Chart of Accounts'!$A$4:$F$30,4,FALSE),"")</f>
        <v>Cash</v>
      </c>
      <c r="F311" s="27" t="str">
        <f>IFERROR(VLOOKUP(C311,'Chart of Accounts'!$A$4:$F$30,5,FALSE),"")</f>
        <v>BS</v>
      </c>
      <c r="G311" s="15">
        <v>0</v>
      </c>
      <c r="H311" s="15">
        <v>22000</v>
      </c>
      <c r="I311" s="10">
        <f t="shared" si="12"/>
        <v>-22000</v>
      </c>
      <c r="J311" s="14" t="s">
        <v>417</v>
      </c>
      <c r="K311" s="14" t="s">
        <v>238</v>
      </c>
      <c r="L311" s="14" t="s">
        <v>53</v>
      </c>
      <c r="M311" s="8" t="str">
        <f t="shared" si="13"/>
        <v>2026-03</v>
      </c>
      <c r="N311" s="8" t="str">
        <f t="shared" si="14"/>
        <v>OK</v>
      </c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>
      <c r="A312" s="14" t="s">
        <v>418</v>
      </c>
      <c r="B312" s="26">
        <v>46103</v>
      </c>
      <c r="C312" s="14" t="s">
        <v>112</v>
      </c>
      <c r="D312" s="27" t="str">
        <f>IFERROR(VLOOKUP(C312,'Chart of Accounts'!$A$4:$F$30,2,FALSE),"")</f>
        <v>Travel &amp; Entertainment</v>
      </c>
      <c r="E312" s="27" t="str">
        <f>IFERROR(VLOOKUP(C312,'Chart of Accounts'!$A$4:$F$30,4,FALSE),"")</f>
        <v>Travel</v>
      </c>
      <c r="F312" s="27" t="str">
        <f>IFERROR(VLOOKUP(C312,'Chart of Accounts'!$A$4:$F$30,5,FALSE),"")</f>
        <v>PL</v>
      </c>
      <c r="G312" s="15">
        <v>8736.8240172953283</v>
      </c>
      <c r="H312" s="15">
        <v>0</v>
      </c>
      <c r="I312" s="10">
        <f t="shared" si="12"/>
        <v>8736.8240172953283</v>
      </c>
      <c r="J312" s="14" t="s">
        <v>419</v>
      </c>
      <c r="K312" s="14" t="s">
        <v>241</v>
      </c>
      <c r="L312" s="14" t="s">
        <v>53</v>
      </c>
      <c r="M312" s="8" t="str">
        <f t="shared" si="13"/>
        <v>2026-03</v>
      </c>
      <c r="N312" s="8" t="str">
        <f t="shared" si="14"/>
        <v>OK</v>
      </c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>
      <c r="A313" s="14" t="s">
        <v>418</v>
      </c>
      <c r="B313" s="26">
        <v>46103</v>
      </c>
      <c r="C313" s="14" t="s">
        <v>52</v>
      </c>
      <c r="D313" s="27" t="str">
        <f>IFERROR(VLOOKUP(C313,'Chart of Accounts'!$A$4:$F$30,2,FALSE),"")</f>
        <v>Bank</v>
      </c>
      <c r="E313" s="27" t="str">
        <f>IFERROR(VLOOKUP(C313,'Chart of Accounts'!$A$4:$F$30,4,FALSE),"")</f>
        <v>Cash</v>
      </c>
      <c r="F313" s="27" t="str">
        <f>IFERROR(VLOOKUP(C313,'Chart of Accounts'!$A$4:$F$30,5,FALSE),"")</f>
        <v>BS</v>
      </c>
      <c r="G313" s="15">
        <v>0</v>
      </c>
      <c r="H313" s="15">
        <v>8736.8240172953283</v>
      </c>
      <c r="I313" s="10">
        <f t="shared" si="12"/>
        <v>-8736.8240172953283</v>
      </c>
      <c r="J313" s="14" t="s">
        <v>419</v>
      </c>
      <c r="K313" s="14" t="s">
        <v>241</v>
      </c>
      <c r="L313" s="14" t="s">
        <v>53</v>
      </c>
      <c r="M313" s="8" t="str">
        <f t="shared" si="13"/>
        <v>2026-03</v>
      </c>
      <c r="N313" s="8" t="str">
        <f t="shared" si="14"/>
        <v>OK</v>
      </c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>
      <c r="A314" s="14" t="s">
        <v>420</v>
      </c>
      <c r="B314" s="26">
        <v>46108</v>
      </c>
      <c r="C314" s="14" t="s">
        <v>120</v>
      </c>
      <c r="D314" s="27" t="str">
        <f>IFERROR(VLOOKUP(C314,'Chart of Accounts'!$A$4:$F$30,2,FALSE),"")</f>
        <v>Interest Expense</v>
      </c>
      <c r="E314" s="27" t="str">
        <f>IFERROR(VLOOKUP(C314,'Chart of Accounts'!$A$4:$F$30,4,FALSE),"")</f>
        <v>Interest</v>
      </c>
      <c r="F314" s="27" t="str">
        <f>IFERROR(VLOOKUP(C314,'Chart of Accounts'!$A$4:$F$30,5,FALSE),"")</f>
        <v>PL</v>
      </c>
      <c r="G314" s="15">
        <v>5500</v>
      </c>
      <c r="H314" s="15">
        <v>0</v>
      </c>
      <c r="I314" s="10">
        <f t="shared" si="12"/>
        <v>5500</v>
      </c>
      <c r="J314" s="14" t="s">
        <v>421</v>
      </c>
      <c r="K314" s="14" t="s">
        <v>244</v>
      </c>
      <c r="L314" s="14" t="s">
        <v>53</v>
      </c>
      <c r="M314" s="8" t="str">
        <f t="shared" si="13"/>
        <v>2026-03</v>
      </c>
      <c r="N314" s="8" t="str">
        <f t="shared" si="14"/>
        <v>OK</v>
      </c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>
      <c r="A315" s="14" t="s">
        <v>420</v>
      </c>
      <c r="B315" s="26">
        <v>46108</v>
      </c>
      <c r="C315" s="14" t="s">
        <v>52</v>
      </c>
      <c r="D315" s="27" t="str">
        <f>IFERROR(VLOOKUP(C315,'Chart of Accounts'!$A$4:$F$30,2,FALSE),"")</f>
        <v>Bank</v>
      </c>
      <c r="E315" s="27" t="str">
        <f>IFERROR(VLOOKUP(C315,'Chart of Accounts'!$A$4:$F$30,4,FALSE),"")</f>
        <v>Cash</v>
      </c>
      <c r="F315" s="27" t="str">
        <f>IFERROR(VLOOKUP(C315,'Chart of Accounts'!$A$4:$F$30,5,FALSE),"")</f>
        <v>BS</v>
      </c>
      <c r="G315" s="15">
        <v>0</v>
      </c>
      <c r="H315" s="15">
        <v>5500</v>
      </c>
      <c r="I315" s="10">
        <f t="shared" si="12"/>
        <v>-5500</v>
      </c>
      <c r="J315" s="14" t="s">
        <v>421</v>
      </c>
      <c r="K315" s="14" t="s">
        <v>244</v>
      </c>
      <c r="L315" s="14" t="s">
        <v>53</v>
      </c>
      <c r="M315" s="8" t="str">
        <f t="shared" si="13"/>
        <v>2026-03</v>
      </c>
      <c r="N315" s="8" t="str">
        <f t="shared" si="14"/>
        <v>OK</v>
      </c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>
      <c r="A316" s="14" t="s">
        <v>422</v>
      </c>
      <c r="B316" s="26">
        <v>46109</v>
      </c>
      <c r="C316" s="14" t="s">
        <v>115</v>
      </c>
      <c r="D316" s="27" t="str">
        <f>IFERROR(VLOOKUP(C316,'Chart of Accounts'!$A$4:$F$30,2,FALSE),"")</f>
        <v>Depreciation</v>
      </c>
      <c r="E316" s="27" t="str">
        <f>IFERROR(VLOOKUP(C316,'Chart of Accounts'!$A$4:$F$30,4,FALSE),"")</f>
        <v>Depreciation</v>
      </c>
      <c r="F316" s="27" t="str">
        <f>IFERROR(VLOOKUP(C316,'Chart of Accounts'!$A$4:$F$30,5,FALSE),"")</f>
        <v>PL</v>
      </c>
      <c r="G316" s="15">
        <v>15000</v>
      </c>
      <c r="H316" s="15">
        <v>0</v>
      </c>
      <c r="I316" s="10">
        <f t="shared" si="12"/>
        <v>15000</v>
      </c>
      <c r="J316" s="14" t="s">
        <v>423</v>
      </c>
      <c r="K316" s="14" t="s">
        <v>247</v>
      </c>
      <c r="L316" s="14" t="s">
        <v>248</v>
      </c>
      <c r="M316" s="8" t="str">
        <f t="shared" si="13"/>
        <v>2026-03</v>
      </c>
      <c r="N316" s="8" t="str">
        <f t="shared" si="14"/>
        <v>OK</v>
      </c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>
      <c r="A317" s="14" t="s">
        <v>422</v>
      </c>
      <c r="B317" s="26">
        <v>46109</v>
      </c>
      <c r="C317" s="14" t="s">
        <v>69</v>
      </c>
      <c r="D317" s="27" t="str">
        <f>IFERROR(VLOOKUP(C317,'Chart of Accounts'!$A$4:$F$30,2,FALSE),"")</f>
        <v>Accumulated Depreciation</v>
      </c>
      <c r="E317" s="27" t="str">
        <f>IFERROR(VLOOKUP(C317,'Chart of Accounts'!$A$4:$F$30,4,FALSE),"")</f>
        <v>Accumulated Depreciation</v>
      </c>
      <c r="F317" s="27" t="str">
        <f>IFERROR(VLOOKUP(C317,'Chart of Accounts'!$A$4:$F$30,5,FALSE),"")</f>
        <v>BS</v>
      </c>
      <c r="G317" s="15">
        <v>0</v>
      </c>
      <c r="H317" s="15">
        <v>15000</v>
      </c>
      <c r="I317" s="10">
        <f t="shared" si="12"/>
        <v>-15000</v>
      </c>
      <c r="J317" s="14" t="s">
        <v>423</v>
      </c>
      <c r="K317" s="14" t="s">
        <v>247</v>
      </c>
      <c r="L317" s="14" t="s">
        <v>248</v>
      </c>
      <c r="M317" s="8" t="str">
        <f t="shared" si="13"/>
        <v>2026-03</v>
      </c>
      <c r="N317" s="8" t="str">
        <f t="shared" si="14"/>
        <v>OK</v>
      </c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>
      <c r="A318" s="14" t="s">
        <v>424</v>
      </c>
      <c r="B318" s="26">
        <v>46117</v>
      </c>
      <c r="C318" s="14" t="s">
        <v>58</v>
      </c>
      <c r="D318" s="27" t="str">
        <f>IFERROR(VLOOKUP(C318,'Chart of Accounts'!$A$4:$F$30,2,FALSE),"")</f>
        <v>Trade Receivables</v>
      </c>
      <c r="E318" s="27" t="str">
        <f>IFERROR(VLOOKUP(C318,'Chart of Accounts'!$A$4:$F$30,4,FALSE),"")</f>
        <v>Trade Receivables</v>
      </c>
      <c r="F318" s="27" t="str">
        <f>IFERROR(VLOOKUP(C318,'Chart of Accounts'!$A$4:$F$30,5,FALSE),"")</f>
        <v>BS</v>
      </c>
      <c r="G318" s="15">
        <v>58124.857498107689</v>
      </c>
      <c r="H318" s="15">
        <v>0</v>
      </c>
      <c r="I318" s="10">
        <f t="shared" si="12"/>
        <v>58124.857498107689</v>
      </c>
      <c r="J318" s="14" t="s">
        <v>425</v>
      </c>
      <c r="K318" s="14" t="s">
        <v>152</v>
      </c>
      <c r="L318" s="14" t="s">
        <v>140</v>
      </c>
      <c r="M318" s="8" t="str">
        <f t="shared" si="13"/>
        <v>2026-04</v>
      </c>
      <c r="N318" s="8" t="str">
        <f t="shared" si="14"/>
        <v>OK</v>
      </c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>
      <c r="A319" s="14" t="s">
        <v>424</v>
      </c>
      <c r="B319" s="26">
        <v>46117</v>
      </c>
      <c r="C319" s="14" t="s">
        <v>86</v>
      </c>
      <c r="D319" s="27" t="str">
        <f>IFERROR(VLOOKUP(C319,'Chart of Accounts'!$A$4:$F$30,2,FALSE),"")</f>
        <v>Product Sales</v>
      </c>
      <c r="E319" s="27" t="str">
        <f>IFERROR(VLOOKUP(C319,'Chart of Accounts'!$A$4:$F$30,4,FALSE),"")</f>
        <v>Revenue</v>
      </c>
      <c r="F319" s="27" t="str">
        <f>IFERROR(VLOOKUP(C319,'Chart of Accounts'!$A$4:$F$30,5,FALSE),"")</f>
        <v>PL</v>
      </c>
      <c r="G319" s="15">
        <v>0</v>
      </c>
      <c r="H319" s="15">
        <v>58124.857498107689</v>
      </c>
      <c r="I319" s="10">
        <f t="shared" si="12"/>
        <v>-58124.857498107689</v>
      </c>
      <c r="J319" s="14" t="s">
        <v>425</v>
      </c>
      <c r="K319" s="14" t="s">
        <v>152</v>
      </c>
      <c r="L319" s="14" t="s">
        <v>140</v>
      </c>
      <c r="M319" s="8" t="str">
        <f t="shared" si="13"/>
        <v>2026-04</v>
      </c>
      <c r="N319" s="8" t="str">
        <f t="shared" si="14"/>
        <v>OK</v>
      </c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>
      <c r="A320" s="14" t="s">
        <v>424</v>
      </c>
      <c r="B320" s="26">
        <v>46117</v>
      </c>
      <c r="C320" s="14" t="s">
        <v>90</v>
      </c>
      <c r="D320" s="27" t="str">
        <f>IFERROR(VLOOKUP(C320,'Chart of Accounts'!$A$4:$F$30,2,FALSE),"")</f>
        <v>Cost of Goods Sold</v>
      </c>
      <c r="E320" s="27" t="str">
        <f>IFERROR(VLOOKUP(C320,'Chart of Accounts'!$A$4:$F$30,4,FALSE),"")</f>
        <v>COGS</v>
      </c>
      <c r="F320" s="27" t="str">
        <f>IFERROR(VLOOKUP(C320,'Chart of Accounts'!$A$4:$F$30,5,FALSE),"")</f>
        <v>PL</v>
      </c>
      <c r="G320" s="15">
        <v>31968.671623959232</v>
      </c>
      <c r="H320" s="15">
        <v>0</v>
      </c>
      <c r="I320" s="10">
        <f t="shared" si="12"/>
        <v>31968.671623959232</v>
      </c>
      <c r="J320" s="14" t="s">
        <v>425</v>
      </c>
      <c r="K320" s="14" t="s">
        <v>152</v>
      </c>
      <c r="L320" s="14" t="s">
        <v>140</v>
      </c>
      <c r="M320" s="8" t="str">
        <f t="shared" si="13"/>
        <v>2026-04</v>
      </c>
      <c r="N320" s="8" t="str">
        <f t="shared" si="14"/>
        <v>OK</v>
      </c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>
      <c r="A321" s="14" t="s">
        <v>424</v>
      </c>
      <c r="B321" s="26">
        <v>46117</v>
      </c>
      <c r="C321" s="14" t="s">
        <v>63</v>
      </c>
      <c r="D321" s="27" t="str">
        <f>IFERROR(VLOOKUP(C321,'Chart of Accounts'!$A$4:$F$30,2,FALSE),"")</f>
        <v>Inventory</v>
      </c>
      <c r="E321" s="27" t="str">
        <f>IFERROR(VLOOKUP(C321,'Chart of Accounts'!$A$4:$F$30,4,FALSE),"")</f>
        <v>Inventory</v>
      </c>
      <c r="F321" s="27" t="str">
        <f>IFERROR(VLOOKUP(C321,'Chart of Accounts'!$A$4:$F$30,5,FALSE),"")</f>
        <v>BS</v>
      </c>
      <c r="G321" s="15">
        <v>0</v>
      </c>
      <c r="H321" s="15">
        <v>31968.671623959232</v>
      </c>
      <c r="I321" s="10">
        <f t="shared" si="12"/>
        <v>-31968.671623959232</v>
      </c>
      <c r="J321" s="14" t="s">
        <v>425</v>
      </c>
      <c r="K321" s="14" t="s">
        <v>152</v>
      </c>
      <c r="L321" s="14" t="s">
        <v>140</v>
      </c>
      <c r="M321" s="8" t="str">
        <f t="shared" si="13"/>
        <v>2026-04</v>
      </c>
      <c r="N321" s="8" t="str">
        <f t="shared" si="14"/>
        <v>OK</v>
      </c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>
      <c r="A322" s="14" t="s">
        <v>426</v>
      </c>
      <c r="B322" s="26">
        <v>46114</v>
      </c>
      <c r="C322" s="14" t="s">
        <v>58</v>
      </c>
      <c r="D322" s="27" t="str">
        <f>IFERROR(VLOOKUP(C322,'Chart of Accounts'!$A$4:$F$30,2,FALSE),"")</f>
        <v>Trade Receivables</v>
      </c>
      <c r="E322" s="27" t="str">
        <f>IFERROR(VLOOKUP(C322,'Chart of Accounts'!$A$4:$F$30,4,FALSE),"")</f>
        <v>Trade Receivables</v>
      </c>
      <c r="F322" s="27" t="str">
        <f>IFERROR(VLOOKUP(C322,'Chart of Accounts'!$A$4:$F$30,5,FALSE),"")</f>
        <v>BS</v>
      </c>
      <c r="G322" s="15">
        <v>57415.211460844883</v>
      </c>
      <c r="H322" s="15">
        <v>0</v>
      </c>
      <c r="I322" s="10">
        <f t="shared" si="12"/>
        <v>57415.211460844883</v>
      </c>
      <c r="J322" s="14" t="s">
        <v>427</v>
      </c>
      <c r="K322" s="14" t="s">
        <v>428</v>
      </c>
      <c r="L322" s="14" t="s">
        <v>140</v>
      </c>
      <c r="M322" s="8" t="str">
        <f t="shared" si="13"/>
        <v>2026-04</v>
      </c>
      <c r="N322" s="8" t="str">
        <f t="shared" si="14"/>
        <v>OK</v>
      </c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>
      <c r="A323" s="14" t="s">
        <v>426</v>
      </c>
      <c r="B323" s="26">
        <v>46114</v>
      </c>
      <c r="C323" s="14" t="s">
        <v>86</v>
      </c>
      <c r="D323" s="27" t="str">
        <f>IFERROR(VLOOKUP(C323,'Chart of Accounts'!$A$4:$F$30,2,FALSE),"")</f>
        <v>Product Sales</v>
      </c>
      <c r="E323" s="27" t="str">
        <f>IFERROR(VLOOKUP(C323,'Chart of Accounts'!$A$4:$F$30,4,FALSE),"")</f>
        <v>Revenue</v>
      </c>
      <c r="F323" s="27" t="str">
        <f>IFERROR(VLOOKUP(C323,'Chart of Accounts'!$A$4:$F$30,5,FALSE),"")</f>
        <v>PL</v>
      </c>
      <c r="G323" s="15">
        <v>0</v>
      </c>
      <c r="H323" s="15">
        <v>57415.211460844883</v>
      </c>
      <c r="I323" s="10">
        <f t="shared" si="12"/>
        <v>-57415.211460844883</v>
      </c>
      <c r="J323" s="14" t="s">
        <v>427</v>
      </c>
      <c r="K323" s="14" t="s">
        <v>428</v>
      </c>
      <c r="L323" s="14" t="s">
        <v>140</v>
      </c>
      <c r="M323" s="8" t="str">
        <f t="shared" si="13"/>
        <v>2026-04</v>
      </c>
      <c r="N323" s="8" t="str">
        <f t="shared" si="14"/>
        <v>OK</v>
      </c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>
      <c r="A324" s="14" t="s">
        <v>426</v>
      </c>
      <c r="B324" s="26">
        <v>46114</v>
      </c>
      <c r="C324" s="14" t="s">
        <v>90</v>
      </c>
      <c r="D324" s="27" t="str">
        <f>IFERROR(VLOOKUP(C324,'Chart of Accounts'!$A$4:$F$30,2,FALSE),"")</f>
        <v>Cost of Goods Sold</v>
      </c>
      <c r="E324" s="27" t="str">
        <f>IFERROR(VLOOKUP(C324,'Chart of Accounts'!$A$4:$F$30,4,FALSE),"")</f>
        <v>COGS</v>
      </c>
      <c r="F324" s="27" t="str">
        <f>IFERROR(VLOOKUP(C324,'Chart of Accounts'!$A$4:$F$30,5,FALSE),"")</f>
        <v>PL</v>
      </c>
      <c r="G324" s="15">
        <v>31578.366303464689</v>
      </c>
      <c r="H324" s="15">
        <v>0</v>
      </c>
      <c r="I324" s="10">
        <f t="shared" ref="I324:I387" si="15">G324-H324</f>
        <v>31578.366303464689</v>
      </c>
      <c r="J324" s="14" t="s">
        <v>427</v>
      </c>
      <c r="K324" s="14" t="s">
        <v>428</v>
      </c>
      <c r="L324" s="14" t="s">
        <v>140</v>
      </c>
      <c r="M324" s="8" t="str">
        <f t="shared" ref="M324:M387" si="16">TEXT(B324,"yyyy-mm")</f>
        <v>2026-04</v>
      </c>
      <c r="N324" s="8" t="str">
        <f t="shared" ref="N324:N387" si="17">"OK"</f>
        <v>OK</v>
      </c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>
      <c r="A325" s="14" t="s">
        <v>426</v>
      </c>
      <c r="B325" s="26">
        <v>46114</v>
      </c>
      <c r="C325" s="14" t="s">
        <v>63</v>
      </c>
      <c r="D325" s="27" t="str">
        <f>IFERROR(VLOOKUP(C325,'Chart of Accounts'!$A$4:$F$30,2,FALSE),"")</f>
        <v>Inventory</v>
      </c>
      <c r="E325" s="27" t="str">
        <f>IFERROR(VLOOKUP(C325,'Chart of Accounts'!$A$4:$F$30,4,FALSE),"")</f>
        <v>Inventory</v>
      </c>
      <c r="F325" s="27" t="str">
        <f>IFERROR(VLOOKUP(C325,'Chart of Accounts'!$A$4:$F$30,5,FALSE),"")</f>
        <v>BS</v>
      </c>
      <c r="G325" s="15">
        <v>0</v>
      </c>
      <c r="H325" s="15">
        <v>31578.366303464689</v>
      </c>
      <c r="I325" s="10">
        <f t="shared" si="15"/>
        <v>-31578.366303464689</v>
      </c>
      <c r="J325" s="14" t="s">
        <v>427</v>
      </c>
      <c r="K325" s="14" t="s">
        <v>428</v>
      </c>
      <c r="L325" s="14" t="s">
        <v>140</v>
      </c>
      <c r="M325" s="8" t="str">
        <f t="shared" si="16"/>
        <v>2026-04</v>
      </c>
      <c r="N325" s="8" t="str">
        <f t="shared" si="17"/>
        <v>OK</v>
      </c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>
      <c r="A326" s="14" t="s">
        <v>429</v>
      </c>
      <c r="B326" s="26">
        <v>46124</v>
      </c>
      <c r="C326" s="14" t="s">
        <v>58</v>
      </c>
      <c r="D326" s="27" t="str">
        <f>IFERROR(VLOOKUP(C326,'Chart of Accounts'!$A$4:$F$30,2,FALSE),"")</f>
        <v>Trade Receivables</v>
      </c>
      <c r="E326" s="27" t="str">
        <f>IFERROR(VLOOKUP(C326,'Chart of Accounts'!$A$4:$F$30,4,FALSE),"")</f>
        <v>Trade Receivables</v>
      </c>
      <c r="F326" s="27" t="str">
        <f>IFERROR(VLOOKUP(C326,'Chart of Accounts'!$A$4:$F$30,5,FALSE),"")</f>
        <v>BS</v>
      </c>
      <c r="G326" s="15">
        <v>83128.742012758361</v>
      </c>
      <c r="H326" s="15">
        <v>0</v>
      </c>
      <c r="I326" s="10">
        <f t="shared" si="15"/>
        <v>83128.742012758361</v>
      </c>
      <c r="J326" s="14" t="s">
        <v>430</v>
      </c>
      <c r="K326" s="14" t="s">
        <v>277</v>
      </c>
      <c r="L326" s="14" t="s">
        <v>140</v>
      </c>
      <c r="M326" s="8" t="str">
        <f t="shared" si="16"/>
        <v>2026-04</v>
      </c>
      <c r="N326" s="8" t="str">
        <f t="shared" si="17"/>
        <v>OK</v>
      </c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>
      <c r="A327" s="14" t="s">
        <v>429</v>
      </c>
      <c r="B327" s="26">
        <v>46124</v>
      </c>
      <c r="C327" s="14" t="s">
        <v>86</v>
      </c>
      <c r="D327" s="27" t="str">
        <f>IFERROR(VLOOKUP(C327,'Chart of Accounts'!$A$4:$F$30,2,FALSE),"")</f>
        <v>Product Sales</v>
      </c>
      <c r="E327" s="27" t="str">
        <f>IFERROR(VLOOKUP(C327,'Chart of Accounts'!$A$4:$F$30,4,FALSE),"")</f>
        <v>Revenue</v>
      </c>
      <c r="F327" s="27" t="str">
        <f>IFERROR(VLOOKUP(C327,'Chart of Accounts'!$A$4:$F$30,5,FALSE),"")</f>
        <v>PL</v>
      </c>
      <c r="G327" s="15">
        <v>0</v>
      </c>
      <c r="H327" s="15">
        <v>83128.742012758361</v>
      </c>
      <c r="I327" s="10">
        <f t="shared" si="15"/>
        <v>-83128.742012758361</v>
      </c>
      <c r="J327" s="14" t="s">
        <v>430</v>
      </c>
      <c r="K327" s="14" t="s">
        <v>277</v>
      </c>
      <c r="L327" s="14" t="s">
        <v>140</v>
      </c>
      <c r="M327" s="8" t="str">
        <f t="shared" si="16"/>
        <v>2026-04</v>
      </c>
      <c r="N327" s="8" t="str">
        <f t="shared" si="17"/>
        <v>OK</v>
      </c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>
      <c r="A328" s="14" t="s">
        <v>429</v>
      </c>
      <c r="B328" s="26">
        <v>46124</v>
      </c>
      <c r="C328" s="14" t="s">
        <v>90</v>
      </c>
      <c r="D328" s="27" t="str">
        <f>IFERROR(VLOOKUP(C328,'Chart of Accounts'!$A$4:$F$30,2,FALSE),"")</f>
        <v>Cost of Goods Sold</v>
      </c>
      <c r="E328" s="27" t="str">
        <f>IFERROR(VLOOKUP(C328,'Chart of Accounts'!$A$4:$F$30,4,FALSE),"")</f>
        <v>COGS</v>
      </c>
      <c r="F328" s="27" t="str">
        <f>IFERROR(VLOOKUP(C328,'Chart of Accounts'!$A$4:$F$30,5,FALSE),"")</f>
        <v>PL</v>
      </c>
      <c r="G328" s="15">
        <v>45720.808107017103</v>
      </c>
      <c r="H328" s="15">
        <v>0</v>
      </c>
      <c r="I328" s="10">
        <f t="shared" si="15"/>
        <v>45720.808107017103</v>
      </c>
      <c r="J328" s="14" t="s">
        <v>430</v>
      </c>
      <c r="K328" s="14" t="s">
        <v>277</v>
      </c>
      <c r="L328" s="14" t="s">
        <v>140</v>
      </c>
      <c r="M328" s="8" t="str">
        <f t="shared" si="16"/>
        <v>2026-04</v>
      </c>
      <c r="N328" s="8" t="str">
        <f t="shared" si="17"/>
        <v>OK</v>
      </c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>
      <c r="A329" s="14" t="s">
        <v>429</v>
      </c>
      <c r="B329" s="26">
        <v>46124</v>
      </c>
      <c r="C329" s="14" t="s">
        <v>63</v>
      </c>
      <c r="D329" s="27" t="str">
        <f>IFERROR(VLOOKUP(C329,'Chart of Accounts'!$A$4:$F$30,2,FALSE),"")</f>
        <v>Inventory</v>
      </c>
      <c r="E329" s="27" t="str">
        <f>IFERROR(VLOOKUP(C329,'Chart of Accounts'!$A$4:$F$30,4,FALSE),"")</f>
        <v>Inventory</v>
      </c>
      <c r="F329" s="27" t="str">
        <f>IFERROR(VLOOKUP(C329,'Chart of Accounts'!$A$4:$F$30,5,FALSE),"")</f>
        <v>BS</v>
      </c>
      <c r="G329" s="15">
        <v>0</v>
      </c>
      <c r="H329" s="15">
        <v>45720.808107017103</v>
      </c>
      <c r="I329" s="10">
        <f t="shared" si="15"/>
        <v>-45720.808107017103</v>
      </c>
      <c r="J329" s="14" t="s">
        <v>430</v>
      </c>
      <c r="K329" s="14" t="s">
        <v>277</v>
      </c>
      <c r="L329" s="14" t="s">
        <v>140</v>
      </c>
      <c r="M329" s="8" t="str">
        <f t="shared" si="16"/>
        <v>2026-04</v>
      </c>
      <c r="N329" s="8" t="str">
        <f t="shared" si="17"/>
        <v>OK</v>
      </c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>
      <c r="A330" s="14" t="s">
        <v>431</v>
      </c>
      <c r="B330" s="26">
        <v>46115</v>
      </c>
      <c r="C330" s="14" t="s">
        <v>58</v>
      </c>
      <c r="D330" s="27" t="str">
        <f>IFERROR(VLOOKUP(C330,'Chart of Accounts'!$A$4:$F$30,2,FALSE),"")</f>
        <v>Trade Receivables</v>
      </c>
      <c r="E330" s="27" t="str">
        <f>IFERROR(VLOOKUP(C330,'Chart of Accounts'!$A$4:$F$30,4,FALSE),"")</f>
        <v>Trade Receivables</v>
      </c>
      <c r="F330" s="27" t="str">
        <f>IFERROR(VLOOKUP(C330,'Chart of Accounts'!$A$4:$F$30,5,FALSE),"")</f>
        <v>BS</v>
      </c>
      <c r="G330" s="15">
        <v>92079.982552820235</v>
      </c>
      <c r="H330" s="15">
        <v>0</v>
      </c>
      <c r="I330" s="10">
        <f t="shared" si="15"/>
        <v>92079.982552820235</v>
      </c>
      <c r="J330" s="14" t="s">
        <v>432</v>
      </c>
      <c r="K330" s="14" t="s">
        <v>161</v>
      </c>
      <c r="L330" s="14" t="s">
        <v>140</v>
      </c>
      <c r="M330" s="8" t="str">
        <f t="shared" si="16"/>
        <v>2026-04</v>
      </c>
      <c r="N330" s="8" t="str">
        <f t="shared" si="17"/>
        <v>OK</v>
      </c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>
      <c r="A331" s="14" t="s">
        <v>431</v>
      </c>
      <c r="B331" s="26">
        <v>46115</v>
      </c>
      <c r="C331" s="14" t="s">
        <v>86</v>
      </c>
      <c r="D331" s="27" t="str">
        <f>IFERROR(VLOOKUP(C331,'Chart of Accounts'!$A$4:$F$30,2,FALSE),"")</f>
        <v>Product Sales</v>
      </c>
      <c r="E331" s="27" t="str">
        <f>IFERROR(VLOOKUP(C331,'Chart of Accounts'!$A$4:$F$30,4,FALSE),"")</f>
        <v>Revenue</v>
      </c>
      <c r="F331" s="27" t="str">
        <f>IFERROR(VLOOKUP(C331,'Chart of Accounts'!$A$4:$F$30,5,FALSE),"")</f>
        <v>PL</v>
      </c>
      <c r="G331" s="15">
        <v>0</v>
      </c>
      <c r="H331" s="15">
        <v>92079.982552820235</v>
      </c>
      <c r="I331" s="10">
        <f t="shared" si="15"/>
        <v>-92079.982552820235</v>
      </c>
      <c r="J331" s="14" t="s">
        <v>432</v>
      </c>
      <c r="K331" s="14" t="s">
        <v>161</v>
      </c>
      <c r="L331" s="14" t="s">
        <v>140</v>
      </c>
      <c r="M331" s="8" t="str">
        <f t="shared" si="16"/>
        <v>2026-04</v>
      </c>
      <c r="N331" s="8" t="str">
        <f t="shared" si="17"/>
        <v>OK</v>
      </c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>
      <c r="A332" s="14" t="s">
        <v>431</v>
      </c>
      <c r="B332" s="26">
        <v>46115</v>
      </c>
      <c r="C332" s="14" t="s">
        <v>90</v>
      </c>
      <c r="D332" s="27" t="str">
        <f>IFERROR(VLOOKUP(C332,'Chart of Accounts'!$A$4:$F$30,2,FALSE),"")</f>
        <v>Cost of Goods Sold</v>
      </c>
      <c r="E332" s="27" t="str">
        <f>IFERROR(VLOOKUP(C332,'Chart of Accounts'!$A$4:$F$30,4,FALSE),"")</f>
        <v>COGS</v>
      </c>
      <c r="F332" s="27" t="str">
        <f>IFERROR(VLOOKUP(C332,'Chart of Accounts'!$A$4:$F$30,5,FALSE),"")</f>
        <v>PL</v>
      </c>
      <c r="G332" s="15">
        <v>50643.990404051132</v>
      </c>
      <c r="H332" s="15">
        <v>0</v>
      </c>
      <c r="I332" s="10">
        <f t="shared" si="15"/>
        <v>50643.990404051132</v>
      </c>
      <c r="J332" s="14" t="s">
        <v>432</v>
      </c>
      <c r="K332" s="14" t="s">
        <v>161</v>
      </c>
      <c r="L332" s="14" t="s">
        <v>140</v>
      </c>
      <c r="M332" s="8" t="str">
        <f t="shared" si="16"/>
        <v>2026-04</v>
      </c>
      <c r="N332" s="8" t="str">
        <f t="shared" si="17"/>
        <v>OK</v>
      </c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>
      <c r="A333" s="14" t="s">
        <v>431</v>
      </c>
      <c r="B333" s="26">
        <v>46115</v>
      </c>
      <c r="C333" s="14" t="s">
        <v>63</v>
      </c>
      <c r="D333" s="27" t="str">
        <f>IFERROR(VLOOKUP(C333,'Chart of Accounts'!$A$4:$F$30,2,FALSE),"")</f>
        <v>Inventory</v>
      </c>
      <c r="E333" s="27" t="str">
        <f>IFERROR(VLOOKUP(C333,'Chart of Accounts'!$A$4:$F$30,4,FALSE),"")</f>
        <v>Inventory</v>
      </c>
      <c r="F333" s="27" t="str">
        <f>IFERROR(VLOOKUP(C333,'Chart of Accounts'!$A$4:$F$30,5,FALSE),"")</f>
        <v>BS</v>
      </c>
      <c r="G333" s="15">
        <v>0</v>
      </c>
      <c r="H333" s="15">
        <v>50643.990404051132</v>
      </c>
      <c r="I333" s="10">
        <f t="shared" si="15"/>
        <v>-50643.990404051132</v>
      </c>
      <c r="J333" s="14" t="s">
        <v>432</v>
      </c>
      <c r="K333" s="14" t="s">
        <v>161</v>
      </c>
      <c r="L333" s="14" t="s">
        <v>140</v>
      </c>
      <c r="M333" s="8" t="str">
        <f t="shared" si="16"/>
        <v>2026-04</v>
      </c>
      <c r="N333" s="8" t="str">
        <f t="shared" si="17"/>
        <v>OK</v>
      </c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>
      <c r="A334" s="14" t="s">
        <v>433</v>
      </c>
      <c r="B334" s="26">
        <v>46115</v>
      </c>
      <c r="C334" s="14" t="s">
        <v>58</v>
      </c>
      <c r="D334" s="27" t="str">
        <f>IFERROR(VLOOKUP(C334,'Chart of Accounts'!$A$4:$F$30,2,FALSE),"")</f>
        <v>Trade Receivables</v>
      </c>
      <c r="E334" s="27" t="str">
        <f>IFERROR(VLOOKUP(C334,'Chart of Accounts'!$A$4:$F$30,4,FALSE),"")</f>
        <v>Trade Receivables</v>
      </c>
      <c r="F334" s="27" t="str">
        <f>IFERROR(VLOOKUP(C334,'Chart of Accounts'!$A$4:$F$30,5,FALSE),"")</f>
        <v>BS</v>
      </c>
      <c r="G334" s="15">
        <v>47814.162252439142</v>
      </c>
      <c r="H334" s="15">
        <v>0</v>
      </c>
      <c r="I334" s="10">
        <f t="shared" si="15"/>
        <v>47814.162252439142</v>
      </c>
      <c r="J334" s="14" t="s">
        <v>434</v>
      </c>
      <c r="K334" s="14" t="s">
        <v>256</v>
      </c>
      <c r="L334" s="14" t="s">
        <v>140</v>
      </c>
      <c r="M334" s="8" t="str">
        <f t="shared" si="16"/>
        <v>2026-04</v>
      </c>
      <c r="N334" s="8" t="str">
        <f t="shared" si="17"/>
        <v>OK</v>
      </c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>
      <c r="A335" s="14" t="s">
        <v>433</v>
      </c>
      <c r="B335" s="26">
        <v>46115</v>
      </c>
      <c r="C335" s="14" t="s">
        <v>86</v>
      </c>
      <c r="D335" s="27" t="str">
        <f>IFERROR(VLOOKUP(C335,'Chart of Accounts'!$A$4:$F$30,2,FALSE),"")</f>
        <v>Product Sales</v>
      </c>
      <c r="E335" s="27" t="str">
        <f>IFERROR(VLOOKUP(C335,'Chart of Accounts'!$A$4:$F$30,4,FALSE),"")</f>
        <v>Revenue</v>
      </c>
      <c r="F335" s="27" t="str">
        <f>IFERROR(VLOOKUP(C335,'Chart of Accounts'!$A$4:$F$30,5,FALSE),"")</f>
        <v>PL</v>
      </c>
      <c r="G335" s="15">
        <v>0</v>
      </c>
      <c r="H335" s="15">
        <v>47814.162252439142</v>
      </c>
      <c r="I335" s="10">
        <f t="shared" si="15"/>
        <v>-47814.162252439142</v>
      </c>
      <c r="J335" s="14" t="s">
        <v>434</v>
      </c>
      <c r="K335" s="14" t="s">
        <v>256</v>
      </c>
      <c r="L335" s="14" t="s">
        <v>140</v>
      </c>
      <c r="M335" s="8" t="str">
        <f t="shared" si="16"/>
        <v>2026-04</v>
      </c>
      <c r="N335" s="8" t="str">
        <f t="shared" si="17"/>
        <v>OK</v>
      </c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>
      <c r="A336" s="14" t="s">
        <v>433</v>
      </c>
      <c r="B336" s="26">
        <v>46115</v>
      </c>
      <c r="C336" s="14" t="s">
        <v>90</v>
      </c>
      <c r="D336" s="27" t="str">
        <f>IFERROR(VLOOKUP(C336,'Chart of Accounts'!$A$4:$F$30,2,FALSE),"")</f>
        <v>Cost of Goods Sold</v>
      </c>
      <c r="E336" s="27" t="str">
        <f>IFERROR(VLOOKUP(C336,'Chart of Accounts'!$A$4:$F$30,4,FALSE),"")</f>
        <v>COGS</v>
      </c>
      <c r="F336" s="27" t="str">
        <f>IFERROR(VLOOKUP(C336,'Chart of Accounts'!$A$4:$F$30,5,FALSE),"")</f>
        <v>PL</v>
      </c>
      <c r="G336" s="15">
        <v>26297.789238841535</v>
      </c>
      <c r="H336" s="15">
        <v>0</v>
      </c>
      <c r="I336" s="10">
        <f t="shared" si="15"/>
        <v>26297.789238841535</v>
      </c>
      <c r="J336" s="14" t="s">
        <v>434</v>
      </c>
      <c r="K336" s="14" t="s">
        <v>256</v>
      </c>
      <c r="L336" s="14" t="s">
        <v>140</v>
      </c>
      <c r="M336" s="8" t="str">
        <f t="shared" si="16"/>
        <v>2026-04</v>
      </c>
      <c r="N336" s="8" t="str">
        <f t="shared" si="17"/>
        <v>OK</v>
      </c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>
      <c r="A337" s="14" t="s">
        <v>433</v>
      </c>
      <c r="B337" s="26">
        <v>46115</v>
      </c>
      <c r="C337" s="14" t="s">
        <v>63</v>
      </c>
      <c r="D337" s="27" t="str">
        <f>IFERROR(VLOOKUP(C337,'Chart of Accounts'!$A$4:$F$30,2,FALSE),"")</f>
        <v>Inventory</v>
      </c>
      <c r="E337" s="27" t="str">
        <f>IFERROR(VLOOKUP(C337,'Chart of Accounts'!$A$4:$F$30,4,FALSE),"")</f>
        <v>Inventory</v>
      </c>
      <c r="F337" s="27" t="str">
        <f>IFERROR(VLOOKUP(C337,'Chart of Accounts'!$A$4:$F$30,5,FALSE),"")</f>
        <v>BS</v>
      </c>
      <c r="G337" s="15">
        <v>0</v>
      </c>
      <c r="H337" s="15">
        <v>26297.789238841535</v>
      </c>
      <c r="I337" s="10">
        <f t="shared" si="15"/>
        <v>-26297.789238841535</v>
      </c>
      <c r="J337" s="14" t="s">
        <v>434</v>
      </c>
      <c r="K337" s="14" t="s">
        <v>256</v>
      </c>
      <c r="L337" s="14" t="s">
        <v>140</v>
      </c>
      <c r="M337" s="8" t="str">
        <f t="shared" si="16"/>
        <v>2026-04</v>
      </c>
      <c r="N337" s="8" t="str">
        <f t="shared" si="17"/>
        <v>OK</v>
      </c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>
      <c r="A338" s="14" t="s">
        <v>435</v>
      </c>
      <c r="B338" s="26">
        <v>46127</v>
      </c>
      <c r="C338" s="14" t="s">
        <v>58</v>
      </c>
      <c r="D338" s="27" t="str">
        <f>IFERROR(VLOOKUP(C338,'Chart of Accounts'!$A$4:$F$30,2,FALSE),"")</f>
        <v>Trade Receivables</v>
      </c>
      <c r="E338" s="27" t="str">
        <f>IFERROR(VLOOKUP(C338,'Chart of Accounts'!$A$4:$F$30,4,FALSE),"")</f>
        <v>Trade Receivables</v>
      </c>
      <c r="F338" s="27" t="str">
        <f>IFERROR(VLOOKUP(C338,'Chart of Accounts'!$A$4:$F$30,5,FALSE),"")</f>
        <v>BS</v>
      </c>
      <c r="G338" s="15">
        <v>95778.06111837877</v>
      </c>
      <c r="H338" s="15">
        <v>0</v>
      </c>
      <c r="I338" s="10">
        <f t="shared" si="15"/>
        <v>95778.06111837877</v>
      </c>
      <c r="J338" s="14" t="s">
        <v>436</v>
      </c>
      <c r="K338" s="14" t="s">
        <v>139</v>
      </c>
      <c r="L338" s="14" t="s">
        <v>140</v>
      </c>
      <c r="M338" s="8" t="str">
        <f t="shared" si="16"/>
        <v>2026-04</v>
      </c>
      <c r="N338" s="8" t="str">
        <f t="shared" si="17"/>
        <v>OK</v>
      </c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>
      <c r="A339" s="14" t="s">
        <v>435</v>
      </c>
      <c r="B339" s="26">
        <v>46127</v>
      </c>
      <c r="C339" s="14" t="s">
        <v>86</v>
      </c>
      <c r="D339" s="27" t="str">
        <f>IFERROR(VLOOKUP(C339,'Chart of Accounts'!$A$4:$F$30,2,FALSE),"")</f>
        <v>Product Sales</v>
      </c>
      <c r="E339" s="27" t="str">
        <f>IFERROR(VLOOKUP(C339,'Chart of Accounts'!$A$4:$F$30,4,FALSE),"")</f>
        <v>Revenue</v>
      </c>
      <c r="F339" s="27" t="str">
        <f>IFERROR(VLOOKUP(C339,'Chart of Accounts'!$A$4:$F$30,5,FALSE),"")</f>
        <v>PL</v>
      </c>
      <c r="G339" s="15">
        <v>0</v>
      </c>
      <c r="H339" s="15">
        <v>95778.06111837877</v>
      </c>
      <c r="I339" s="10">
        <f t="shared" si="15"/>
        <v>-95778.06111837877</v>
      </c>
      <c r="J339" s="14" t="s">
        <v>436</v>
      </c>
      <c r="K339" s="14" t="s">
        <v>139</v>
      </c>
      <c r="L339" s="14" t="s">
        <v>140</v>
      </c>
      <c r="M339" s="8" t="str">
        <f t="shared" si="16"/>
        <v>2026-04</v>
      </c>
      <c r="N339" s="8" t="str">
        <f t="shared" si="17"/>
        <v>OK</v>
      </c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>
      <c r="A340" s="14" t="s">
        <v>435</v>
      </c>
      <c r="B340" s="26">
        <v>46127</v>
      </c>
      <c r="C340" s="14" t="s">
        <v>90</v>
      </c>
      <c r="D340" s="27" t="str">
        <f>IFERROR(VLOOKUP(C340,'Chart of Accounts'!$A$4:$F$30,2,FALSE),"")</f>
        <v>Cost of Goods Sold</v>
      </c>
      <c r="E340" s="27" t="str">
        <f>IFERROR(VLOOKUP(C340,'Chart of Accounts'!$A$4:$F$30,4,FALSE),"")</f>
        <v>COGS</v>
      </c>
      <c r="F340" s="27" t="str">
        <f>IFERROR(VLOOKUP(C340,'Chart of Accounts'!$A$4:$F$30,5,FALSE),"")</f>
        <v>PL</v>
      </c>
      <c r="G340" s="15">
        <v>52677.933615108333</v>
      </c>
      <c r="H340" s="15">
        <v>0</v>
      </c>
      <c r="I340" s="10">
        <f t="shared" si="15"/>
        <v>52677.933615108333</v>
      </c>
      <c r="J340" s="14" t="s">
        <v>436</v>
      </c>
      <c r="K340" s="14" t="s">
        <v>139</v>
      </c>
      <c r="L340" s="14" t="s">
        <v>140</v>
      </c>
      <c r="M340" s="8" t="str">
        <f t="shared" si="16"/>
        <v>2026-04</v>
      </c>
      <c r="N340" s="8" t="str">
        <f t="shared" si="17"/>
        <v>OK</v>
      </c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>
      <c r="A341" s="14" t="s">
        <v>435</v>
      </c>
      <c r="B341" s="26">
        <v>46127</v>
      </c>
      <c r="C341" s="14" t="s">
        <v>63</v>
      </c>
      <c r="D341" s="27" t="str">
        <f>IFERROR(VLOOKUP(C341,'Chart of Accounts'!$A$4:$F$30,2,FALSE),"")</f>
        <v>Inventory</v>
      </c>
      <c r="E341" s="27" t="str">
        <f>IFERROR(VLOOKUP(C341,'Chart of Accounts'!$A$4:$F$30,4,FALSE),"")</f>
        <v>Inventory</v>
      </c>
      <c r="F341" s="27" t="str">
        <f>IFERROR(VLOOKUP(C341,'Chart of Accounts'!$A$4:$F$30,5,FALSE),"")</f>
        <v>BS</v>
      </c>
      <c r="G341" s="15">
        <v>0</v>
      </c>
      <c r="H341" s="15">
        <v>52677.933615108333</v>
      </c>
      <c r="I341" s="10">
        <f t="shared" si="15"/>
        <v>-52677.933615108333</v>
      </c>
      <c r="J341" s="14" t="s">
        <v>436</v>
      </c>
      <c r="K341" s="14" t="s">
        <v>139</v>
      </c>
      <c r="L341" s="14" t="s">
        <v>140</v>
      </c>
      <c r="M341" s="8" t="str">
        <f t="shared" si="16"/>
        <v>2026-04</v>
      </c>
      <c r="N341" s="8" t="str">
        <f t="shared" si="17"/>
        <v>OK</v>
      </c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>
      <c r="A342" s="14" t="s">
        <v>437</v>
      </c>
      <c r="B342" s="26">
        <v>46133</v>
      </c>
      <c r="C342" s="14" t="s">
        <v>58</v>
      </c>
      <c r="D342" s="27" t="str">
        <f>IFERROR(VLOOKUP(C342,'Chart of Accounts'!$A$4:$F$30,2,FALSE),"")</f>
        <v>Trade Receivables</v>
      </c>
      <c r="E342" s="27" t="str">
        <f>IFERROR(VLOOKUP(C342,'Chart of Accounts'!$A$4:$F$30,4,FALSE),"")</f>
        <v>Trade Receivables</v>
      </c>
      <c r="F342" s="27" t="str">
        <f>IFERROR(VLOOKUP(C342,'Chart of Accounts'!$A$4:$F$30,5,FALSE),"")</f>
        <v>BS</v>
      </c>
      <c r="G342" s="15">
        <v>91118.981356914723</v>
      </c>
      <c r="H342" s="15">
        <v>0</v>
      </c>
      <c r="I342" s="10">
        <f t="shared" si="15"/>
        <v>91118.981356914723</v>
      </c>
      <c r="J342" s="14" t="s">
        <v>438</v>
      </c>
      <c r="K342" s="14" t="s">
        <v>439</v>
      </c>
      <c r="L342" s="14" t="s">
        <v>140</v>
      </c>
      <c r="M342" s="8" t="str">
        <f t="shared" si="16"/>
        <v>2026-04</v>
      </c>
      <c r="N342" s="8" t="str">
        <f t="shared" si="17"/>
        <v>OK</v>
      </c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>
      <c r="A343" s="14" t="s">
        <v>437</v>
      </c>
      <c r="B343" s="26">
        <v>46133</v>
      </c>
      <c r="C343" s="14" t="s">
        <v>86</v>
      </c>
      <c r="D343" s="27" t="str">
        <f>IFERROR(VLOOKUP(C343,'Chart of Accounts'!$A$4:$F$30,2,FALSE),"")</f>
        <v>Product Sales</v>
      </c>
      <c r="E343" s="27" t="str">
        <f>IFERROR(VLOOKUP(C343,'Chart of Accounts'!$A$4:$F$30,4,FALSE),"")</f>
        <v>Revenue</v>
      </c>
      <c r="F343" s="27" t="str">
        <f>IFERROR(VLOOKUP(C343,'Chart of Accounts'!$A$4:$F$30,5,FALSE),"")</f>
        <v>PL</v>
      </c>
      <c r="G343" s="15">
        <v>0</v>
      </c>
      <c r="H343" s="15">
        <v>91118.981356914723</v>
      </c>
      <c r="I343" s="10">
        <f t="shared" si="15"/>
        <v>-91118.981356914723</v>
      </c>
      <c r="J343" s="14" t="s">
        <v>438</v>
      </c>
      <c r="K343" s="14" t="s">
        <v>439</v>
      </c>
      <c r="L343" s="14" t="s">
        <v>140</v>
      </c>
      <c r="M343" s="8" t="str">
        <f t="shared" si="16"/>
        <v>2026-04</v>
      </c>
      <c r="N343" s="8" t="str">
        <f t="shared" si="17"/>
        <v>OK</v>
      </c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>
      <c r="A344" s="14" t="s">
        <v>437</v>
      </c>
      <c r="B344" s="26">
        <v>46133</v>
      </c>
      <c r="C344" s="14" t="s">
        <v>90</v>
      </c>
      <c r="D344" s="27" t="str">
        <f>IFERROR(VLOOKUP(C344,'Chart of Accounts'!$A$4:$F$30,2,FALSE),"")</f>
        <v>Cost of Goods Sold</v>
      </c>
      <c r="E344" s="27" t="str">
        <f>IFERROR(VLOOKUP(C344,'Chart of Accounts'!$A$4:$F$30,4,FALSE),"")</f>
        <v>COGS</v>
      </c>
      <c r="F344" s="27" t="str">
        <f>IFERROR(VLOOKUP(C344,'Chart of Accounts'!$A$4:$F$30,5,FALSE),"")</f>
        <v>PL</v>
      </c>
      <c r="G344" s="15">
        <v>50115.439746303113</v>
      </c>
      <c r="H344" s="15">
        <v>0</v>
      </c>
      <c r="I344" s="10">
        <f t="shared" si="15"/>
        <v>50115.439746303113</v>
      </c>
      <c r="J344" s="14" t="s">
        <v>438</v>
      </c>
      <c r="K344" s="14" t="s">
        <v>439</v>
      </c>
      <c r="L344" s="14" t="s">
        <v>140</v>
      </c>
      <c r="M344" s="8" t="str">
        <f t="shared" si="16"/>
        <v>2026-04</v>
      </c>
      <c r="N344" s="8" t="str">
        <f t="shared" si="17"/>
        <v>OK</v>
      </c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>
      <c r="A345" s="14" t="s">
        <v>437</v>
      </c>
      <c r="B345" s="26">
        <v>46133</v>
      </c>
      <c r="C345" s="14" t="s">
        <v>63</v>
      </c>
      <c r="D345" s="27" t="str">
        <f>IFERROR(VLOOKUP(C345,'Chart of Accounts'!$A$4:$F$30,2,FALSE),"")</f>
        <v>Inventory</v>
      </c>
      <c r="E345" s="27" t="str">
        <f>IFERROR(VLOOKUP(C345,'Chart of Accounts'!$A$4:$F$30,4,FALSE),"")</f>
        <v>Inventory</v>
      </c>
      <c r="F345" s="27" t="str">
        <f>IFERROR(VLOOKUP(C345,'Chart of Accounts'!$A$4:$F$30,5,FALSE),"")</f>
        <v>BS</v>
      </c>
      <c r="G345" s="15">
        <v>0</v>
      </c>
      <c r="H345" s="15">
        <v>50115.439746303113</v>
      </c>
      <c r="I345" s="10">
        <f t="shared" si="15"/>
        <v>-50115.439746303113</v>
      </c>
      <c r="J345" s="14" t="s">
        <v>438</v>
      </c>
      <c r="K345" s="14" t="s">
        <v>439</v>
      </c>
      <c r="L345" s="14" t="s">
        <v>140</v>
      </c>
      <c r="M345" s="8" t="str">
        <f t="shared" si="16"/>
        <v>2026-04</v>
      </c>
      <c r="N345" s="8" t="str">
        <f t="shared" si="17"/>
        <v>OK</v>
      </c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>
      <c r="A346" s="14" t="s">
        <v>440</v>
      </c>
      <c r="B346" s="26">
        <v>46119</v>
      </c>
      <c r="C346" s="14" t="s">
        <v>58</v>
      </c>
      <c r="D346" s="27" t="str">
        <f>IFERROR(VLOOKUP(C346,'Chart of Accounts'!$A$4:$F$30,2,FALSE),"")</f>
        <v>Trade Receivables</v>
      </c>
      <c r="E346" s="27" t="str">
        <f>IFERROR(VLOOKUP(C346,'Chart of Accounts'!$A$4:$F$30,4,FALSE),"")</f>
        <v>Trade Receivables</v>
      </c>
      <c r="F346" s="27" t="str">
        <f>IFERROR(VLOOKUP(C346,'Chart of Accounts'!$A$4:$F$30,5,FALSE),"")</f>
        <v>BS</v>
      </c>
      <c r="G346" s="15">
        <v>78383.97767719187</v>
      </c>
      <c r="H346" s="15">
        <v>0</v>
      </c>
      <c r="I346" s="10">
        <f t="shared" si="15"/>
        <v>78383.97767719187</v>
      </c>
      <c r="J346" s="14" t="s">
        <v>441</v>
      </c>
      <c r="K346" s="14" t="s">
        <v>442</v>
      </c>
      <c r="L346" s="14" t="s">
        <v>140</v>
      </c>
      <c r="M346" s="8" t="str">
        <f t="shared" si="16"/>
        <v>2026-04</v>
      </c>
      <c r="N346" s="8" t="str">
        <f t="shared" si="17"/>
        <v>OK</v>
      </c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>
      <c r="A347" s="14" t="s">
        <v>440</v>
      </c>
      <c r="B347" s="26">
        <v>46119</v>
      </c>
      <c r="C347" s="14" t="s">
        <v>86</v>
      </c>
      <c r="D347" s="27" t="str">
        <f>IFERROR(VLOOKUP(C347,'Chart of Accounts'!$A$4:$F$30,2,FALSE),"")</f>
        <v>Product Sales</v>
      </c>
      <c r="E347" s="27" t="str">
        <f>IFERROR(VLOOKUP(C347,'Chart of Accounts'!$A$4:$F$30,4,FALSE),"")</f>
        <v>Revenue</v>
      </c>
      <c r="F347" s="27" t="str">
        <f>IFERROR(VLOOKUP(C347,'Chart of Accounts'!$A$4:$F$30,5,FALSE),"")</f>
        <v>PL</v>
      </c>
      <c r="G347" s="15">
        <v>0</v>
      </c>
      <c r="H347" s="15">
        <v>78383.97767719187</v>
      </c>
      <c r="I347" s="10">
        <f t="shared" si="15"/>
        <v>-78383.97767719187</v>
      </c>
      <c r="J347" s="14" t="s">
        <v>441</v>
      </c>
      <c r="K347" s="14" t="s">
        <v>442</v>
      </c>
      <c r="L347" s="14" t="s">
        <v>140</v>
      </c>
      <c r="M347" s="8" t="str">
        <f t="shared" si="16"/>
        <v>2026-04</v>
      </c>
      <c r="N347" s="8" t="str">
        <f t="shared" si="17"/>
        <v>OK</v>
      </c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>
      <c r="A348" s="14" t="s">
        <v>440</v>
      </c>
      <c r="B348" s="26">
        <v>46119</v>
      </c>
      <c r="C348" s="14" t="s">
        <v>90</v>
      </c>
      <c r="D348" s="27" t="str">
        <f>IFERROR(VLOOKUP(C348,'Chart of Accounts'!$A$4:$F$30,2,FALSE),"")</f>
        <v>Cost of Goods Sold</v>
      </c>
      <c r="E348" s="27" t="str">
        <f>IFERROR(VLOOKUP(C348,'Chart of Accounts'!$A$4:$F$30,4,FALSE),"")</f>
        <v>COGS</v>
      </c>
      <c r="F348" s="27" t="str">
        <f>IFERROR(VLOOKUP(C348,'Chart of Accounts'!$A$4:$F$30,5,FALSE),"")</f>
        <v>PL</v>
      </c>
      <c r="G348" s="15">
        <v>43111.187722455536</v>
      </c>
      <c r="H348" s="15">
        <v>0</v>
      </c>
      <c r="I348" s="10">
        <f t="shared" si="15"/>
        <v>43111.187722455536</v>
      </c>
      <c r="J348" s="14" t="s">
        <v>441</v>
      </c>
      <c r="K348" s="14" t="s">
        <v>442</v>
      </c>
      <c r="L348" s="14" t="s">
        <v>140</v>
      </c>
      <c r="M348" s="8" t="str">
        <f t="shared" si="16"/>
        <v>2026-04</v>
      </c>
      <c r="N348" s="8" t="str">
        <f t="shared" si="17"/>
        <v>OK</v>
      </c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>
      <c r="A349" s="14" t="s">
        <v>440</v>
      </c>
      <c r="B349" s="26">
        <v>46119</v>
      </c>
      <c r="C349" s="14" t="s">
        <v>63</v>
      </c>
      <c r="D349" s="27" t="str">
        <f>IFERROR(VLOOKUP(C349,'Chart of Accounts'!$A$4:$F$30,2,FALSE),"")</f>
        <v>Inventory</v>
      </c>
      <c r="E349" s="27" t="str">
        <f>IFERROR(VLOOKUP(C349,'Chart of Accounts'!$A$4:$F$30,4,FALSE),"")</f>
        <v>Inventory</v>
      </c>
      <c r="F349" s="27" t="str">
        <f>IFERROR(VLOOKUP(C349,'Chart of Accounts'!$A$4:$F$30,5,FALSE),"")</f>
        <v>BS</v>
      </c>
      <c r="G349" s="15">
        <v>0</v>
      </c>
      <c r="H349" s="15">
        <v>43111.187722455536</v>
      </c>
      <c r="I349" s="10">
        <f t="shared" si="15"/>
        <v>-43111.187722455536</v>
      </c>
      <c r="J349" s="14" t="s">
        <v>441</v>
      </c>
      <c r="K349" s="14" t="s">
        <v>442</v>
      </c>
      <c r="L349" s="14" t="s">
        <v>140</v>
      </c>
      <c r="M349" s="8" t="str">
        <f t="shared" si="16"/>
        <v>2026-04</v>
      </c>
      <c r="N349" s="8" t="str">
        <f t="shared" si="17"/>
        <v>OK</v>
      </c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>
      <c r="A350" s="14" t="s">
        <v>443</v>
      </c>
      <c r="B350" s="26">
        <v>46133</v>
      </c>
      <c r="C350" s="14" t="s">
        <v>58</v>
      </c>
      <c r="D350" s="27" t="str">
        <f>IFERROR(VLOOKUP(C350,'Chart of Accounts'!$A$4:$F$30,2,FALSE),"")</f>
        <v>Trade Receivables</v>
      </c>
      <c r="E350" s="27" t="str">
        <f>IFERROR(VLOOKUP(C350,'Chart of Accounts'!$A$4:$F$30,4,FALSE),"")</f>
        <v>Trade Receivables</v>
      </c>
      <c r="F350" s="27" t="str">
        <f>IFERROR(VLOOKUP(C350,'Chart of Accounts'!$A$4:$F$30,5,FALSE),"")</f>
        <v>BS</v>
      </c>
      <c r="G350" s="15">
        <v>61301.033274318019</v>
      </c>
      <c r="H350" s="15">
        <v>0</v>
      </c>
      <c r="I350" s="10">
        <f t="shared" si="15"/>
        <v>61301.033274318019</v>
      </c>
      <c r="J350" s="14" t="s">
        <v>444</v>
      </c>
      <c r="K350" s="14" t="s">
        <v>268</v>
      </c>
      <c r="L350" s="14" t="s">
        <v>140</v>
      </c>
      <c r="M350" s="8" t="str">
        <f t="shared" si="16"/>
        <v>2026-04</v>
      </c>
      <c r="N350" s="8" t="str">
        <f t="shared" si="17"/>
        <v>OK</v>
      </c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>
      <c r="A351" s="14" t="s">
        <v>443</v>
      </c>
      <c r="B351" s="26">
        <v>46133</v>
      </c>
      <c r="C351" s="14" t="s">
        <v>86</v>
      </c>
      <c r="D351" s="27" t="str">
        <f>IFERROR(VLOOKUP(C351,'Chart of Accounts'!$A$4:$F$30,2,FALSE),"")</f>
        <v>Product Sales</v>
      </c>
      <c r="E351" s="27" t="str">
        <f>IFERROR(VLOOKUP(C351,'Chart of Accounts'!$A$4:$F$30,4,FALSE),"")</f>
        <v>Revenue</v>
      </c>
      <c r="F351" s="27" t="str">
        <f>IFERROR(VLOOKUP(C351,'Chart of Accounts'!$A$4:$F$30,5,FALSE),"")</f>
        <v>PL</v>
      </c>
      <c r="G351" s="15">
        <v>0</v>
      </c>
      <c r="H351" s="15">
        <v>61301.033274318019</v>
      </c>
      <c r="I351" s="10">
        <f t="shared" si="15"/>
        <v>-61301.033274318019</v>
      </c>
      <c r="J351" s="14" t="s">
        <v>444</v>
      </c>
      <c r="K351" s="14" t="s">
        <v>268</v>
      </c>
      <c r="L351" s="14" t="s">
        <v>140</v>
      </c>
      <c r="M351" s="8" t="str">
        <f t="shared" si="16"/>
        <v>2026-04</v>
      </c>
      <c r="N351" s="8" t="str">
        <f t="shared" si="17"/>
        <v>OK</v>
      </c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>
      <c r="A352" s="14" t="s">
        <v>443</v>
      </c>
      <c r="B352" s="26">
        <v>46133</v>
      </c>
      <c r="C352" s="14" t="s">
        <v>90</v>
      </c>
      <c r="D352" s="27" t="str">
        <f>IFERROR(VLOOKUP(C352,'Chart of Accounts'!$A$4:$F$30,2,FALSE),"")</f>
        <v>Cost of Goods Sold</v>
      </c>
      <c r="E352" s="27" t="str">
        <f>IFERROR(VLOOKUP(C352,'Chart of Accounts'!$A$4:$F$30,4,FALSE),"")</f>
        <v>COGS</v>
      </c>
      <c r="F352" s="27" t="str">
        <f>IFERROR(VLOOKUP(C352,'Chart of Accounts'!$A$4:$F$30,5,FALSE),"")</f>
        <v>PL</v>
      </c>
      <c r="G352" s="15">
        <v>33715.568300874911</v>
      </c>
      <c r="H352" s="15">
        <v>0</v>
      </c>
      <c r="I352" s="10">
        <f t="shared" si="15"/>
        <v>33715.568300874911</v>
      </c>
      <c r="J352" s="14" t="s">
        <v>444</v>
      </c>
      <c r="K352" s="14" t="s">
        <v>268</v>
      </c>
      <c r="L352" s="14" t="s">
        <v>140</v>
      </c>
      <c r="M352" s="8" t="str">
        <f t="shared" si="16"/>
        <v>2026-04</v>
      </c>
      <c r="N352" s="8" t="str">
        <f t="shared" si="17"/>
        <v>OK</v>
      </c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>
      <c r="A353" s="14" t="s">
        <v>443</v>
      </c>
      <c r="B353" s="26">
        <v>46133</v>
      </c>
      <c r="C353" s="14" t="s">
        <v>63</v>
      </c>
      <c r="D353" s="27" t="str">
        <f>IFERROR(VLOOKUP(C353,'Chart of Accounts'!$A$4:$F$30,2,FALSE),"")</f>
        <v>Inventory</v>
      </c>
      <c r="E353" s="27" t="str">
        <f>IFERROR(VLOOKUP(C353,'Chart of Accounts'!$A$4:$F$30,4,FALSE),"")</f>
        <v>Inventory</v>
      </c>
      <c r="F353" s="27" t="str">
        <f>IFERROR(VLOOKUP(C353,'Chart of Accounts'!$A$4:$F$30,5,FALSE),"")</f>
        <v>BS</v>
      </c>
      <c r="G353" s="15">
        <v>0</v>
      </c>
      <c r="H353" s="15">
        <v>33715.568300874911</v>
      </c>
      <c r="I353" s="10">
        <f t="shared" si="15"/>
        <v>-33715.568300874911</v>
      </c>
      <c r="J353" s="14" t="s">
        <v>444</v>
      </c>
      <c r="K353" s="14" t="s">
        <v>268</v>
      </c>
      <c r="L353" s="14" t="s">
        <v>140</v>
      </c>
      <c r="M353" s="8" t="str">
        <f t="shared" si="16"/>
        <v>2026-04</v>
      </c>
      <c r="N353" s="8" t="str">
        <f t="shared" si="17"/>
        <v>OK</v>
      </c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>
      <c r="A354" s="14" t="s">
        <v>445</v>
      </c>
      <c r="B354" s="26">
        <v>46120</v>
      </c>
      <c r="C354" s="14" t="s">
        <v>58</v>
      </c>
      <c r="D354" s="27" t="str">
        <f>IFERROR(VLOOKUP(C354,'Chart of Accounts'!$A$4:$F$30,2,FALSE),"")</f>
        <v>Trade Receivables</v>
      </c>
      <c r="E354" s="27" t="str">
        <f>IFERROR(VLOOKUP(C354,'Chart of Accounts'!$A$4:$F$30,4,FALSE),"")</f>
        <v>Trade Receivables</v>
      </c>
      <c r="F354" s="27" t="str">
        <f>IFERROR(VLOOKUP(C354,'Chart of Accounts'!$A$4:$F$30,5,FALSE),"")</f>
        <v>BS</v>
      </c>
      <c r="G354" s="15">
        <v>60613.463961549896</v>
      </c>
      <c r="H354" s="15">
        <v>0</v>
      </c>
      <c r="I354" s="10">
        <f t="shared" si="15"/>
        <v>60613.463961549896</v>
      </c>
      <c r="J354" s="14" t="s">
        <v>446</v>
      </c>
      <c r="K354" s="14" t="s">
        <v>447</v>
      </c>
      <c r="L354" s="14" t="s">
        <v>140</v>
      </c>
      <c r="M354" s="8" t="str">
        <f t="shared" si="16"/>
        <v>2026-04</v>
      </c>
      <c r="N354" s="8" t="str">
        <f t="shared" si="17"/>
        <v>OK</v>
      </c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>
      <c r="A355" s="14" t="s">
        <v>445</v>
      </c>
      <c r="B355" s="26">
        <v>46120</v>
      </c>
      <c r="C355" s="14" t="s">
        <v>86</v>
      </c>
      <c r="D355" s="27" t="str">
        <f>IFERROR(VLOOKUP(C355,'Chart of Accounts'!$A$4:$F$30,2,FALSE),"")</f>
        <v>Product Sales</v>
      </c>
      <c r="E355" s="27" t="str">
        <f>IFERROR(VLOOKUP(C355,'Chart of Accounts'!$A$4:$F$30,4,FALSE),"")</f>
        <v>Revenue</v>
      </c>
      <c r="F355" s="27" t="str">
        <f>IFERROR(VLOOKUP(C355,'Chart of Accounts'!$A$4:$F$30,5,FALSE),"")</f>
        <v>PL</v>
      </c>
      <c r="G355" s="15">
        <v>0</v>
      </c>
      <c r="H355" s="15">
        <v>60613.463961549896</v>
      </c>
      <c r="I355" s="10">
        <f t="shared" si="15"/>
        <v>-60613.463961549896</v>
      </c>
      <c r="J355" s="14" t="s">
        <v>446</v>
      </c>
      <c r="K355" s="14" t="s">
        <v>447</v>
      </c>
      <c r="L355" s="14" t="s">
        <v>140</v>
      </c>
      <c r="M355" s="8" t="str">
        <f t="shared" si="16"/>
        <v>2026-04</v>
      </c>
      <c r="N355" s="8" t="str">
        <f t="shared" si="17"/>
        <v>OK</v>
      </c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>
      <c r="A356" s="14" t="s">
        <v>445</v>
      </c>
      <c r="B356" s="26">
        <v>46120</v>
      </c>
      <c r="C356" s="14" t="s">
        <v>90</v>
      </c>
      <c r="D356" s="27" t="str">
        <f>IFERROR(VLOOKUP(C356,'Chart of Accounts'!$A$4:$F$30,2,FALSE),"")</f>
        <v>Cost of Goods Sold</v>
      </c>
      <c r="E356" s="27" t="str">
        <f>IFERROR(VLOOKUP(C356,'Chart of Accounts'!$A$4:$F$30,4,FALSE),"")</f>
        <v>COGS</v>
      </c>
      <c r="F356" s="27" t="str">
        <f>IFERROR(VLOOKUP(C356,'Chart of Accounts'!$A$4:$F$30,5,FALSE),"")</f>
        <v>PL</v>
      </c>
      <c r="G356" s="15">
        <v>33337.405178852445</v>
      </c>
      <c r="H356" s="15">
        <v>0</v>
      </c>
      <c r="I356" s="10">
        <f t="shared" si="15"/>
        <v>33337.405178852445</v>
      </c>
      <c r="J356" s="14" t="s">
        <v>446</v>
      </c>
      <c r="K356" s="14" t="s">
        <v>447</v>
      </c>
      <c r="L356" s="14" t="s">
        <v>140</v>
      </c>
      <c r="M356" s="8" t="str">
        <f t="shared" si="16"/>
        <v>2026-04</v>
      </c>
      <c r="N356" s="8" t="str">
        <f t="shared" si="17"/>
        <v>OK</v>
      </c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>
      <c r="A357" s="14" t="s">
        <v>445</v>
      </c>
      <c r="B357" s="26">
        <v>46120</v>
      </c>
      <c r="C357" s="14" t="s">
        <v>63</v>
      </c>
      <c r="D357" s="27" t="str">
        <f>IFERROR(VLOOKUP(C357,'Chart of Accounts'!$A$4:$F$30,2,FALSE),"")</f>
        <v>Inventory</v>
      </c>
      <c r="E357" s="27" t="str">
        <f>IFERROR(VLOOKUP(C357,'Chart of Accounts'!$A$4:$F$30,4,FALSE),"")</f>
        <v>Inventory</v>
      </c>
      <c r="F357" s="27" t="str">
        <f>IFERROR(VLOOKUP(C357,'Chart of Accounts'!$A$4:$F$30,5,FALSE),"")</f>
        <v>BS</v>
      </c>
      <c r="G357" s="15">
        <v>0</v>
      </c>
      <c r="H357" s="15">
        <v>33337.405178852445</v>
      </c>
      <c r="I357" s="10">
        <f t="shared" si="15"/>
        <v>-33337.405178852445</v>
      </c>
      <c r="J357" s="14" t="s">
        <v>446</v>
      </c>
      <c r="K357" s="14" t="s">
        <v>447</v>
      </c>
      <c r="L357" s="14" t="s">
        <v>140</v>
      </c>
      <c r="M357" s="8" t="str">
        <f t="shared" si="16"/>
        <v>2026-04</v>
      </c>
      <c r="N357" s="8" t="str">
        <f t="shared" si="17"/>
        <v>OK</v>
      </c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>
      <c r="A358" s="14" t="s">
        <v>448</v>
      </c>
      <c r="B358" s="26">
        <v>46131</v>
      </c>
      <c r="C358" s="14" t="s">
        <v>58</v>
      </c>
      <c r="D358" s="27" t="str">
        <f>IFERROR(VLOOKUP(C358,'Chart of Accounts'!$A$4:$F$30,2,FALSE),"")</f>
        <v>Trade Receivables</v>
      </c>
      <c r="E358" s="27" t="str">
        <f>IFERROR(VLOOKUP(C358,'Chart of Accounts'!$A$4:$F$30,4,FALSE),"")</f>
        <v>Trade Receivables</v>
      </c>
      <c r="F358" s="27" t="str">
        <f>IFERROR(VLOOKUP(C358,'Chart of Accounts'!$A$4:$F$30,5,FALSE),"")</f>
        <v>BS</v>
      </c>
      <c r="G358" s="15">
        <v>85144.45392137648</v>
      </c>
      <c r="H358" s="15">
        <v>0</v>
      </c>
      <c r="I358" s="10">
        <f t="shared" si="15"/>
        <v>85144.45392137648</v>
      </c>
      <c r="J358" s="14" t="s">
        <v>449</v>
      </c>
      <c r="K358" s="14" t="s">
        <v>450</v>
      </c>
      <c r="L358" s="14" t="s">
        <v>140</v>
      </c>
      <c r="M358" s="8" t="str">
        <f t="shared" si="16"/>
        <v>2026-04</v>
      </c>
      <c r="N358" s="8" t="str">
        <f t="shared" si="17"/>
        <v>OK</v>
      </c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>
      <c r="A359" s="14" t="s">
        <v>448</v>
      </c>
      <c r="B359" s="26">
        <v>46131</v>
      </c>
      <c r="C359" s="14" t="s">
        <v>86</v>
      </c>
      <c r="D359" s="27" t="str">
        <f>IFERROR(VLOOKUP(C359,'Chart of Accounts'!$A$4:$F$30,2,FALSE),"")</f>
        <v>Product Sales</v>
      </c>
      <c r="E359" s="27" t="str">
        <f>IFERROR(VLOOKUP(C359,'Chart of Accounts'!$A$4:$F$30,4,FALSE),"")</f>
        <v>Revenue</v>
      </c>
      <c r="F359" s="27" t="str">
        <f>IFERROR(VLOOKUP(C359,'Chart of Accounts'!$A$4:$F$30,5,FALSE),"")</f>
        <v>PL</v>
      </c>
      <c r="G359" s="15">
        <v>0</v>
      </c>
      <c r="H359" s="15">
        <v>85144.45392137648</v>
      </c>
      <c r="I359" s="10">
        <f t="shared" si="15"/>
        <v>-85144.45392137648</v>
      </c>
      <c r="J359" s="14" t="s">
        <v>449</v>
      </c>
      <c r="K359" s="14" t="s">
        <v>450</v>
      </c>
      <c r="L359" s="14" t="s">
        <v>140</v>
      </c>
      <c r="M359" s="8" t="str">
        <f t="shared" si="16"/>
        <v>2026-04</v>
      </c>
      <c r="N359" s="8" t="str">
        <f t="shared" si="17"/>
        <v>OK</v>
      </c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>
      <c r="A360" s="14" t="s">
        <v>448</v>
      </c>
      <c r="B360" s="26">
        <v>46131</v>
      </c>
      <c r="C360" s="14" t="s">
        <v>90</v>
      </c>
      <c r="D360" s="27" t="str">
        <f>IFERROR(VLOOKUP(C360,'Chart of Accounts'!$A$4:$F$30,2,FALSE),"")</f>
        <v>Cost of Goods Sold</v>
      </c>
      <c r="E360" s="27" t="str">
        <f>IFERROR(VLOOKUP(C360,'Chart of Accounts'!$A$4:$F$30,4,FALSE),"")</f>
        <v>COGS</v>
      </c>
      <c r="F360" s="27" t="str">
        <f>IFERROR(VLOOKUP(C360,'Chart of Accounts'!$A$4:$F$30,5,FALSE),"")</f>
        <v>PL</v>
      </c>
      <c r="G360" s="15">
        <v>46829.449656757075</v>
      </c>
      <c r="H360" s="15">
        <v>0</v>
      </c>
      <c r="I360" s="10">
        <f t="shared" si="15"/>
        <v>46829.449656757075</v>
      </c>
      <c r="J360" s="14" t="s">
        <v>449</v>
      </c>
      <c r="K360" s="14" t="s">
        <v>450</v>
      </c>
      <c r="L360" s="14" t="s">
        <v>140</v>
      </c>
      <c r="M360" s="8" t="str">
        <f t="shared" si="16"/>
        <v>2026-04</v>
      </c>
      <c r="N360" s="8" t="str">
        <f t="shared" si="17"/>
        <v>OK</v>
      </c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>
      <c r="A361" s="14" t="s">
        <v>448</v>
      </c>
      <c r="B361" s="26">
        <v>46131</v>
      </c>
      <c r="C361" s="14" t="s">
        <v>63</v>
      </c>
      <c r="D361" s="27" t="str">
        <f>IFERROR(VLOOKUP(C361,'Chart of Accounts'!$A$4:$F$30,2,FALSE),"")</f>
        <v>Inventory</v>
      </c>
      <c r="E361" s="27" t="str">
        <f>IFERROR(VLOOKUP(C361,'Chart of Accounts'!$A$4:$F$30,4,FALSE),"")</f>
        <v>Inventory</v>
      </c>
      <c r="F361" s="27" t="str">
        <f>IFERROR(VLOOKUP(C361,'Chart of Accounts'!$A$4:$F$30,5,FALSE),"")</f>
        <v>BS</v>
      </c>
      <c r="G361" s="15">
        <v>0</v>
      </c>
      <c r="H361" s="15">
        <v>46829.449656757075</v>
      </c>
      <c r="I361" s="10">
        <f t="shared" si="15"/>
        <v>-46829.449656757075</v>
      </c>
      <c r="J361" s="14" t="s">
        <v>449</v>
      </c>
      <c r="K361" s="14" t="s">
        <v>450</v>
      </c>
      <c r="L361" s="14" t="s">
        <v>140</v>
      </c>
      <c r="M361" s="8" t="str">
        <f t="shared" si="16"/>
        <v>2026-04</v>
      </c>
      <c r="N361" s="8" t="str">
        <f t="shared" si="17"/>
        <v>OK</v>
      </c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>
      <c r="A362" s="14" t="s">
        <v>451</v>
      </c>
      <c r="B362" s="26">
        <v>46137</v>
      </c>
      <c r="C362" s="14" t="s">
        <v>58</v>
      </c>
      <c r="D362" s="27" t="str">
        <f>IFERROR(VLOOKUP(C362,'Chart of Accounts'!$A$4:$F$30,2,FALSE),"")</f>
        <v>Trade Receivables</v>
      </c>
      <c r="E362" s="27" t="str">
        <f>IFERROR(VLOOKUP(C362,'Chart of Accounts'!$A$4:$F$30,4,FALSE),"")</f>
        <v>Trade Receivables</v>
      </c>
      <c r="F362" s="27" t="str">
        <f>IFERROR(VLOOKUP(C362,'Chart of Accounts'!$A$4:$F$30,5,FALSE),"")</f>
        <v>BS</v>
      </c>
      <c r="G362" s="15">
        <v>89097.072913299868</v>
      </c>
      <c r="H362" s="15">
        <v>0</v>
      </c>
      <c r="I362" s="10">
        <f t="shared" si="15"/>
        <v>89097.072913299868</v>
      </c>
      <c r="J362" s="14" t="s">
        <v>452</v>
      </c>
      <c r="K362" s="14" t="s">
        <v>442</v>
      </c>
      <c r="L362" s="14" t="s">
        <v>140</v>
      </c>
      <c r="M362" s="8" t="str">
        <f t="shared" si="16"/>
        <v>2026-04</v>
      </c>
      <c r="N362" s="8" t="str">
        <f t="shared" si="17"/>
        <v>OK</v>
      </c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>
      <c r="A363" s="14" t="s">
        <v>451</v>
      </c>
      <c r="B363" s="26">
        <v>46137</v>
      </c>
      <c r="C363" s="14" t="s">
        <v>86</v>
      </c>
      <c r="D363" s="27" t="str">
        <f>IFERROR(VLOOKUP(C363,'Chart of Accounts'!$A$4:$F$30,2,FALSE),"")</f>
        <v>Product Sales</v>
      </c>
      <c r="E363" s="27" t="str">
        <f>IFERROR(VLOOKUP(C363,'Chart of Accounts'!$A$4:$F$30,4,FALSE),"")</f>
        <v>Revenue</v>
      </c>
      <c r="F363" s="27" t="str">
        <f>IFERROR(VLOOKUP(C363,'Chart of Accounts'!$A$4:$F$30,5,FALSE),"")</f>
        <v>PL</v>
      </c>
      <c r="G363" s="15">
        <v>0</v>
      </c>
      <c r="H363" s="15">
        <v>89097.072913299868</v>
      </c>
      <c r="I363" s="10">
        <f t="shared" si="15"/>
        <v>-89097.072913299868</v>
      </c>
      <c r="J363" s="14" t="s">
        <v>452</v>
      </c>
      <c r="K363" s="14" t="s">
        <v>442</v>
      </c>
      <c r="L363" s="14" t="s">
        <v>140</v>
      </c>
      <c r="M363" s="8" t="str">
        <f t="shared" si="16"/>
        <v>2026-04</v>
      </c>
      <c r="N363" s="8" t="str">
        <f t="shared" si="17"/>
        <v>OK</v>
      </c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>
      <c r="A364" s="14" t="s">
        <v>451</v>
      </c>
      <c r="B364" s="26">
        <v>46137</v>
      </c>
      <c r="C364" s="14" t="s">
        <v>90</v>
      </c>
      <c r="D364" s="27" t="str">
        <f>IFERROR(VLOOKUP(C364,'Chart of Accounts'!$A$4:$F$30,2,FALSE),"")</f>
        <v>Cost of Goods Sold</v>
      </c>
      <c r="E364" s="27" t="str">
        <f>IFERROR(VLOOKUP(C364,'Chart of Accounts'!$A$4:$F$30,4,FALSE),"")</f>
        <v>COGS</v>
      </c>
      <c r="F364" s="27" t="str">
        <f>IFERROR(VLOOKUP(C364,'Chart of Accounts'!$A$4:$F$30,5,FALSE),"")</f>
        <v>PL</v>
      </c>
      <c r="G364" s="15">
        <v>49003.390102314937</v>
      </c>
      <c r="H364" s="15">
        <v>0</v>
      </c>
      <c r="I364" s="10">
        <f t="shared" si="15"/>
        <v>49003.390102314937</v>
      </c>
      <c r="J364" s="14" t="s">
        <v>452</v>
      </c>
      <c r="K364" s="14" t="s">
        <v>442</v>
      </c>
      <c r="L364" s="14" t="s">
        <v>140</v>
      </c>
      <c r="M364" s="8" t="str">
        <f t="shared" si="16"/>
        <v>2026-04</v>
      </c>
      <c r="N364" s="8" t="str">
        <f t="shared" si="17"/>
        <v>OK</v>
      </c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>
      <c r="A365" s="14" t="s">
        <v>451</v>
      </c>
      <c r="B365" s="26">
        <v>46137</v>
      </c>
      <c r="C365" s="14" t="s">
        <v>63</v>
      </c>
      <c r="D365" s="27" t="str">
        <f>IFERROR(VLOOKUP(C365,'Chart of Accounts'!$A$4:$F$30,2,FALSE),"")</f>
        <v>Inventory</v>
      </c>
      <c r="E365" s="27" t="str">
        <f>IFERROR(VLOOKUP(C365,'Chart of Accounts'!$A$4:$F$30,4,FALSE),"")</f>
        <v>Inventory</v>
      </c>
      <c r="F365" s="27" t="str">
        <f>IFERROR(VLOOKUP(C365,'Chart of Accounts'!$A$4:$F$30,5,FALSE),"")</f>
        <v>BS</v>
      </c>
      <c r="G365" s="15">
        <v>0</v>
      </c>
      <c r="H365" s="15">
        <v>49003.390102314937</v>
      </c>
      <c r="I365" s="10">
        <f t="shared" si="15"/>
        <v>-49003.390102314937</v>
      </c>
      <c r="J365" s="14" t="s">
        <v>452</v>
      </c>
      <c r="K365" s="14" t="s">
        <v>442</v>
      </c>
      <c r="L365" s="14" t="s">
        <v>140</v>
      </c>
      <c r="M365" s="8" t="str">
        <f t="shared" si="16"/>
        <v>2026-04</v>
      </c>
      <c r="N365" s="8" t="str">
        <f t="shared" si="17"/>
        <v>OK</v>
      </c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>
      <c r="A366" s="14" t="s">
        <v>453</v>
      </c>
      <c r="B366" s="26">
        <v>46117</v>
      </c>
      <c r="C366" s="14" t="s">
        <v>52</v>
      </c>
      <c r="D366" s="27" t="str">
        <f>IFERROR(VLOOKUP(C366,'Chart of Accounts'!$A$4:$F$30,2,FALSE),"")</f>
        <v>Bank</v>
      </c>
      <c r="E366" s="27" t="str">
        <f>IFERROR(VLOOKUP(C366,'Chart of Accounts'!$A$4:$F$30,4,FALSE),"")</f>
        <v>Cash</v>
      </c>
      <c r="F366" s="27" t="str">
        <f>IFERROR(VLOOKUP(C366,'Chart of Accounts'!$A$4:$F$30,5,FALSE),"")</f>
        <v>BS</v>
      </c>
      <c r="G366" s="15">
        <v>159861.23228370823</v>
      </c>
      <c r="H366" s="15">
        <v>0</v>
      </c>
      <c r="I366" s="10">
        <f t="shared" si="15"/>
        <v>159861.23228370823</v>
      </c>
      <c r="J366" s="14" t="s">
        <v>454</v>
      </c>
      <c r="K366" s="14" t="s">
        <v>175</v>
      </c>
      <c r="L366" s="14" t="s">
        <v>176</v>
      </c>
      <c r="M366" s="8" t="str">
        <f t="shared" si="16"/>
        <v>2026-04</v>
      </c>
      <c r="N366" s="8" t="str">
        <f t="shared" si="17"/>
        <v>OK</v>
      </c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>
      <c r="A367" s="14" t="s">
        <v>453</v>
      </c>
      <c r="B367" s="26">
        <v>46117</v>
      </c>
      <c r="C367" s="14" t="s">
        <v>58</v>
      </c>
      <c r="D367" s="27" t="str">
        <f>IFERROR(VLOOKUP(C367,'Chart of Accounts'!$A$4:$F$30,2,FALSE),"")</f>
        <v>Trade Receivables</v>
      </c>
      <c r="E367" s="27" t="str">
        <f>IFERROR(VLOOKUP(C367,'Chart of Accounts'!$A$4:$F$30,4,FALSE),"")</f>
        <v>Trade Receivables</v>
      </c>
      <c r="F367" s="27" t="str">
        <f>IFERROR(VLOOKUP(C367,'Chart of Accounts'!$A$4:$F$30,5,FALSE),"")</f>
        <v>BS</v>
      </c>
      <c r="G367" s="15">
        <v>0</v>
      </c>
      <c r="H367" s="15">
        <v>159861.23228370823</v>
      </c>
      <c r="I367" s="10">
        <f t="shared" si="15"/>
        <v>-159861.23228370823</v>
      </c>
      <c r="J367" s="14" t="s">
        <v>454</v>
      </c>
      <c r="K367" s="14" t="s">
        <v>175</v>
      </c>
      <c r="L367" s="14" t="s">
        <v>176</v>
      </c>
      <c r="M367" s="8" t="str">
        <f t="shared" si="16"/>
        <v>2026-04</v>
      </c>
      <c r="N367" s="8" t="str">
        <f t="shared" si="17"/>
        <v>OK</v>
      </c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>
      <c r="A368" s="14" t="s">
        <v>455</v>
      </c>
      <c r="B368" s="26">
        <v>46123</v>
      </c>
      <c r="C368" s="14" t="s">
        <v>52</v>
      </c>
      <c r="D368" s="27" t="str">
        <f>IFERROR(VLOOKUP(C368,'Chart of Accounts'!$A$4:$F$30,2,FALSE),"")</f>
        <v>Bank</v>
      </c>
      <c r="E368" s="27" t="str">
        <f>IFERROR(VLOOKUP(C368,'Chart of Accounts'!$A$4:$F$30,4,FALSE),"")</f>
        <v>Cash</v>
      </c>
      <c r="F368" s="27" t="str">
        <f>IFERROR(VLOOKUP(C368,'Chart of Accounts'!$A$4:$F$30,5,FALSE),"")</f>
        <v>BS</v>
      </c>
      <c r="G368" s="15">
        <v>165281.72788587605</v>
      </c>
      <c r="H368" s="15">
        <v>0</v>
      </c>
      <c r="I368" s="10">
        <f t="shared" si="15"/>
        <v>165281.72788587605</v>
      </c>
      <c r="J368" s="14" t="s">
        <v>456</v>
      </c>
      <c r="K368" s="14" t="s">
        <v>175</v>
      </c>
      <c r="L368" s="14" t="s">
        <v>176</v>
      </c>
      <c r="M368" s="8" t="str">
        <f t="shared" si="16"/>
        <v>2026-04</v>
      </c>
      <c r="N368" s="8" t="str">
        <f t="shared" si="17"/>
        <v>OK</v>
      </c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>
      <c r="A369" s="14" t="s">
        <v>455</v>
      </c>
      <c r="B369" s="26">
        <v>46123</v>
      </c>
      <c r="C369" s="14" t="s">
        <v>58</v>
      </c>
      <c r="D369" s="27" t="str">
        <f>IFERROR(VLOOKUP(C369,'Chart of Accounts'!$A$4:$F$30,2,FALSE),"")</f>
        <v>Trade Receivables</v>
      </c>
      <c r="E369" s="27" t="str">
        <f>IFERROR(VLOOKUP(C369,'Chart of Accounts'!$A$4:$F$30,4,FALSE),"")</f>
        <v>Trade Receivables</v>
      </c>
      <c r="F369" s="27" t="str">
        <f>IFERROR(VLOOKUP(C369,'Chart of Accounts'!$A$4:$F$30,5,FALSE),"")</f>
        <v>BS</v>
      </c>
      <c r="G369" s="15">
        <v>0</v>
      </c>
      <c r="H369" s="15">
        <v>165281.72788587605</v>
      </c>
      <c r="I369" s="10">
        <f t="shared" si="15"/>
        <v>-165281.72788587605</v>
      </c>
      <c r="J369" s="14" t="s">
        <v>456</v>
      </c>
      <c r="K369" s="14" t="s">
        <v>175</v>
      </c>
      <c r="L369" s="14" t="s">
        <v>176</v>
      </c>
      <c r="M369" s="8" t="str">
        <f t="shared" si="16"/>
        <v>2026-04</v>
      </c>
      <c r="N369" s="8" t="str">
        <f t="shared" si="17"/>
        <v>OK</v>
      </c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>
      <c r="A370" s="14" t="s">
        <v>457</v>
      </c>
      <c r="B370" s="26">
        <v>46119</v>
      </c>
      <c r="C370" s="14" t="s">
        <v>52</v>
      </c>
      <c r="D370" s="27" t="str">
        <f>IFERROR(VLOOKUP(C370,'Chart of Accounts'!$A$4:$F$30,2,FALSE),"")</f>
        <v>Bank</v>
      </c>
      <c r="E370" s="27" t="str">
        <f>IFERROR(VLOOKUP(C370,'Chart of Accounts'!$A$4:$F$30,4,FALSE),"")</f>
        <v>Cash</v>
      </c>
      <c r="F370" s="27" t="str">
        <f>IFERROR(VLOOKUP(C370,'Chart of Accounts'!$A$4:$F$30,5,FALSE),"")</f>
        <v>BS</v>
      </c>
      <c r="G370" s="15">
        <v>102701.03025986999</v>
      </c>
      <c r="H370" s="15">
        <v>0</v>
      </c>
      <c r="I370" s="10">
        <f t="shared" si="15"/>
        <v>102701.03025986999</v>
      </c>
      <c r="J370" s="14" t="s">
        <v>458</v>
      </c>
      <c r="K370" s="14" t="s">
        <v>175</v>
      </c>
      <c r="L370" s="14" t="s">
        <v>176</v>
      </c>
      <c r="M370" s="8" t="str">
        <f t="shared" si="16"/>
        <v>2026-04</v>
      </c>
      <c r="N370" s="8" t="str">
        <f t="shared" si="17"/>
        <v>OK</v>
      </c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>
      <c r="A371" s="14" t="s">
        <v>457</v>
      </c>
      <c r="B371" s="26">
        <v>46119</v>
      </c>
      <c r="C371" s="14" t="s">
        <v>58</v>
      </c>
      <c r="D371" s="27" t="str">
        <f>IFERROR(VLOOKUP(C371,'Chart of Accounts'!$A$4:$F$30,2,FALSE),"")</f>
        <v>Trade Receivables</v>
      </c>
      <c r="E371" s="27" t="str">
        <f>IFERROR(VLOOKUP(C371,'Chart of Accounts'!$A$4:$F$30,4,FALSE),"")</f>
        <v>Trade Receivables</v>
      </c>
      <c r="F371" s="27" t="str">
        <f>IFERROR(VLOOKUP(C371,'Chart of Accounts'!$A$4:$F$30,5,FALSE),"")</f>
        <v>BS</v>
      </c>
      <c r="G371" s="15">
        <v>0</v>
      </c>
      <c r="H371" s="15">
        <v>102701.03025986999</v>
      </c>
      <c r="I371" s="10">
        <f t="shared" si="15"/>
        <v>-102701.03025986999</v>
      </c>
      <c r="J371" s="14" t="s">
        <v>458</v>
      </c>
      <c r="K371" s="14" t="s">
        <v>175</v>
      </c>
      <c r="L371" s="14" t="s">
        <v>176</v>
      </c>
      <c r="M371" s="8" t="str">
        <f t="shared" si="16"/>
        <v>2026-04</v>
      </c>
      <c r="N371" s="8" t="str">
        <f t="shared" si="17"/>
        <v>OK</v>
      </c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>
      <c r="A372" s="14" t="s">
        <v>459</v>
      </c>
      <c r="B372" s="26">
        <v>46138</v>
      </c>
      <c r="C372" s="14" t="s">
        <v>52</v>
      </c>
      <c r="D372" s="27" t="str">
        <f>IFERROR(VLOOKUP(C372,'Chart of Accounts'!$A$4:$F$30,2,FALSE),"")</f>
        <v>Bank</v>
      </c>
      <c r="E372" s="27" t="str">
        <f>IFERROR(VLOOKUP(C372,'Chart of Accounts'!$A$4:$F$30,4,FALSE),"")</f>
        <v>Cash</v>
      </c>
      <c r="F372" s="27" t="str">
        <f>IFERROR(VLOOKUP(C372,'Chart of Accounts'!$A$4:$F$30,5,FALSE),"")</f>
        <v>BS</v>
      </c>
      <c r="G372" s="15">
        <v>102791.1677255456</v>
      </c>
      <c r="H372" s="15">
        <v>0</v>
      </c>
      <c r="I372" s="10">
        <f t="shared" si="15"/>
        <v>102791.1677255456</v>
      </c>
      <c r="J372" s="14" t="s">
        <v>460</v>
      </c>
      <c r="K372" s="14" t="s">
        <v>175</v>
      </c>
      <c r="L372" s="14" t="s">
        <v>176</v>
      </c>
      <c r="M372" s="8" t="str">
        <f t="shared" si="16"/>
        <v>2026-04</v>
      </c>
      <c r="N372" s="8" t="str">
        <f t="shared" si="17"/>
        <v>OK</v>
      </c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>
      <c r="A373" s="14" t="s">
        <v>459</v>
      </c>
      <c r="B373" s="26">
        <v>46138</v>
      </c>
      <c r="C373" s="14" t="s">
        <v>58</v>
      </c>
      <c r="D373" s="27" t="str">
        <f>IFERROR(VLOOKUP(C373,'Chart of Accounts'!$A$4:$F$30,2,FALSE),"")</f>
        <v>Trade Receivables</v>
      </c>
      <c r="E373" s="27" t="str">
        <f>IFERROR(VLOOKUP(C373,'Chart of Accounts'!$A$4:$F$30,4,FALSE),"")</f>
        <v>Trade Receivables</v>
      </c>
      <c r="F373" s="27" t="str">
        <f>IFERROR(VLOOKUP(C373,'Chart of Accounts'!$A$4:$F$30,5,FALSE),"")</f>
        <v>BS</v>
      </c>
      <c r="G373" s="15">
        <v>0</v>
      </c>
      <c r="H373" s="15">
        <v>102791.1677255456</v>
      </c>
      <c r="I373" s="10">
        <f t="shared" si="15"/>
        <v>-102791.1677255456</v>
      </c>
      <c r="J373" s="14" t="s">
        <v>460</v>
      </c>
      <c r="K373" s="14" t="s">
        <v>175</v>
      </c>
      <c r="L373" s="14" t="s">
        <v>176</v>
      </c>
      <c r="M373" s="8" t="str">
        <f t="shared" si="16"/>
        <v>2026-04</v>
      </c>
      <c r="N373" s="8" t="str">
        <f t="shared" si="17"/>
        <v>OK</v>
      </c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>
      <c r="A374" s="14" t="s">
        <v>461</v>
      </c>
      <c r="B374" s="26">
        <v>46121</v>
      </c>
      <c r="C374" s="14" t="s">
        <v>52</v>
      </c>
      <c r="D374" s="27" t="str">
        <f>IFERROR(VLOOKUP(C374,'Chart of Accounts'!$A$4:$F$30,2,FALSE),"")</f>
        <v>Bank</v>
      </c>
      <c r="E374" s="27" t="str">
        <f>IFERROR(VLOOKUP(C374,'Chart of Accounts'!$A$4:$F$30,4,FALSE),"")</f>
        <v>Cash</v>
      </c>
      <c r="F374" s="27" t="str">
        <f>IFERROR(VLOOKUP(C374,'Chart of Accounts'!$A$4:$F$30,5,FALSE),"")</f>
        <v>BS</v>
      </c>
      <c r="G374" s="15">
        <v>158120.27623395453</v>
      </c>
      <c r="H374" s="15">
        <v>0</v>
      </c>
      <c r="I374" s="10">
        <f t="shared" si="15"/>
        <v>158120.27623395453</v>
      </c>
      <c r="J374" s="14" t="s">
        <v>462</v>
      </c>
      <c r="K374" s="14" t="s">
        <v>175</v>
      </c>
      <c r="L374" s="14" t="s">
        <v>176</v>
      </c>
      <c r="M374" s="8" t="str">
        <f t="shared" si="16"/>
        <v>2026-04</v>
      </c>
      <c r="N374" s="8" t="str">
        <f t="shared" si="17"/>
        <v>OK</v>
      </c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>
      <c r="A375" s="14" t="s">
        <v>461</v>
      </c>
      <c r="B375" s="26">
        <v>46121</v>
      </c>
      <c r="C375" s="14" t="s">
        <v>58</v>
      </c>
      <c r="D375" s="27" t="str">
        <f>IFERROR(VLOOKUP(C375,'Chart of Accounts'!$A$4:$F$30,2,FALSE),"")</f>
        <v>Trade Receivables</v>
      </c>
      <c r="E375" s="27" t="str">
        <f>IFERROR(VLOOKUP(C375,'Chart of Accounts'!$A$4:$F$30,4,FALSE),"")</f>
        <v>Trade Receivables</v>
      </c>
      <c r="F375" s="27" t="str">
        <f>IFERROR(VLOOKUP(C375,'Chart of Accounts'!$A$4:$F$30,5,FALSE),"")</f>
        <v>BS</v>
      </c>
      <c r="G375" s="15">
        <v>0</v>
      </c>
      <c r="H375" s="15">
        <v>158120.27623395453</v>
      </c>
      <c r="I375" s="10">
        <f t="shared" si="15"/>
        <v>-158120.27623395453</v>
      </c>
      <c r="J375" s="14" t="s">
        <v>462</v>
      </c>
      <c r="K375" s="14" t="s">
        <v>175</v>
      </c>
      <c r="L375" s="14" t="s">
        <v>176</v>
      </c>
      <c r="M375" s="8" t="str">
        <f t="shared" si="16"/>
        <v>2026-04</v>
      </c>
      <c r="N375" s="8" t="str">
        <f t="shared" si="17"/>
        <v>OK</v>
      </c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>
      <c r="A376" s="14" t="s">
        <v>463</v>
      </c>
      <c r="B376" s="26">
        <v>46122</v>
      </c>
      <c r="C376" s="14" t="s">
        <v>52</v>
      </c>
      <c r="D376" s="27" t="str">
        <f>IFERROR(VLOOKUP(C376,'Chart of Accounts'!$A$4:$F$30,2,FALSE),"")</f>
        <v>Bank</v>
      </c>
      <c r="E376" s="27" t="str">
        <f>IFERROR(VLOOKUP(C376,'Chart of Accounts'!$A$4:$F$30,4,FALSE),"")</f>
        <v>Cash</v>
      </c>
      <c r="F376" s="27" t="str">
        <f>IFERROR(VLOOKUP(C376,'Chart of Accounts'!$A$4:$F$30,5,FALSE),"")</f>
        <v>BS</v>
      </c>
      <c r="G376" s="15">
        <v>171644.5656110456</v>
      </c>
      <c r="H376" s="15">
        <v>0</v>
      </c>
      <c r="I376" s="10">
        <f t="shared" si="15"/>
        <v>171644.5656110456</v>
      </c>
      <c r="J376" s="14" t="s">
        <v>464</v>
      </c>
      <c r="K376" s="14" t="s">
        <v>175</v>
      </c>
      <c r="L376" s="14" t="s">
        <v>176</v>
      </c>
      <c r="M376" s="8" t="str">
        <f t="shared" si="16"/>
        <v>2026-04</v>
      </c>
      <c r="N376" s="8" t="str">
        <f t="shared" si="17"/>
        <v>OK</v>
      </c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>
      <c r="A377" s="14" t="s">
        <v>463</v>
      </c>
      <c r="B377" s="26">
        <v>46122</v>
      </c>
      <c r="C377" s="14" t="s">
        <v>58</v>
      </c>
      <c r="D377" s="27" t="str">
        <f>IFERROR(VLOOKUP(C377,'Chart of Accounts'!$A$4:$F$30,2,FALSE),"")</f>
        <v>Trade Receivables</v>
      </c>
      <c r="E377" s="27" t="str">
        <f>IFERROR(VLOOKUP(C377,'Chart of Accounts'!$A$4:$F$30,4,FALSE),"")</f>
        <v>Trade Receivables</v>
      </c>
      <c r="F377" s="27" t="str">
        <f>IFERROR(VLOOKUP(C377,'Chart of Accounts'!$A$4:$F$30,5,FALSE),"")</f>
        <v>BS</v>
      </c>
      <c r="G377" s="15">
        <v>0</v>
      </c>
      <c r="H377" s="15">
        <v>171644.5656110456</v>
      </c>
      <c r="I377" s="10">
        <f t="shared" si="15"/>
        <v>-171644.5656110456</v>
      </c>
      <c r="J377" s="14" t="s">
        <v>464</v>
      </c>
      <c r="K377" s="14" t="s">
        <v>175</v>
      </c>
      <c r="L377" s="14" t="s">
        <v>176</v>
      </c>
      <c r="M377" s="8" t="str">
        <f t="shared" si="16"/>
        <v>2026-04</v>
      </c>
      <c r="N377" s="8" t="str">
        <f t="shared" si="17"/>
        <v>OK</v>
      </c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>
      <c r="A378" s="14" t="s">
        <v>465</v>
      </c>
      <c r="B378" s="26">
        <v>46128</v>
      </c>
      <c r="C378" s="14" t="s">
        <v>63</v>
      </c>
      <c r="D378" s="27" t="str">
        <f>IFERROR(VLOOKUP(C378,'Chart of Accounts'!$A$4:$F$30,2,FALSE),"")</f>
        <v>Inventory</v>
      </c>
      <c r="E378" s="27" t="str">
        <f>IFERROR(VLOOKUP(C378,'Chart of Accounts'!$A$4:$F$30,4,FALSE),"")</f>
        <v>Inventory</v>
      </c>
      <c r="F378" s="27" t="str">
        <f>IFERROR(VLOOKUP(C378,'Chart of Accounts'!$A$4:$F$30,5,FALSE),"")</f>
        <v>BS</v>
      </c>
      <c r="G378" s="15">
        <v>70687.781054440726</v>
      </c>
      <c r="H378" s="15">
        <v>0</v>
      </c>
      <c r="I378" s="10">
        <f t="shared" si="15"/>
        <v>70687.781054440726</v>
      </c>
      <c r="J378" s="14" t="s">
        <v>466</v>
      </c>
      <c r="K378" s="14" t="s">
        <v>304</v>
      </c>
      <c r="L378" s="14" t="s">
        <v>190</v>
      </c>
      <c r="M378" s="8" t="str">
        <f t="shared" si="16"/>
        <v>2026-04</v>
      </c>
      <c r="N378" s="8" t="str">
        <f t="shared" si="17"/>
        <v>OK</v>
      </c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>
      <c r="A379" s="14" t="s">
        <v>465</v>
      </c>
      <c r="B379" s="26">
        <v>46128</v>
      </c>
      <c r="C379" s="14" t="s">
        <v>71</v>
      </c>
      <c r="D379" s="27" t="str">
        <f>IFERROR(VLOOKUP(C379,'Chart of Accounts'!$A$4:$F$30,2,FALSE),"")</f>
        <v>Trade Payables</v>
      </c>
      <c r="E379" s="27" t="str">
        <f>IFERROR(VLOOKUP(C379,'Chart of Accounts'!$A$4:$F$30,4,FALSE),"")</f>
        <v>Trade Payables</v>
      </c>
      <c r="F379" s="27" t="str">
        <f>IFERROR(VLOOKUP(C379,'Chart of Accounts'!$A$4:$F$30,5,FALSE),"")</f>
        <v>BS</v>
      </c>
      <c r="G379" s="15">
        <v>0</v>
      </c>
      <c r="H379" s="15">
        <v>70687.781054440726</v>
      </c>
      <c r="I379" s="10">
        <f t="shared" si="15"/>
        <v>-70687.781054440726</v>
      </c>
      <c r="J379" s="14" t="s">
        <v>466</v>
      </c>
      <c r="K379" s="14" t="s">
        <v>304</v>
      </c>
      <c r="L379" s="14" t="s">
        <v>190</v>
      </c>
      <c r="M379" s="8" t="str">
        <f t="shared" si="16"/>
        <v>2026-04</v>
      </c>
      <c r="N379" s="8" t="str">
        <f t="shared" si="17"/>
        <v>OK</v>
      </c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>
      <c r="A380" s="14" t="s">
        <v>467</v>
      </c>
      <c r="B380" s="26">
        <v>46120</v>
      </c>
      <c r="C380" s="14" t="s">
        <v>63</v>
      </c>
      <c r="D380" s="27" t="str">
        <f>IFERROR(VLOOKUP(C380,'Chart of Accounts'!$A$4:$F$30,2,FALSE),"")</f>
        <v>Inventory</v>
      </c>
      <c r="E380" s="27" t="str">
        <f>IFERROR(VLOOKUP(C380,'Chart of Accounts'!$A$4:$F$30,4,FALSE),"")</f>
        <v>Inventory</v>
      </c>
      <c r="F380" s="27" t="str">
        <f>IFERROR(VLOOKUP(C380,'Chart of Accounts'!$A$4:$F$30,5,FALSE),"")</f>
        <v>BS</v>
      </c>
      <c r="G380" s="15">
        <v>78901.590035926143</v>
      </c>
      <c r="H380" s="15">
        <v>0</v>
      </c>
      <c r="I380" s="10">
        <f t="shared" si="15"/>
        <v>78901.590035926143</v>
      </c>
      <c r="J380" s="14" t="s">
        <v>468</v>
      </c>
      <c r="K380" s="14" t="s">
        <v>389</v>
      </c>
      <c r="L380" s="14" t="s">
        <v>190</v>
      </c>
      <c r="M380" s="8" t="str">
        <f t="shared" si="16"/>
        <v>2026-04</v>
      </c>
      <c r="N380" s="8" t="str">
        <f t="shared" si="17"/>
        <v>OK</v>
      </c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>
      <c r="A381" s="14" t="s">
        <v>467</v>
      </c>
      <c r="B381" s="26">
        <v>46120</v>
      </c>
      <c r="C381" s="14" t="s">
        <v>71</v>
      </c>
      <c r="D381" s="27" t="str">
        <f>IFERROR(VLOOKUP(C381,'Chart of Accounts'!$A$4:$F$30,2,FALSE),"")</f>
        <v>Trade Payables</v>
      </c>
      <c r="E381" s="27" t="str">
        <f>IFERROR(VLOOKUP(C381,'Chart of Accounts'!$A$4:$F$30,4,FALSE),"")</f>
        <v>Trade Payables</v>
      </c>
      <c r="F381" s="27" t="str">
        <f>IFERROR(VLOOKUP(C381,'Chart of Accounts'!$A$4:$F$30,5,FALSE),"")</f>
        <v>BS</v>
      </c>
      <c r="G381" s="15">
        <v>0</v>
      </c>
      <c r="H381" s="15">
        <v>78901.590035926143</v>
      </c>
      <c r="I381" s="10">
        <f t="shared" si="15"/>
        <v>-78901.590035926143</v>
      </c>
      <c r="J381" s="14" t="s">
        <v>468</v>
      </c>
      <c r="K381" s="14" t="s">
        <v>389</v>
      </c>
      <c r="L381" s="14" t="s">
        <v>190</v>
      </c>
      <c r="M381" s="8" t="str">
        <f t="shared" si="16"/>
        <v>2026-04</v>
      </c>
      <c r="N381" s="8" t="str">
        <f t="shared" si="17"/>
        <v>OK</v>
      </c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>
      <c r="A382" s="14" t="s">
        <v>469</v>
      </c>
      <c r="B382" s="26">
        <v>46128</v>
      </c>
      <c r="C382" s="14" t="s">
        <v>63</v>
      </c>
      <c r="D382" s="27" t="str">
        <f>IFERROR(VLOOKUP(C382,'Chart of Accounts'!$A$4:$F$30,2,FALSE),"")</f>
        <v>Inventory</v>
      </c>
      <c r="E382" s="27" t="str">
        <f>IFERROR(VLOOKUP(C382,'Chart of Accounts'!$A$4:$F$30,4,FALSE),"")</f>
        <v>Inventory</v>
      </c>
      <c r="F382" s="27" t="str">
        <f>IFERROR(VLOOKUP(C382,'Chart of Accounts'!$A$4:$F$30,5,FALSE),"")</f>
        <v>BS</v>
      </c>
      <c r="G382" s="15">
        <v>88063.888491966849</v>
      </c>
      <c r="H382" s="15">
        <v>0</v>
      </c>
      <c r="I382" s="10">
        <f t="shared" si="15"/>
        <v>88063.888491966849</v>
      </c>
      <c r="J382" s="14" t="s">
        <v>470</v>
      </c>
      <c r="K382" s="14" t="s">
        <v>471</v>
      </c>
      <c r="L382" s="14" t="s">
        <v>190</v>
      </c>
      <c r="M382" s="8" t="str">
        <f t="shared" si="16"/>
        <v>2026-04</v>
      </c>
      <c r="N382" s="8" t="str">
        <f t="shared" si="17"/>
        <v>OK</v>
      </c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>
      <c r="A383" s="14" t="s">
        <v>469</v>
      </c>
      <c r="B383" s="26">
        <v>46128</v>
      </c>
      <c r="C383" s="14" t="s">
        <v>71</v>
      </c>
      <c r="D383" s="27" t="str">
        <f>IFERROR(VLOOKUP(C383,'Chart of Accounts'!$A$4:$F$30,2,FALSE),"")</f>
        <v>Trade Payables</v>
      </c>
      <c r="E383" s="27" t="str">
        <f>IFERROR(VLOOKUP(C383,'Chart of Accounts'!$A$4:$F$30,4,FALSE),"")</f>
        <v>Trade Payables</v>
      </c>
      <c r="F383" s="27" t="str">
        <f>IFERROR(VLOOKUP(C383,'Chart of Accounts'!$A$4:$F$30,5,FALSE),"")</f>
        <v>BS</v>
      </c>
      <c r="G383" s="15">
        <v>0</v>
      </c>
      <c r="H383" s="15">
        <v>88063.888491966849</v>
      </c>
      <c r="I383" s="10">
        <f t="shared" si="15"/>
        <v>-88063.888491966849</v>
      </c>
      <c r="J383" s="14" t="s">
        <v>470</v>
      </c>
      <c r="K383" s="14" t="s">
        <v>471</v>
      </c>
      <c r="L383" s="14" t="s">
        <v>190</v>
      </c>
      <c r="M383" s="8" t="str">
        <f t="shared" si="16"/>
        <v>2026-04</v>
      </c>
      <c r="N383" s="8" t="str">
        <f t="shared" si="17"/>
        <v>OK</v>
      </c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>
      <c r="A384" s="14" t="s">
        <v>472</v>
      </c>
      <c r="B384" s="26">
        <v>46127</v>
      </c>
      <c r="C384" s="14" t="s">
        <v>63</v>
      </c>
      <c r="D384" s="27" t="str">
        <f>IFERROR(VLOOKUP(C384,'Chart of Accounts'!$A$4:$F$30,2,FALSE),"")</f>
        <v>Inventory</v>
      </c>
      <c r="E384" s="27" t="str">
        <f>IFERROR(VLOOKUP(C384,'Chart of Accounts'!$A$4:$F$30,4,FALSE),"")</f>
        <v>Inventory</v>
      </c>
      <c r="F384" s="27" t="str">
        <f>IFERROR(VLOOKUP(C384,'Chart of Accounts'!$A$4:$F$30,5,FALSE),"")</f>
        <v>BS</v>
      </c>
      <c r="G384" s="15">
        <v>102386.01006934239</v>
      </c>
      <c r="H384" s="15">
        <v>0</v>
      </c>
      <c r="I384" s="10">
        <f t="shared" si="15"/>
        <v>102386.01006934239</v>
      </c>
      <c r="J384" s="14" t="s">
        <v>473</v>
      </c>
      <c r="K384" s="14" t="s">
        <v>471</v>
      </c>
      <c r="L384" s="14" t="s">
        <v>190</v>
      </c>
      <c r="M384" s="8" t="str">
        <f t="shared" si="16"/>
        <v>2026-04</v>
      </c>
      <c r="N384" s="8" t="str">
        <f t="shared" si="17"/>
        <v>OK</v>
      </c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>
      <c r="A385" s="14" t="s">
        <v>472</v>
      </c>
      <c r="B385" s="26">
        <v>46127</v>
      </c>
      <c r="C385" s="14" t="s">
        <v>71</v>
      </c>
      <c r="D385" s="27" t="str">
        <f>IFERROR(VLOOKUP(C385,'Chart of Accounts'!$A$4:$F$30,2,FALSE),"")</f>
        <v>Trade Payables</v>
      </c>
      <c r="E385" s="27" t="str">
        <f>IFERROR(VLOOKUP(C385,'Chart of Accounts'!$A$4:$F$30,4,FALSE),"")</f>
        <v>Trade Payables</v>
      </c>
      <c r="F385" s="27" t="str">
        <f>IFERROR(VLOOKUP(C385,'Chart of Accounts'!$A$4:$F$30,5,FALSE),"")</f>
        <v>BS</v>
      </c>
      <c r="G385" s="15">
        <v>0</v>
      </c>
      <c r="H385" s="15">
        <v>102386.01006934239</v>
      </c>
      <c r="I385" s="10">
        <f t="shared" si="15"/>
        <v>-102386.01006934239</v>
      </c>
      <c r="J385" s="14" t="s">
        <v>473</v>
      </c>
      <c r="K385" s="14" t="s">
        <v>471</v>
      </c>
      <c r="L385" s="14" t="s">
        <v>190</v>
      </c>
      <c r="M385" s="8" t="str">
        <f t="shared" si="16"/>
        <v>2026-04</v>
      </c>
      <c r="N385" s="8" t="str">
        <f t="shared" si="17"/>
        <v>OK</v>
      </c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>
      <c r="A386" s="14" t="s">
        <v>474</v>
      </c>
      <c r="B386" s="26">
        <v>46131</v>
      </c>
      <c r="C386" s="14" t="s">
        <v>63</v>
      </c>
      <c r="D386" s="27" t="str">
        <f>IFERROR(VLOOKUP(C386,'Chart of Accounts'!$A$4:$F$30,2,FALSE),"")</f>
        <v>Inventory</v>
      </c>
      <c r="E386" s="27" t="str">
        <f>IFERROR(VLOOKUP(C386,'Chart of Accounts'!$A$4:$F$30,4,FALSE),"")</f>
        <v>Inventory</v>
      </c>
      <c r="F386" s="27" t="str">
        <f>IFERROR(VLOOKUP(C386,'Chart of Accounts'!$A$4:$F$30,5,FALSE),"")</f>
        <v>BS</v>
      </c>
      <c r="G386" s="15">
        <v>64651.581020872043</v>
      </c>
      <c r="H386" s="15">
        <v>0</v>
      </c>
      <c r="I386" s="10">
        <f t="shared" si="15"/>
        <v>64651.581020872043</v>
      </c>
      <c r="J386" s="14" t="s">
        <v>475</v>
      </c>
      <c r="K386" s="14" t="s">
        <v>380</v>
      </c>
      <c r="L386" s="14" t="s">
        <v>190</v>
      </c>
      <c r="M386" s="8" t="str">
        <f t="shared" si="16"/>
        <v>2026-04</v>
      </c>
      <c r="N386" s="8" t="str">
        <f t="shared" si="17"/>
        <v>OK</v>
      </c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>
      <c r="A387" s="14" t="s">
        <v>474</v>
      </c>
      <c r="B387" s="26">
        <v>46131</v>
      </c>
      <c r="C387" s="14" t="s">
        <v>71</v>
      </c>
      <c r="D387" s="27" t="str">
        <f>IFERROR(VLOOKUP(C387,'Chart of Accounts'!$A$4:$F$30,2,FALSE),"")</f>
        <v>Trade Payables</v>
      </c>
      <c r="E387" s="27" t="str">
        <f>IFERROR(VLOOKUP(C387,'Chart of Accounts'!$A$4:$F$30,4,FALSE),"")</f>
        <v>Trade Payables</v>
      </c>
      <c r="F387" s="27" t="str">
        <f>IFERROR(VLOOKUP(C387,'Chart of Accounts'!$A$4:$F$30,5,FALSE),"")</f>
        <v>BS</v>
      </c>
      <c r="G387" s="15">
        <v>0</v>
      </c>
      <c r="H387" s="15">
        <v>64651.581020872043</v>
      </c>
      <c r="I387" s="10">
        <f t="shared" si="15"/>
        <v>-64651.581020872043</v>
      </c>
      <c r="J387" s="14" t="s">
        <v>475</v>
      </c>
      <c r="K387" s="14" t="s">
        <v>380</v>
      </c>
      <c r="L387" s="14" t="s">
        <v>190</v>
      </c>
      <c r="M387" s="8" t="str">
        <f t="shared" si="16"/>
        <v>2026-04</v>
      </c>
      <c r="N387" s="8" t="str">
        <f t="shared" si="17"/>
        <v>OK</v>
      </c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>
      <c r="A388" s="14" t="s">
        <v>476</v>
      </c>
      <c r="B388" s="26">
        <v>46123</v>
      </c>
      <c r="C388" s="14" t="s">
        <v>63</v>
      </c>
      <c r="D388" s="27" t="str">
        <f>IFERROR(VLOOKUP(C388,'Chart of Accounts'!$A$4:$F$30,2,FALSE),"")</f>
        <v>Inventory</v>
      </c>
      <c r="E388" s="27" t="str">
        <f>IFERROR(VLOOKUP(C388,'Chart of Accounts'!$A$4:$F$30,4,FALSE),"")</f>
        <v>Inventory</v>
      </c>
      <c r="F388" s="27" t="str">
        <f>IFERROR(VLOOKUP(C388,'Chart of Accounts'!$A$4:$F$30,5,FALSE),"")</f>
        <v>BS</v>
      </c>
      <c r="G388" s="15">
        <v>100209.14932745192</v>
      </c>
      <c r="H388" s="15">
        <v>0</v>
      </c>
      <c r="I388" s="10">
        <f t="shared" ref="I388:I451" si="18">G388-H388</f>
        <v>100209.14932745192</v>
      </c>
      <c r="J388" s="14" t="s">
        <v>477</v>
      </c>
      <c r="K388" s="14" t="s">
        <v>386</v>
      </c>
      <c r="L388" s="14" t="s">
        <v>190</v>
      </c>
      <c r="M388" s="8" t="str">
        <f t="shared" ref="M388:M451" si="19">TEXT(B388,"yyyy-mm")</f>
        <v>2026-04</v>
      </c>
      <c r="N388" s="8" t="str">
        <f t="shared" ref="N388:N451" si="20">"OK"</f>
        <v>OK</v>
      </c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>
      <c r="A389" s="14" t="s">
        <v>476</v>
      </c>
      <c r="B389" s="26">
        <v>46123</v>
      </c>
      <c r="C389" s="14" t="s">
        <v>71</v>
      </c>
      <c r="D389" s="27" t="str">
        <f>IFERROR(VLOOKUP(C389,'Chart of Accounts'!$A$4:$F$30,2,FALSE),"")</f>
        <v>Trade Payables</v>
      </c>
      <c r="E389" s="27" t="str">
        <f>IFERROR(VLOOKUP(C389,'Chart of Accounts'!$A$4:$F$30,4,FALSE),"")</f>
        <v>Trade Payables</v>
      </c>
      <c r="F389" s="27" t="str">
        <f>IFERROR(VLOOKUP(C389,'Chart of Accounts'!$A$4:$F$30,5,FALSE),"")</f>
        <v>BS</v>
      </c>
      <c r="G389" s="15">
        <v>0</v>
      </c>
      <c r="H389" s="15">
        <v>100209.14932745192</v>
      </c>
      <c r="I389" s="10">
        <f t="shared" si="18"/>
        <v>-100209.14932745192</v>
      </c>
      <c r="J389" s="14" t="s">
        <v>477</v>
      </c>
      <c r="K389" s="14" t="s">
        <v>386</v>
      </c>
      <c r="L389" s="14" t="s">
        <v>190</v>
      </c>
      <c r="M389" s="8" t="str">
        <f t="shared" si="19"/>
        <v>2026-04</v>
      </c>
      <c r="N389" s="8" t="str">
        <f t="shared" si="20"/>
        <v>OK</v>
      </c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>
      <c r="A390" s="14" t="s">
        <v>478</v>
      </c>
      <c r="B390" s="26">
        <v>46135</v>
      </c>
      <c r="C390" s="14" t="s">
        <v>71</v>
      </c>
      <c r="D390" s="27" t="str">
        <f>IFERROR(VLOOKUP(C390,'Chart of Accounts'!$A$4:$F$30,2,FALSE),"")</f>
        <v>Trade Payables</v>
      </c>
      <c r="E390" s="27" t="str">
        <f>IFERROR(VLOOKUP(C390,'Chart of Accounts'!$A$4:$F$30,4,FALSE),"")</f>
        <v>Trade Payables</v>
      </c>
      <c r="F390" s="27" t="str">
        <f>IFERROR(VLOOKUP(C390,'Chart of Accounts'!$A$4:$F$30,5,FALSE),"")</f>
        <v>BS</v>
      </c>
      <c r="G390" s="15">
        <v>98210.022579160592</v>
      </c>
      <c r="H390" s="15">
        <v>0</v>
      </c>
      <c r="I390" s="10">
        <f t="shared" si="18"/>
        <v>98210.022579160592</v>
      </c>
      <c r="J390" s="14" t="s">
        <v>479</v>
      </c>
      <c r="K390" s="14" t="s">
        <v>207</v>
      </c>
      <c r="L390" s="14" t="s">
        <v>208</v>
      </c>
      <c r="M390" s="8" t="str">
        <f t="shared" si="19"/>
        <v>2026-04</v>
      </c>
      <c r="N390" s="8" t="str">
        <f t="shared" si="20"/>
        <v>OK</v>
      </c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>
      <c r="A391" s="14" t="s">
        <v>478</v>
      </c>
      <c r="B391" s="26">
        <v>46135</v>
      </c>
      <c r="C391" s="14" t="s">
        <v>52</v>
      </c>
      <c r="D391" s="27" t="str">
        <f>IFERROR(VLOOKUP(C391,'Chart of Accounts'!$A$4:$F$30,2,FALSE),"")</f>
        <v>Bank</v>
      </c>
      <c r="E391" s="27" t="str">
        <f>IFERROR(VLOOKUP(C391,'Chart of Accounts'!$A$4:$F$30,4,FALSE),"")</f>
        <v>Cash</v>
      </c>
      <c r="F391" s="27" t="str">
        <f>IFERROR(VLOOKUP(C391,'Chart of Accounts'!$A$4:$F$30,5,FALSE),"")</f>
        <v>BS</v>
      </c>
      <c r="G391" s="15">
        <v>0</v>
      </c>
      <c r="H391" s="15">
        <v>98210.022579160592</v>
      </c>
      <c r="I391" s="10">
        <f t="shared" si="18"/>
        <v>-98210.022579160592</v>
      </c>
      <c r="J391" s="14" t="s">
        <v>479</v>
      </c>
      <c r="K391" s="14" t="s">
        <v>207</v>
      </c>
      <c r="L391" s="14" t="s">
        <v>208</v>
      </c>
      <c r="M391" s="8" t="str">
        <f t="shared" si="19"/>
        <v>2026-04</v>
      </c>
      <c r="N391" s="8" t="str">
        <f t="shared" si="20"/>
        <v>OK</v>
      </c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>
      <c r="A392" s="14" t="s">
        <v>480</v>
      </c>
      <c r="B392" s="26">
        <v>46123</v>
      </c>
      <c r="C392" s="14" t="s">
        <v>71</v>
      </c>
      <c r="D392" s="27" t="str">
        <f>IFERROR(VLOOKUP(C392,'Chart of Accounts'!$A$4:$F$30,2,FALSE),"")</f>
        <v>Trade Payables</v>
      </c>
      <c r="E392" s="27" t="str">
        <f>IFERROR(VLOOKUP(C392,'Chart of Accounts'!$A$4:$F$30,4,FALSE),"")</f>
        <v>Trade Payables</v>
      </c>
      <c r="F392" s="27" t="str">
        <f>IFERROR(VLOOKUP(C392,'Chart of Accounts'!$A$4:$F$30,5,FALSE),"")</f>
        <v>BS</v>
      </c>
      <c r="G392" s="15">
        <v>82914.831453516847</v>
      </c>
      <c r="H392" s="15">
        <v>0</v>
      </c>
      <c r="I392" s="10">
        <f t="shared" si="18"/>
        <v>82914.831453516847</v>
      </c>
      <c r="J392" s="14" t="s">
        <v>481</v>
      </c>
      <c r="K392" s="14" t="s">
        <v>207</v>
      </c>
      <c r="L392" s="14" t="s">
        <v>208</v>
      </c>
      <c r="M392" s="8" t="str">
        <f t="shared" si="19"/>
        <v>2026-04</v>
      </c>
      <c r="N392" s="8" t="str">
        <f t="shared" si="20"/>
        <v>OK</v>
      </c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>
      <c r="A393" s="14" t="s">
        <v>480</v>
      </c>
      <c r="B393" s="26">
        <v>46123</v>
      </c>
      <c r="C393" s="14" t="s">
        <v>52</v>
      </c>
      <c r="D393" s="27" t="str">
        <f>IFERROR(VLOOKUP(C393,'Chart of Accounts'!$A$4:$F$30,2,FALSE),"")</f>
        <v>Bank</v>
      </c>
      <c r="E393" s="27" t="str">
        <f>IFERROR(VLOOKUP(C393,'Chart of Accounts'!$A$4:$F$30,4,FALSE),"")</f>
        <v>Cash</v>
      </c>
      <c r="F393" s="27" t="str">
        <f>IFERROR(VLOOKUP(C393,'Chart of Accounts'!$A$4:$F$30,5,FALSE),"")</f>
        <v>BS</v>
      </c>
      <c r="G393" s="15">
        <v>0</v>
      </c>
      <c r="H393" s="15">
        <v>82914.831453516847</v>
      </c>
      <c r="I393" s="10">
        <f t="shared" si="18"/>
        <v>-82914.831453516847</v>
      </c>
      <c r="J393" s="14" t="s">
        <v>481</v>
      </c>
      <c r="K393" s="14" t="s">
        <v>207</v>
      </c>
      <c r="L393" s="14" t="s">
        <v>208</v>
      </c>
      <c r="M393" s="8" t="str">
        <f t="shared" si="19"/>
        <v>2026-04</v>
      </c>
      <c r="N393" s="8" t="str">
        <f t="shared" si="20"/>
        <v>OK</v>
      </c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>
      <c r="A394" s="14" t="s">
        <v>482</v>
      </c>
      <c r="B394" s="26">
        <v>46138</v>
      </c>
      <c r="C394" s="14" t="s">
        <v>71</v>
      </c>
      <c r="D394" s="27" t="str">
        <f>IFERROR(VLOOKUP(C394,'Chart of Accounts'!$A$4:$F$30,2,FALSE),"")</f>
        <v>Trade Payables</v>
      </c>
      <c r="E394" s="27" t="str">
        <f>IFERROR(VLOOKUP(C394,'Chart of Accounts'!$A$4:$F$30,4,FALSE),"")</f>
        <v>Trade Payables</v>
      </c>
      <c r="F394" s="27" t="str">
        <f>IFERROR(VLOOKUP(C394,'Chart of Accounts'!$A$4:$F$30,5,FALSE),"")</f>
        <v>BS</v>
      </c>
      <c r="G394" s="15">
        <v>110150.12267532699</v>
      </c>
      <c r="H394" s="15">
        <v>0</v>
      </c>
      <c r="I394" s="10">
        <f t="shared" si="18"/>
        <v>110150.12267532699</v>
      </c>
      <c r="J394" s="14" t="s">
        <v>483</v>
      </c>
      <c r="K394" s="14" t="s">
        <v>207</v>
      </c>
      <c r="L394" s="14" t="s">
        <v>208</v>
      </c>
      <c r="M394" s="8" t="str">
        <f t="shared" si="19"/>
        <v>2026-04</v>
      </c>
      <c r="N394" s="8" t="str">
        <f t="shared" si="20"/>
        <v>OK</v>
      </c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>
      <c r="A395" s="14" t="s">
        <v>482</v>
      </c>
      <c r="B395" s="26">
        <v>46138</v>
      </c>
      <c r="C395" s="14" t="s">
        <v>52</v>
      </c>
      <c r="D395" s="27" t="str">
        <f>IFERROR(VLOOKUP(C395,'Chart of Accounts'!$A$4:$F$30,2,FALSE),"")</f>
        <v>Bank</v>
      </c>
      <c r="E395" s="27" t="str">
        <f>IFERROR(VLOOKUP(C395,'Chart of Accounts'!$A$4:$F$30,4,FALSE),"")</f>
        <v>Cash</v>
      </c>
      <c r="F395" s="27" t="str">
        <f>IFERROR(VLOOKUP(C395,'Chart of Accounts'!$A$4:$F$30,5,FALSE),"")</f>
        <v>BS</v>
      </c>
      <c r="G395" s="15">
        <v>0</v>
      </c>
      <c r="H395" s="15">
        <v>110150.12267532699</v>
      </c>
      <c r="I395" s="10">
        <f t="shared" si="18"/>
        <v>-110150.12267532699</v>
      </c>
      <c r="J395" s="14" t="s">
        <v>483</v>
      </c>
      <c r="K395" s="14" t="s">
        <v>207</v>
      </c>
      <c r="L395" s="14" t="s">
        <v>208</v>
      </c>
      <c r="M395" s="8" t="str">
        <f t="shared" si="19"/>
        <v>2026-04</v>
      </c>
      <c r="N395" s="8" t="str">
        <f t="shared" si="20"/>
        <v>OK</v>
      </c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>
      <c r="A396" s="14" t="s">
        <v>484</v>
      </c>
      <c r="B396" s="26">
        <v>46136</v>
      </c>
      <c r="C396" s="14" t="s">
        <v>71</v>
      </c>
      <c r="D396" s="27" t="str">
        <f>IFERROR(VLOOKUP(C396,'Chart of Accounts'!$A$4:$F$30,2,FALSE),"")</f>
        <v>Trade Payables</v>
      </c>
      <c r="E396" s="27" t="str">
        <f>IFERROR(VLOOKUP(C396,'Chart of Accounts'!$A$4:$F$30,4,FALSE),"")</f>
        <v>Trade Payables</v>
      </c>
      <c r="F396" s="27" t="str">
        <f>IFERROR(VLOOKUP(C396,'Chart of Accounts'!$A$4:$F$30,5,FALSE),"")</f>
        <v>BS</v>
      </c>
      <c r="G396" s="15">
        <v>119432.00563829031</v>
      </c>
      <c r="H396" s="15">
        <v>0</v>
      </c>
      <c r="I396" s="10">
        <f t="shared" si="18"/>
        <v>119432.00563829031</v>
      </c>
      <c r="J396" s="14" t="s">
        <v>485</v>
      </c>
      <c r="K396" s="14" t="s">
        <v>207</v>
      </c>
      <c r="L396" s="14" t="s">
        <v>208</v>
      </c>
      <c r="M396" s="8" t="str">
        <f t="shared" si="19"/>
        <v>2026-04</v>
      </c>
      <c r="N396" s="8" t="str">
        <f t="shared" si="20"/>
        <v>OK</v>
      </c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>
      <c r="A397" s="14" t="s">
        <v>484</v>
      </c>
      <c r="B397" s="26">
        <v>46136</v>
      </c>
      <c r="C397" s="14" t="s">
        <v>52</v>
      </c>
      <c r="D397" s="27" t="str">
        <f>IFERROR(VLOOKUP(C397,'Chart of Accounts'!$A$4:$F$30,2,FALSE),"")</f>
        <v>Bank</v>
      </c>
      <c r="E397" s="27" t="str">
        <f>IFERROR(VLOOKUP(C397,'Chart of Accounts'!$A$4:$F$30,4,FALSE),"")</f>
        <v>Cash</v>
      </c>
      <c r="F397" s="27" t="str">
        <f>IFERROR(VLOOKUP(C397,'Chart of Accounts'!$A$4:$F$30,5,FALSE),"")</f>
        <v>BS</v>
      </c>
      <c r="G397" s="15">
        <v>0</v>
      </c>
      <c r="H397" s="15">
        <v>119432.00563829031</v>
      </c>
      <c r="I397" s="10">
        <f t="shared" si="18"/>
        <v>-119432.00563829031</v>
      </c>
      <c r="J397" s="14" t="s">
        <v>485</v>
      </c>
      <c r="K397" s="14" t="s">
        <v>207</v>
      </c>
      <c r="L397" s="14" t="s">
        <v>208</v>
      </c>
      <c r="M397" s="8" t="str">
        <f t="shared" si="19"/>
        <v>2026-04</v>
      </c>
      <c r="N397" s="8" t="str">
        <f t="shared" si="20"/>
        <v>OK</v>
      </c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>
      <c r="A398" s="14" t="s">
        <v>486</v>
      </c>
      <c r="B398" s="26">
        <v>46139</v>
      </c>
      <c r="C398" s="14" t="s">
        <v>71</v>
      </c>
      <c r="D398" s="27" t="str">
        <f>IFERROR(VLOOKUP(C398,'Chart of Accounts'!$A$4:$F$30,2,FALSE),"")</f>
        <v>Trade Payables</v>
      </c>
      <c r="E398" s="27" t="str">
        <f>IFERROR(VLOOKUP(C398,'Chart of Accounts'!$A$4:$F$30,4,FALSE),"")</f>
        <v>Trade Payables</v>
      </c>
      <c r="F398" s="27" t="str">
        <f>IFERROR(VLOOKUP(C398,'Chart of Accounts'!$A$4:$F$30,5,FALSE),"")</f>
        <v>BS</v>
      </c>
      <c r="G398" s="15">
        <v>80055.817653705337</v>
      </c>
      <c r="H398" s="15">
        <v>0</v>
      </c>
      <c r="I398" s="10">
        <f t="shared" si="18"/>
        <v>80055.817653705337</v>
      </c>
      <c r="J398" s="14" t="s">
        <v>487</v>
      </c>
      <c r="K398" s="14" t="s">
        <v>207</v>
      </c>
      <c r="L398" s="14" t="s">
        <v>208</v>
      </c>
      <c r="M398" s="8" t="str">
        <f t="shared" si="19"/>
        <v>2026-04</v>
      </c>
      <c r="N398" s="8" t="str">
        <f t="shared" si="20"/>
        <v>OK</v>
      </c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>
      <c r="A399" s="14" t="s">
        <v>486</v>
      </c>
      <c r="B399" s="26">
        <v>46139</v>
      </c>
      <c r="C399" s="14" t="s">
        <v>52</v>
      </c>
      <c r="D399" s="27" t="str">
        <f>IFERROR(VLOOKUP(C399,'Chart of Accounts'!$A$4:$F$30,2,FALSE),"")</f>
        <v>Bank</v>
      </c>
      <c r="E399" s="27" t="str">
        <f>IFERROR(VLOOKUP(C399,'Chart of Accounts'!$A$4:$F$30,4,FALSE),"")</f>
        <v>Cash</v>
      </c>
      <c r="F399" s="27" t="str">
        <f>IFERROR(VLOOKUP(C399,'Chart of Accounts'!$A$4:$F$30,5,FALSE),"")</f>
        <v>BS</v>
      </c>
      <c r="G399" s="15">
        <v>0</v>
      </c>
      <c r="H399" s="15">
        <v>80055.817653705337</v>
      </c>
      <c r="I399" s="10">
        <f t="shared" si="18"/>
        <v>-80055.817653705337</v>
      </c>
      <c r="J399" s="14" t="s">
        <v>487</v>
      </c>
      <c r="K399" s="14" t="s">
        <v>207</v>
      </c>
      <c r="L399" s="14" t="s">
        <v>208</v>
      </c>
      <c r="M399" s="8" t="str">
        <f t="shared" si="19"/>
        <v>2026-04</v>
      </c>
      <c r="N399" s="8" t="str">
        <f t="shared" si="20"/>
        <v>OK</v>
      </c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>
      <c r="A400" s="14" t="s">
        <v>488</v>
      </c>
      <c r="B400" s="26">
        <v>46137</v>
      </c>
      <c r="C400" s="14" t="s">
        <v>94</v>
      </c>
      <c r="D400" s="27" t="str">
        <f>IFERROR(VLOOKUP(C400,'Chart of Accounts'!$A$4:$F$30,2,FALSE),"")</f>
        <v>Salaries &amp; Wages</v>
      </c>
      <c r="E400" s="27" t="str">
        <f>IFERROR(VLOOKUP(C400,'Chart of Accounts'!$A$4:$F$30,4,FALSE),"")</f>
        <v>Salaries</v>
      </c>
      <c r="F400" s="27" t="str">
        <f>IFERROR(VLOOKUP(C400,'Chart of Accounts'!$A$4:$F$30,5,FALSE),"")</f>
        <v>PL</v>
      </c>
      <c r="G400" s="15">
        <v>181710.97661284902</v>
      </c>
      <c r="H400" s="15">
        <v>0</v>
      </c>
      <c r="I400" s="10">
        <f t="shared" si="18"/>
        <v>181710.97661284902</v>
      </c>
      <c r="J400" s="14" t="s">
        <v>489</v>
      </c>
      <c r="K400" s="14" t="s">
        <v>219</v>
      </c>
      <c r="L400" s="14" t="s">
        <v>220</v>
      </c>
      <c r="M400" s="8" t="str">
        <f t="shared" si="19"/>
        <v>2026-04</v>
      </c>
      <c r="N400" s="8" t="str">
        <f t="shared" si="20"/>
        <v>OK</v>
      </c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>
      <c r="A401" s="14" t="s">
        <v>488</v>
      </c>
      <c r="B401" s="26">
        <v>46137</v>
      </c>
      <c r="C401" s="14" t="s">
        <v>97</v>
      </c>
      <c r="D401" s="27" t="str">
        <f>IFERROR(VLOOKUP(C401,'Chart of Accounts'!$A$4:$F$30,2,FALSE),"")</f>
        <v>Employer NI &amp; Pension</v>
      </c>
      <c r="E401" s="27" t="str">
        <f>IFERROR(VLOOKUP(C401,'Chart of Accounts'!$A$4:$F$30,4,FALSE),"")</f>
        <v>Employer Costs</v>
      </c>
      <c r="F401" s="27" t="str">
        <f>IFERROR(VLOOKUP(C401,'Chart of Accounts'!$A$4:$F$30,5,FALSE),"")</f>
        <v>PL</v>
      </c>
      <c r="G401" s="15">
        <v>24530.981842734618</v>
      </c>
      <c r="H401" s="15">
        <v>0</v>
      </c>
      <c r="I401" s="10">
        <f t="shared" si="18"/>
        <v>24530.981842734618</v>
      </c>
      <c r="J401" s="14" t="s">
        <v>489</v>
      </c>
      <c r="K401" s="14" t="s">
        <v>219</v>
      </c>
      <c r="L401" s="14" t="s">
        <v>220</v>
      </c>
      <c r="M401" s="8" t="str">
        <f t="shared" si="19"/>
        <v>2026-04</v>
      </c>
      <c r="N401" s="8" t="str">
        <f t="shared" si="20"/>
        <v>OK</v>
      </c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>
      <c r="A402" s="14" t="s">
        <v>488</v>
      </c>
      <c r="B402" s="26">
        <v>46137</v>
      </c>
      <c r="C402" s="14" t="s">
        <v>52</v>
      </c>
      <c r="D402" s="27" t="str">
        <f>IFERROR(VLOOKUP(C402,'Chart of Accounts'!$A$4:$F$30,2,FALSE),"")</f>
        <v>Bank</v>
      </c>
      <c r="E402" s="27" t="str">
        <f>IFERROR(VLOOKUP(C402,'Chart of Accounts'!$A$4:$F$30,4,FALSE),"")</f>
        <v>Cash</v>
      </c>
      <c r="F402" s="27" t="str">
        <f>IFERROR(VLOOKUP(C402,'Chart of Accounts'!$A$4:$F$30,5,FALSE),"")</f>
        <v>BS</v>
      </c>
      <c r="G402" s="15">
        <v>0</v>
      </c>
      <c r="H402" s="15">
        <v>192613.63520961997</v>
      </c>
      <c r="I402" s="10">
        <f t="shared" si="18"/>
        <v>-192613.63520961997</v>
      </c>
      <c r="J402" s="14" t="s">
        <v>489</v>
      </c>
      <c r="K402" s="14" t="s">
        <v>219</v>
      </c>
      <c r="L402" s="14" t="s">
        <v>220</v>
      </c>
      <c r="M402" s="8" t="str">
        <f t="shared" si="19"/>
        <v>2026-04</v>
      </c>
      <c r="N402" s="8" t="str">
        <f t="shared" si="20"/>
        <v>OK</v>
      </c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>
      <c r="A403" s="14" t="s">
        <v>488</v>
      </c>
      <c r="B403" s="26">
        <v>46137</v>
      </c>
      <c r="C403" s="14" t="s">
        <v>76</v>
      </c>
      <c r="D403" s="27" t="str">
        <f>IFERROR(VLOOKUP(C403,'Chart of Accounts'!$A$4:$F$30,2,FALSE),"")</f>
        <v>Payroll Liabilities</v>
      </c>
      <c r="E403" s="27" t="str">
        <f>IFERROR(VLOOKUP(C403,'Chart of Accounts'!$A$4:$F$30,4,FALSE),"")</f>
        <v>Payroll Liabilities</v>
      </c>
      <c r="F403" s="27" t="str">
        <f>IFERROR(VLOOKUP(C403,'Chart of Accounts'!$A$4:$F$30,5,FALSE),"")</f>
        <v>BS</v>
      </c>
      <c r="G403" s="15">
        <v>0</v>
      </c>
      <c r="H403" s="15">
        <v>13628.323245963677</v>
      </c>
      <c r="I403" s="10">
        <f t="shared" si="18"/>
        <v>-13628.323245963677</v>
      </c>
      <c r="J403" s="14" t="s">
        <v>489</v>
      </c>
      <c r="K403" s="14" t="s">
        <v>219</v>
      </c>
      <c r="L403" s="14" t="s">
        <v>220</v>
      </c>
      <c r="M403" s="8" t="str">
        <f t="shared" si="19"/>
        <v>2026-04</v>
      </c>
      <c r="N403" s="8" t="str">
        <f t="shared" si="20"/>
        <v>OK</v>
      </c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>
      <c r="A404" s="14" t="s">
        <v>490</v>
      </c>
      <c r="B404" s="26">
        <v>46140</v>
      </c>
      <c r="C404" s="14" t="s">
        <v>76</v>
      </c>
      <c r="D404" s="27" t="str">
        <f>IFERROR(VLOOKUP(C404,'Chart of Accounts'!$A$4:$F$30,2,FALSE),"")</f>
        <v>Payroll Liabilities</v>
      </c>
      <c r="E404" s="27" t="str">
        <f>IFERROR(VLOOKUP(C404,'Chart of Accounts'!$A$4:$F$30,4,FALSE),"")</f>
        <v>Payroll Liabilities</v>
      </c>
      <c r="F404" s="27" t="str">
        <f>IFERROR(VLOOKUP(C404,'Chart of Accounts'!$A$4:$F$30,5,FALSE),"")</f>
        <v>BS</v>
      </c>
      <c r="G404" s="15">
        <v>13628.323245963677</v>
      </c>
      <c r="H404" s="15">
        <v>0</v>
      </c>
      <c r="I404" s="10">
        <f t="shared" si="18"/>
        <v>13628.323245963677</v>
      </c>
      <c r="J404" s="14" t="s">
        <v>491</v>
      </c>
      <c r="K404" s="14" t="s">
        <v>223</v>
      </c>
      <c r="L404" s="14" t="s">
        <v>220</v>
      </c>
      <c r="M404" s="8" t="str">
        <f t="shared" si="19"/>
        <v>2026-04</v>
      </c>
      <c r="N404" s="8" t="str">
        <f t="shared" si="20"/>
        <v>OK</v>
      </c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>
      <c r="A405" s="14" t="s">
        <v>490</v>
      </c>
      <c r="B405" s="26">
        <v>46140</v>
      </c>
      <c r="C405" s="14" t="s">
        <v>52</v>
      </c>
      <c r="D405" s="27" t="str">
        <f>IFERROR(VLOOKUP(C405,'Chart of Accounts'!$A$4:$F$30,2,FALSE),"")</f>
        <v>Bank</v>
      </c>
      <c r="E405" s="27" t="str">
        <f>IFERROR(VLOOKUP(C405,'Chart of Accounts'!$A$4:$F$30,4,FALSE),"")</f>
        <v>Cash</v>
      </c>
      <c r="F405" s="27" t="str">
        <f>IFERROR(VLOOKUP(C405,'Chart of Accounts'!$A$4:$F$30,5,FALSE),"")</f>
        <v>BS</v>
      </c>
      <c r="G405" s="15">
        <v>0</v>
      </c>
      <c r="H405" s="15">
        <v>13628.323245963677</v>
      </c>
      <c r="I405" s="10">
        <f t="shared" si="18"/>
        <v>-13628.323245963677</v>
      </c>
      <c r="J405" s="14" t="s">
        <v>491</v>
      </c>
      <c r="K405" s="14" t="s">
        <v>223</v>
      </c>
      <c r="L405" s="14" t="s">
        <v>220</v>
      </c>
      <c r="M405" s="8" t="str">
        <f t="shared" si="19"/>
        <v>2026-04</v>
      </c>
      <c r="N405" s="8" t="str">
        <f t="shared" si="20"/>
        <v>OK</v>
      </c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>
      <c r="A406" s="14" t="s">
        <v>492</v>
      </c>
      <c r="B406" s="26">
        <v>46130</v>
      </c>
      <c r="C406" s="14" t="s">
        <v>100</v>
      </c>
      <c r="D406" s="27" t="str">
        <f>IFERROR(VLOOKUP(C406,'Chart of Accounts'!$A$4:$F$30,2,FALSE),"")</f>
        <v>Marketing</v>
      </c>
      <c r="E406" s="27" t="str">
        <f>IFERROR(VLOOKUP(C406,'Chart of Accounts'!$A$4:$F$30,4,FALSE),"")</f>
        <v>Marketing</v>
      </c>
      <c r="F406" s="27" t="str">
        <f>IFERROR(VLOOKUP(C406,'Chart of Accounts'!$A$4:$F$30,5,FALSE),"")</f>
        <v>PL</v>
      </c>
      <c r="G406" s="15">
        <v>70443.090840213394</v>
      </c>
      <c r="H406" s="15">
        <v>0</v>
      </c>
      <c r="I406" s="10">
        <f t="shared" si="18"/>
        <v>70443.090840213394</v>
      </c>
      <c r="J406" s="14" t="s">
        <v>493</v>
      </c>
      <c r="K406" s="14" t="s">
        <v>226</v>
      </c>
      <c r="L406" s="14" t="s">
        <v>190</v>
      </c>
      <c r="M406" s="8" t="str">
        <f t="shared" si="19"/>
        <v>2026-04</v>
      </c>
      <c r="N406" s="8" t="str">
        <f t="shared" si="20"/>
        <v>OK</v>
      </c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>
      <c r="A407" s="14" t="s">
        <v>492</v>
      </c>
      <c r="B407" s="26">
        <v>46130</v>
      </c>
      <c r="C407" s="14" t="s">
        <v>71</v>
      </c>
      <c r="D407" s="27" t="str">
        <f>IFERROR(VLOOKUP(C407,'Chart of Accounts'!$A$4:$F$30,2,FALSE),"")</f>
        <v>Trade Payables</v>
      </c>
      <c r="E407" s="27" t="str">
        <f>IFERROR(VLOOKUP(C407,'Chart of Accounts'!$A$4:$F$30,4,FALSE),"")</f>
        <v>Trade Payables</v>
      </c>
      <c r="F407" s="27" t="str">
        <f>IFERROR(VLOOKUP(C407,'Chart of Accounts'!$A$4:$F$30,5,FALSE),"")</f>
        <v>BS</v>
      </c>
      <c r="G407" s="15">
        <v>0</v>
      </c>
      <c r="H407" s="15">
        <v>70443.090840213394</v>
      </c>
      <c r="I407" s="10">
        <f t="shared" si="18"/>
        <v>-70443.090840213394</v>
      </c>
      <c r="J407" s="14" t="s">
        <v>493</v>
      </c>
      <c r="K407" s="14" t="s">
        <v>226</v>
      </c>
      <c r="L407" s="14" t="s">
        <v>190</v>
      </c>
      <c r="M407" s="8" t="str">
        <f t="shared" si="19"/>
        <v>2026-04</v>
      </c>
      <c r="N407" s="8" t="str">
        <f t="shared" si="20"/>
        <v>OK</v>
      </c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>
      <c r="A408" s="14" t="s">
        <v>494</v>
      </c>
      <c r="B408" s="26">
        <v>46113</v>
      </c>
      <c r="C408" s="14" t="s">
        <v>102</v>
      </c>
      <c r="D408" s="27" t="str">
        <f>IFERROR(VLOOKUP(C408,'Chart of Accounts'!$A$4:$F$30,2,FALSE),"")</f>
        <v>Rent</v>
      </c>
      <c r="E408" s="27" t="str">
        <f>IFERROR(VLOOKUP(C408,'Chart of Accounts'!$A$4:$F$30,4,FALSE),"")</f>
        <v>Rent</v>
      </c>
      <c r="F408" s="27" t="str">
        <f>IFERROR(VLOOKUP(C408,'Chart of Accounts'!$A$4:$F$30,5,FALSE),"")</f>
        <v>PL</v>
      </c>
      <c r="G408" s="15">
        <v>52000</v>
      </c>
      <c r="H408" s="15">
        <v>0</v>
      </c>
      <c r="I408" s="10">
        <f t="shared" si="18"/>
        <v>52000</v>
      </c>
      <c r="J408" s="14" t="s">
        <v>495</v>
      </c>
      <c r="K408" s="14" t="s">
        <v>229</v>
      </c>
      <c r="L408" s="14" t="s">
        <v>53</v>
      </c>
      <c r="M408" s="8" t="str">
        <f t="shared" si="19"/>
        <v>2026-04</v>
      </c>
      <c r="N408" s="8" t="str">
        <f t="shared" si="20"/>
        <v>OK</v>
      </c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>
      <c r="A409" s="14" t="s">
        <v>494</v>
      </c>
      <c r="B409" s="26">
        <v>46113</v>
      </c>
      <c r="C409" s="14" t="s">
        <v>52</v>
      </c>
      <c r="D409" s="27" t="str">
        <f>IFERROR(VLOOKUP(C409,'Chart of Accounts'!$A$4:$F$30,2,FALSE),"")</f>
        <v>Bank</v>
      </c>
      <c r="E409" s="27" t="str">
        <f>IFERROR(VLOOKUP(C409,'Chart of Accounts'!$A$4:$F$30,4,FALSE),"")</f>
        <v>Cash</v>
      </c>
      <c r="F409" s="27" t="str">
        <f>IFERROR(VLOOKUP(C409,'Chart of Accounts'!$A$4:$F$30,5,FALSE),"")</f>
        <v>BS</v>
      </c>
      <c r="G409" s="15">
        <v>0</v>
      </c>
      <c r="H409" s="15">
        <v>52000</v>
      </c>
      <c r="I409" s="10">
        <f t="shared" si="18"/>
        <v>-52000</v>
      </c>
      <c r="J409" s="14" t="s">
        <v>495</v>
      </c>
      <c r="K409" s="14" t="s">
        <v>229</v>
      </c>
      <c r="L409" s="14" t="s">
        <v>53</v>
      </c>
      <c r="M409" s="8" t="str">
        <f t="shared" si="19"/>
        <v>2026-04</v>
      </c>
      <c r="N409" s="8" t="str">
        <f t="shared" si="20"/>
        <v>OK</v>
      </c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>
      <c r="A410" s="14" t="s">
        <v>496</v>
      </c>
      <c r="B410" s="26">
        <v>46132</v>
      </c>
      <c r="C410" s="14" t="s">
        <v>104</v>
      </c>
      <c r="D410" s="27" t="str">
        <f>IFERROR(VLOOKUP(C410,'Chart of Accounts'!$A$4:$F$30,2,FALSE),"")</f>
        <v>Utilities</v>
      </c>
      <c r="E410" s="27" t="str">
        <f>IFERROR(VLOOKUP(C410,'Chart of Accounts'!$A$4:$F$30,4,FALSE),"")</f>
        <v>Utilities</v>
      </c>
      <c r="F410" s="27" t="str">
        <f>IFERROR(VLOOKUP(C410,'Chart of Accounts'!$A$4:$F$30,5,FALSE),"")</f>
        <v>PL</v>
      </c>
      <c r="G410" s="15">
        <v>19940.762762001617</v>
      </c>
      <c r="H410" s="15">
        <v>0</v>
      </c>
      <c r="I410" s="10">
        <f t="shared" si="18"/>
        <v>19940.762762001617</v>
      </c>
      <c r="J410" s="14" t="s">
        <v>497</v>
      </c>
      <c r="K410" s="14" t="s">
        <v>232</v>
      </c>
      <c r="L410" s="14" t="s">
        <v>190</v>
      </c>
      <c r="M410" s="8" t="str">
        <f t="shared" si="19"/>
        <v>2026-04</v>
      </c>
      <c r="N410" s="8" t="str">
        <f t="shared" si="20"/>
        <v>OK</v>
      </c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>
      <c r="A411" s="14" t="s">
        <v>496</v>
      </c>
      <c r="B411" s="26">
        <v>46132</v>
      </c>
      <c r="C411" s="14" t="s">
        <v>71</v>
      </c>
      <c r="D411" s="27" t="str">
        <f>IFERROR(VLOOKUP(C411,'Chart of Accounts'!$A$4:$F$30,2,FALSE),"")</f>
        <v>Trade Payables</v>
      </c>
      <c r="E411" s="27" t="str">
        <f>IFERROR(VLOOKUP(C411,'Chart of Accounts'!$A$4:$F$30,4,FALSE),"")</f>
        <v>Trade Payables</v>
      </c>
      <c r="F411" s="27" t="str">
        <f>IFERROR(VLOOKUP(C411,'Chart of Accounts'!$A$4:$F$30,5,FALSE),"")</f>
        <v>BS</v>
      </c>
      <c r="G411" s="15">
        <v>0</v>
      </c>
      <c r="H411" s="15">
        <v>19940.762762001617</v>
      </c>
      <c r="I411" s="10">
        <f t="shared" si="18"/>
        <v>-19940.762762001617</v>
      </c>
      <c r="J411" s="14" t="s">
        <v>497</v>
      </c>
      <c r="K411" s="14" t="s">
        <v>232</v>
      </c>
      <c r="L411" s="14" t="s">
        <v>190</v>
      </c>
      <c r="M411" s="8" t="str">
        <f t="shared" si="19"/>
        <v>2026-04</v>
      </c>
      <c r="N411" s="8" t="str">
        <f t="shared" si="20"/>
        <v>OK</v>
      </c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>
      <c r="A412" s="14" t="s">
        <v>498</v>
      </c>
      <c r="B412" s="26">
        <v>46128</v>
      </c>
      <c r="C412" s="14" t="s">
        <v>106</v>
      </c>
      <c r="D412" s="27" t="str">
        <f>IFERROR(VLOOKUP(C412,'Chart of Accounts'!$A$4:$F$30,2,FALSE),"")</f>
        <v>Professional Fees</v>
      </c>
      <c r="E412" s="27" t="str">
        <f>IFERROR(VLOOKUP(C412,'Chart of Accounts'!$A$4:$F$30,4,FALSE),"")</f>
        <v>Professional Fees</v>
      </c>
      <c r="F412" s="27" t="str">
        <f>IFERROR(VLOOKUP(C412,'Chart of Accounts'!$A$4:$F$30,5,FALSE),"")</f>
        <v>PL</v>
      </c>
      <c r="G412" s="15">
        <v>14077.717409739804</v>
      </c>
      <c r="H412" s="15">
        <v>0</v>
      </c>
      <c r="I412" s="10">
        <f t="shared" si="18"/>
        <v>14077.717409739804</v>
      </c>
      <c r="J412" s="14" t="s">
        <v>499</v>
      </c>
      <c r="K412" s="14" t="s">
        <v>235</v>
      </c>
      <c r="L412" s="14" t="s">
        <v>190</v>
      </c>
      <c r="M412" s="8" t="str">
        <f t="shared" si="19"/>
        <v>2026-04</v>
      </c>
      <c r="N412" s="8" t="str">
        <f t="shared" si="20"/>
        <v>OK</v>
      </c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>
      <c r="A413" s="14" t="s">
        <v>498</v>
      </c>
      <c r="B413" s="26">
        <v>46128</v>
      </c>
      <c r="C413" s="14" t="s">
        <v>71</v>
      </c>
      <c r="D413" s="27" t="str">
        <f>IFERROR(VLOOKUP(C413,'Chart of Accounts'!$A$4:$F$30,2,FALSE),"")</f>
        <v>Trade Payables</v>
      </c>
      <c r="E413" s="27" t="str">
        <f>IFERROR(VLOOKUP(C413,'Chart of Accounts'!$A$4:$F$30,4,FALSE),"")</f>
        <v>Trade Payables</v>
      </c>
      <c r="F413" s="27" t="str">
        <f>IFERROR(VLOOKUP(C413,'Chart of Accounts'!$A$4:$F$30,5,FALSE),"")</f>
        <v>BS</v>
      </c>
      <c r="G413" s="15">
        <v>0</v>
      </c>
      <c r="H413" s="15">
        <v>14077.717409739804</v>
      </c>
      <c r="I413" s="10">
        <f t="shared" si="18"/>
        <v>-14077.717409739804</v>
      </c>
      <c r="J413" s="14" t="s">
        <v>499</v>
      </c>
      <c r="K413" s="14" t="s">
        <v>235</v>
      </c>
      <c r="L413" s="14" t="s">
        <v>190</v>
      </c>
      <c r="M413" s="8" t="str">
        <f t="shared" si="19"/>
        <v>2026-04</v>
      </c>
      <c r="N413" s="8" t="str">
        <f t="shared" si="20"/>
        <v>OK</v>
      </c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>
      <c r="A414" s="14" t="s">
        <v>500</v>
      </c>
      <c r="B414" s="26">
        <v>46117</v>
      </c>
      <c r="C414" s="14" t="s">
        <v>110</v>
      </c>
      <c r="D414" s="27" t="str">
        <f>IFERROR(VLOOKUP(C414,'Chart of Accounts'!$A$4:$F$30,2,FALSE),"")</f>
        <v>Software &amp; IT</v>
      </c>
      <c r="E414" s="27" t="str">
        <f>IFERROR(VLOOKUP(C414,'Chart of Accounts'!$A$4:$F$30,4,FALSE),"")</f>
        <v>Software &amp; IT</v>
      </c>
      <c r="F414" s="27" t="str">
        <f>IFERROR(VLOOKUP(C414,'Chart of Accounts'!$A$4:$F$30,5,FALSE),"")</f>
        <v>PL</v>
      </c>
      <c r="G414" s="15">
        <v>23800</v>
      </c>
      <c r="H414" s="15">
        <v>0</v>
      </c>
      <c r="I414" s="10">
        <f t="shared" si="18"/>
        <v>23800</v>
      </c>
      <c r="J414" s="14" t="s">
        <v>501</v>
      </c>
      <c r="K414" s="14" t="s">
        <v>238</v>
      </c>
      <c r="L414" s="14" t="s">
        <v>53</v>
      </c>
      <c r="M414" s="8" t="str">
        <f t="shared" si="19"/>
        <v>2026-04</v>
      </c>
      <c r="N414" s="8" t="str">
        <f t="shared" si="20"/>
        <v>OK</v>
      </c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>
      <c r="A415" s="14" t="s">
        <v>500</v>
      </c>
      <c r="B415" s="26">
        <v>46117</v>
      </c>
      <c r="C415" s="14" t="s">
        <v>52</v>
      </c>
      <c r="D415" s="27" t="str">
        <f>IFERROR(VLOOKUP(C415,'Chart of Accounts'!$A$4:$F$30,2,FALSE),"")</f>
        <v>Bank</v>
      </c>
      <c r="E415" s="27" t="str">
        <f>IFERROR(VLOOKUP(C415,'Chart of Accounts'!$A$4:$F$30,4,FALSE),"")</f>
        <v>Cash</v>
      </c>
      <c r="F415" s="27" t="str">
        <f>IFERROR(VLOOKUP(C415,'Chart of Accounts'!$A$4:$F$30,5,FALSE),"")</f>
        <v>BS</v>
      </c>
      <c r="G415" s="15">
        <v>0</v>
      </c>
      <c r="H415" s="15">
        <v>23800</v>
      </c>
      <c r="I415" s="10">
        <f t="shared" si="18"/>
        <v>-23800</v>
      </c>
      <c r="J415" s="14" t="s">
        <v>501</v>
      </c>
      <c r="K415" s="14" t="s">
        <v>238</v>
      </c>
      <c r="L415" s="14" t="s">
        <v>53</v>
      </c>
      <c r="M415" s="8" t="str">
        <f t="shared" si="19"/>
        <v>2026-04</v>
      </c>
      <c r="N415" s="8" t="str">
        <f t="shared" si="20"/>
        <v>OK</v>
      </c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>
      <c r="A416" s="14" t="s">
        <v>502</v>
      </c>
      <c r="B416" s="26">
        <v>46134</v>
      </c>
      <c r="C416" s="14" t="s">
        <v>112</v>
      </c>
      <c r="D416" s="27" t="str">
        <f>IFERROR(VLOOKUP(C416,'Chart of Accounts'!$A$4:$F$30,2,FALSE),"")</f>
        <v>Travel &amp; Entertainment</v>
      </c>
      <c r="E416" s="27" t="str">
        <f>IFERROR(VLOOKUP(C416,'Chart of Accounts'!$A$4:$F$30,4,FALSE),"")</f>
        <v>Travel</v>
      </c>
      <c r="F416" s="27" t="str">
        <f>IFERROR(VLOOKUP(C416,'Chart of Accounts'!$A$4:$F$30,5,FALSE),"")</f>
        <v>PL</v>
      </c>
      <c r="G416" s="15">
        <v>7590.5358113418752</v>
      </c>
      <c r="H416" s="15">
        <v>0</v>
      </c>
      <c r="I416" s="10">
        <f t="shared" si="18"/>
        <v>7590.5358113418752</v>
      </c>
      <c r="J416" s="14" t="s">
        <v>503</v>
      </c>
      <c r="K416" s="14" t="s">
        <v>241</v>
      </c>
      <c r="L416" s="14" t="s">
        <v>53</v>
      </c>
      <c r="M416" s="8" t="str">
        <f t="shared" si="19"/>
        <v>2026-04</v>
      </c>
      <c r="N416" s="8" t="str">
        <f t="shared" si="20"/>
        <v>OK</v>
      </c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>
      <c r="A417" s="14" t="s">
        <v>502</v>
      </c>
      <c r="B417" s="26">
        <v>46134</v>
      </c>
      <c r="C417" s="14" t="s">
        <v>52</v>
      </c>
      <c r="D417" s="27" t="str">
        <f>IFERROR(VLOOKUP(C417,'Chart of Accounts'!$A$4:$F$30,2,FALSE),"")</f>
        <v>Bank</v>
      </c>
      <c r="E417" s="27" t="str">
        <f>IFERROR(VLOOKUP(C417,'Chart of Accounts'!$A$4:$F$30,4,FALSE),"")</f>
        <v>Cash</v>
      </c>
      <c r="F417" s="27" t="str">
        <f>IFERROR(VLOOKUP(C417,'Chart of Accounts'!$A$4:$F$30,5,FALSE),"")</f>
        <v>BS</v>
      </c>
      <c r="G417" s="15">
        <v>0</v>
      </c>
      <c r="H417" s="15">
        <v>7590.5358113418752</v>
      </c>
      <c r="I417" s="10">
        <f t="shared" si="18"/>
        <v>-7590.5358113418752</v>
      </c>
      <c r="J417" s="14" t="s">
        <v>503</v>
      </c>
      <c r="K417" s="14" t="s">
        <v>241</v>
      </c>
      <c r="L417" s="14" t="s">
        <v>53</v>
      </c>
      <c r="M417" s="8" t="str">
        <f t="shared" si="19"/>
        <v>2026-04</v>
      </c>
      <c r="N417" s="8" t="str">
        <f t="shared" si="20"/>
        <v>OK</v>
      </c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>
      <c r="A418" s="14" t="s">
        <v>504</v>
      </c>
      <c r="B418" s="26">
        <v>46139</v>
      </c>
      <c r="C418" s="14" t="s">
        <v>120</v>
      </c>
      <c r="D418" s="27" t="str">
        <f>IFERROR(VLOOKUP(C418,'Chart of Accounts'!$A$4:$F$30,2,FALSE),"")</f>
        <v>Interest Expense</v>
      </c>
      <c r="E418" s="27" t="str">
        <f>IFERROR(VLOOKUP(C418,'Chart of Accounts'!$A$4:$F$30,4,FALSE),"")</f>
        <v>Interest</v>
      </c>
      <c r="F418" s="27" t="str">
        <f>IFERROR(VLOOKUP(C418,'Chart of Accounts'!$A$4:$F$30,5,FALSE),"")</f>
        <v>PL</v>
      </c>
      <c r="G418" s="15">
        <v>5500</v>
      </c>
      <c r="H418" s="15">
        <v>0</v>
      </c>
      <c r="I418" s="10">
        <f t="shared" si="18"/>
        <v>5500</v>
      </c>
      <c r="J418" s="14" t="s">
        <v>505</v>
      </c>
      <c r="K418" s="14" t="s">
        <v>244</v>
      </c>
      <c r="L418" s="14" t="s">
        <v>53</v>
      </c>
      <c r="M418" s="8" t="str">
        <f t="shared" si="19"/>
        <v>2026-04</v>
      </c>
      <c r="N418" s="8" t="str">
        <f t="shared" si="20"/>
        <v>OK</v>
      </c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>
      <c r="A419" s="14" t="s">
        <v>504</v>
      </c>
      <c r="B419" s="26">
        <v>46139</v>
      </c>
      <c r="C419" s="14" t="s">
        <v>52</v>
      </c>
      <c r="D419" s="27" t="str">
        <f>IFERROR(VLOOKUP(C419,'Chart of Accounts'!$A$4:$F$30,2,FALSE),"")</f>
        <v>Bank</v>
      </c>
      <c r="E419" s="27" t="str">
        <f>IFERROR(VLOOKUP(C419,'Chart of Accounts'!$A$4:$F$30,4,FALSE),"")</f>
        <v>Cash</v>
      </c>
      <c r="F419" s="27" t="str">
        <f>IFERROR(VLOOKUP(C419,'Chart of Accounts'!$A$4:$F$30,5,FALSE),"")</f>
        <v>BS</v>
      </c>
      <c r="G419" s="15">
        <v>0</v>
      </c>
      <c r="H419" s="15">
        <v>5500</v>
      </c>
      <c r="I419" s="10">
        <f t="shared" si="18"/>
        <v>-5500</v>
      </c>
      <c r="J419" s="14" t="s">
        <v>505</v>
      </c>
      <c r="K419" s="14" t="s">
        <v>244</v>
      </c>
      <c r="L419" s="14" t="s">
        <v>53</v>
      </c>
      <c r="M419" s="8" t="str">
        <f t="shared" si="19"/>
        <v>2026-04</v>
      </c>
      <c r="N419" s="8" t="str">
        <f t="shared" si="20"/>
        <v>OK</v>
      </c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>
      <c r="A420" s="14" t="s">
        <v>506</v>
      </c>
      <c r="B420" s="26">
        <v>46140</v>
      </c>
      <c r="C420" s="14" t="s">
        <v>115</v>
      </c>
      <c r="D420" s="27" t="str">
        <f>IFERROR(VLOOKUP(C420,'Chart of Accounts'!$A$4:$F$30,2,FALSE),"")</f>
        <v>Depreciation</v>
      </c>
      <c r="E420" s="27" t="str">
        <f>IFERROR(VLOOKUP(C420,'Chart of Accounts'!$A$4:$F$30,4,FALSE),"")</f>
        <v>Depreciation</v>
      </c>
      <c r="F420" s="27" t="str">
        <f>IFERROR(VLOOKUP(C420,'Chart of Accounts'!$A$4:$F$30,5,FALSE),"")</f>
        <v>PL</v>
      </c>
      <c r="G420" s="15">
        <v>15000</v>
      </c>
      <c r="H420" s="15">
        <v>0</v>
      </c>
      <c r="I420" s="10">
        <f t="shared" si="18"/>
        <v>15000</v>
      </c>
      <c r="J420" s="14" t="s">
        <v>507</v>
      </c>
      <c r="K420" s="14" t="s">
        <v>247</v>
      </c>
      <c r="L420" s="14" t="s">
        <v>248</v>
      </c>
      <c r="M420" s="8" t="str">
        <f t="shared" si="19"/>
        <v>2026-04</v>
      </c>
      <c r="N420" s="8" t="str">
        <f t="shared" si="20"/>
        <v>OK</v>
      </c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>
      <c r="A421" s="14" t="s">
        <v>506</v>
      </c>
      <c r="B421" s="26">
        <v>46140</v>
      </c>
      <c r="C421" s="14" t="s">
        <v>69</v>
      </c>
      <c r="D421" s="27" t="str">
        <f>IFERROR(VLOOKUP(C421,'Chart of Accounts'!$A$4:$F$30,2,FALSE),"")</f>
        <v>Accumulated Depreciation</v>
      </c>
      <c r="E421" s="27" t="str">
        <f>IFERROR(VLOOKUP(C421,'Chart of Accounts'!$A$4:$F$30,4,FALSE),"")</f>
        <v>Accumulated Depreciation</v>
      </c>
      <c r="F421" s="27" t="str">
        <f>IFERROR(VLOOKUP(C421,'Chart of Accounts'!$A$4:$F$30,5,FALSE),"")</f>
        <v>BS</v>
      </c>
      <c r="G421" s="15">
        <v>0</v>
      </c>
      <c r="H421" s="15">
        <v>15000</v>
      </c>
      <c r="I421" s="10">
        <f t="shared" si="18"/>
        <v>-15000</v>
      </c>
      <c r="J421" s="14" t="s">
        <v>507</v>
      </c>
      <c r="K421" s="14" t="s">
        <v>247</v>
      </c>
      <c r="L421" s="14" t="s">
        <v>248</v>
      </c>
      <c r="M421" s="8" t="str">
        <f t="shared" si="19"/>
        <v>2026-04</v>
      </c>
      <c r="N421" s="8" t="str">
        <f t="shared" si="20"/>
        <v>OK</v>
      </c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>
      <c r="A422" s="14" t="s">
        <v>508</v>
      </c>
      <c r="B422" s="26">
        <v>46124</v>
      </c>
      <c r="C422" s="14" t="s">
        <v>67</v>
      </c>
      <c r="D422" s="27" t="str">
        <f>IFERROR(VLOOKUP(C422,'Chart of Accounts'!$A$4:$F$30,2,FALSE),"")</f>
        <v>Property, Plant &amp; Equipment</v>
      </c>
      <c r="E422" s="27" t="str">
        <f>IFERROR(VLOOKUP(C422,'Chart of Accounts'!$A$4:$F$30,4,FALSE),"")</f>
        <v>Property, Plant &amp; Equipment</v>
      </c>
      <c r="F422" s="27" t="str">
        <f>IFERROR(VLOOKUP(C422,'Chart of Accounts'!$A$4:$F$30,5,FALSE),"")</f>
        <v>BS</v>
      </c>
      <c r="G422" s="15">
        <v>90000</v>
      </c>
      <c r="H422" s="15">
        <v>0</v>
      </c>
      <c r="I422" s="10">
        <f t="shared" si="18"/>
        <v>90000</v>
      </c>
      <c r="J422" s="14" t="s">
        <v>509</v>
      </c>
      <c r="K422" s="14" t="s">
        <v>251</v>
      </c>
      <c r="L422" s="14" t="s">
        <v>248</v>
      </c>
      <c r="M422" s="8" t="str">
        <f t="shared" si="19"/>
        <v>2026-04</v>
      </c>
      <c r="N422" s="8" t="str">
        <f t="shared" si="20"/>
        <v>OK</v>
      </c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>
      <c r="A423" s="14" t="s">
        <v>508</v>
      </c>
      <c r="B423" s="26">
        <v>46124</v>
      </c>
      <c r="C423" s="14" t="s">
        <v>52</v>
      </c>
      <c r="D423" s="27" t="str">
        <f>IFERROR(VLOOKUP(C423,'Chart of Accounts'!$A$4:$F$30,2,FALSE),"")</f>
        <v>Bank</v>
      </c>
      <c r="E423" s="27" t="str">
        <f>IFERROR(VLOOKUP(C423,'Chart of Accounts'!$A$4:$F$30,4,FALSE),"")</f>
        <v>Cash</v>
      </c>
      <c r="F423" s="27" t="str">
        <f>IFERROR(VLOOKUP(C423,'Chart of Accounts'!$A$4:$F$30,5,FALSE),"")</f>
        <v>BS</v>
      </c>
      <c r="G423" s="15">
        <v>0</v>
      </c>
      <c r="H423" s="15">
        <v>90000</v>
      </c>
      <c r="I423" s="10">
        <f t="shared" si="18"/>
        <v>-90000</v>
      </c>
      <c r="J423" s="14" t="s">
        <v>509</v>
      </c>
      <c r="K423" s="14" t="s">
        <v>251</v>
      </c>
      <c r="L423" s="14" t="s">
        <v>248</v>
      </c>
      <c r="M423" s="8" t="str">
        <f t="shared" si="19"/>
        <v>2026-04</v>
      </c>
      <c r="N423" s="8" t="str">
        <f t="shared" si="20"/>
        <v>OK</v>
      </c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>
      <c r="A424" s="14" t="s">
        <v>510</v>
      </c>
      <c r="B424" s="26">
        <v>46152</v>
      </c>
      <c r="C424" s="14" t="s">
        <v>58</v>
      </c>
      <c r="D424" s="27" t="str">
        <f>IFERROR(VLOOKUP(C424,'Chart of Accounts'!$A$4:$F$30,2,FALSE),"")</f>
        <v>Trade Receivables</v>
      </c>
      <c r="E424" s="27" t="str">
        <f>IFERROR(VLOOKUP(C424,'Chart of Accounts'!$A$4:$F$30,4,FALSE),"")</f>
        <v>Trade Receivables</v>
      </c>
      <c r="F424" s="27" t="str">
        <f>IFERROR(VLOOKUP(C424,'Chart of Accounts'!$A$4:$F$30,5,FALSE),"")</f>
        <v>BS</v>
      </c>
      <c r="G424" s="15">
        <v>68983.013212498685</v>
      </c>
      <c r="H424" s="15">
        <v>0</v>
      </c>
      <c r="I424" s="10">
        <f t="shared" si="18"/>
        <v>68983.013212498685</v>
      </c>
      <c r="J424" s="14" t="s">
        <v>511</v>
      </c>
      <c r="K424" s="14" t="s">
        <v>277</v>
      </c>
      <c r="L424" s="14" t="s">
        <v>140</v>
      </c>
      <c r="M424" s="8" t="str">
        <f t="shared" si="19"/>
        <v>2026-05</v>
      </c>
      <c r="N424" s="8" t="str">
        <f t="shared" si="20"/>
        <v>OK</v>
      </c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>
      <c r="A425" s="14" t="s">
        <v>510</v>
      </c>
      <c r="B425" s="26">
        <v>46152</v>
      </c>
      <c r="C425" s="14" t="s">
        <v>86</v>
      </c>
      <c r="D425" s="27" t="str">
        <f>IFERROR(VLOOKUP(C425,'Chart of Accounts'!$A$4:$F$30,2,FALSE),"")</f>
        <v>Product Sales</v>
      </c>
      <c r="E425" s="27" t="str">
        <f>IFERROR(VLOOKUP(C425,'Chart of Accounts'!$A$4:$F$30,4,FALSE),"")</f>
        <v>Revenue</v>
      </c>
      <c r="F425" s="27" t="str">
        <f>IFERROR(VLOOKUP(C425,'Chart of Accounts'!$A$4:$F$30,5,FALSE),"")</f>
        <v>PL</v>
      </c>
      <c r="G425" s="15">
        <v>0</v>
      </c>
      <c r="H425" s="15">
        <v>68983.013212498685</v>
      </c>
      <c r="I425" s="10">
        <f t="shared" si="18"/>
        <v>-68983.013212498685</v>
      </c>
      <c r="J425" s="14" t="s">
        <v>511</v>
      </c>
      <c r="K425" s="14" t="s">
        <v>277</v>
      </c>
      <c r="L425" s="14" t="s">
        <v>140</v>
      </c>
      <c r="M425" s="8" t="str">
        <f t="shared" si="19"/>
        <v>2026-05</v>
      </c>
      <c r="N425" s="8" t="str">
        <f t="shared" si="20"/>
        <v>OK</v>
      </c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>
      <c r="A426" s="14" t="s">
        <v>510</v>
      </c>
      <c r="B426" s="26">
        <v>46152</v>
      </c>
      <c r="C426" s="14" t="s">
        <v>90</v>
      </c>
      <c r="D426" s="27" t="str">
        <f>IFERROR(VLOOKUP(C426,'Chart of Accounts'!$A$4:$F$30,2,FALSE),"")</f>
        <v>Cost of Goods Sold</v>
      </c>
      <c r="E426" s="27" t="str">
        <f>IFERROR(VLOOKUP(C426,'Chart of Accounts'!$A$4:$F$30,4,FALSE),"")</f>
        <v>COGS</v>
      </c>
      <c r="F426" s="27" t="str">
        <f>IFERROR(VLOOKUP(C426,'Chart of Accounts'!$A$4:$F$30,5,FALSE),"")</f>
        <v>PL</v>
      </c>
      <c r="G426" s="15">
        <v>37802.691240449283</v>
      </c>
      <c r="H426" s="15">
        <v>0</v>
      </c>
      <c r="I426" s="10">
        <f t="shared" si="18"/>
        <v>37802.691240449283</v>
      </c>
      <c r="J426" s="14" t="s">
        <v>511</v>
      </c>
      <c r="K426" s="14" t="s">
        <v>277</v>
      </c>
      <c r="L426" s="14" t="s">
        <v>140</v>
      </c>
      <c r="M426" s="8" t="str">
        <f t="shared" si="19"/>
        <v>2026-05</v>
      </c>
      <c r="N426" s="8" t="str">
        <f t="shared" si="20"/>
        <v>OK</v>
      </c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>
      <c r="A427" s="14" t="s">
        <v>510</v>
      </c>
      <c r="B427" s="26">
        <v>46152</v>
      </c>
      <c r="C427" s="14" t="s">
        <v>63</v>
      </c>
      <c r="D427" s="27" t="str">
        <f>IFERROR(VLOOKUP(C427,'Chart of Accounts'!$A$4:$F$30,2,FALSE),"")</f>
        <v>Inventory</v>
      </c>
      <c r="E427" s="27" t="str">
        <f>IFERROR(VLOOKUP(C427,'Chart of Accounts'!$A$4:$F$30,4,FALSE),"")</f>
        <v>Inventory</v>
      </c>
      <c r="F427" s="27" t="str">
        <f>IFERROR(VLOOKUP(C427,'Chart of Accounts'!$A$4:$F$30,5,FALSE),"")</f>
        <v>BS</v>
      </c>
      <c r="G427" s="15">
        <v>0</v>
      </c>
      <c r="H427" s="15">
        <v>37802.691240449283</v>
      </c>
      <c r="I427" s="10">
        <f t="shared" si="18"/>
        <v>-37802.691240449283</v>
      </c>
      <c r="J427" s="14" t="s">
        <v>511</v>
      </c>
      <c r="K427" s="14" t="s">
        <v>277</v>
      </c>
      <c r="L427" s="14" t="s">
        <v>140</v>
      </c>
      <c r="M427" s="8" t="str">
        <f t="shared" si="19"/>
        <v>2026-05</v>
      </c>
      <c r="N427" s="8" t="str">
        <f t="shared" si="20"/>
        <v>OK</v>
      </c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>
      <c r="A428" s="14" t="s">
        <v>512</v>
      </c>
      <c r="B428" s="26">
        <v>46156</v>
      </c>
      <c r="C428" s="14" t="s">
        <v>58</v>
      </c>
      <c r="D428" s="27" t="str">
        <f>IFERROR(VLOOKUP(C428,'Chart of Accounts'!$A$4:$F$30,2,FALSE),"")</f>
        <v>Trade Receivables</v>
      </c>
      <c r="E428" s="27" t="str">
        <f>IFERROR(VLOOKUP(C428,'Chart of Accounts'!$A$4:$F$30,4,FALSE),"")</f>
        <v>Trade Receivables</v>
      </c>
      <c r="F428" s="27" t="str">
        <f>IFERROR(VLOOKUP(C428,'Chart of Accounts'!$A$4:$F$30,5,FALSE),"")</f>
        <v>BS</v>
      </c>
      <c r="G428" s="15">
        <v>87349.652211036315</v>
      </c>
      <c r="H428" s="15">
        <v>0</v>
      </c>
      <c r="I428" s="10">
        <f t="shared" si="18"/>
        <v>87349.652211036315</v>
      </c>
      <c r="J428" s="14" t="s">
        <v>513</v>
      </c>
      <c r="K428" s="14" t="s">
        <v>161</v>
      </c>
      <c r="L428" s="14" t="s">
        <v>140</v>
      </c>
      <c r="M428" s="8" t="str">
        <f t="shared" si="19"/>
        <v>2026-05</v>
      </c>
      <c r="N428" s="8" t="str">
        <f t="shared" si="20"/>
        <v>OK</v>
      </c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>
      <c r="A429" s="14" t="s">
        <v>512</v>
      </c>
      <c r="B429" s="26">
        <v>46156</v>
      </c>
      <c r="C429" s="14" t="s">
        <v>86</v>
      </c>
      <c r="D429" s="27" t="str">
        <f>IFERROR(VLOOKUP(C429,'Chart of Accounts'!$A$4:$F$30,2,FALSE),"")</f>
        <v>Product Sales</v>
      </c>
      <c r="E429" s="27" t="str">
        <f>IFERROR(VLOOKUP(C429,'Chart of Accounts'!$A$4:$F$30,4,FALSE),"")</f>
        <v>Revenue</v>
      </c>
      <c r="F429" s="27" t="str">
        <f>IFERROR(VLOOKUP(C429,'Chart of Accounts'!$A$4:$F$30,5,FALSE),"")</f>
        <v>PL</v>
      </c>
      <c r="G429" s="15">
        <v>0</v>
      </c>
      <c r="H429" s="15">
        <v>87349.652211036315</v>
      </c>
      <c r="I429" s="10">
        <f t="shared" si="18"/>
        <v>-87349.652211036315</v>
      </c>
      <c r="J429" s="14" t="s">
        <v>513</v>
      </c>
      <c r="K429" s="14" t="s">
        <v>161</v>
      </c>
      <c r="L429" s="14" t="s">
        <v>140</v>
      </c>
      <c r="M429" s="8" t="str">
        <f t="shared" si="19"/>
        <v>2026-05</v>
      </c>
      <c r="N429" s="8" t="str">
        <f t="shared" si="20"/>
        <v>OK</v>
      </c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>
      <c r="A430" s="14" t="s">
        <v>512</v>
      </c>
      <c r="B430" s="26">
        <v>46156</v>
      </c>
      <c r="C430" s="14" t="s">
        <v>90</v>
      </c>
      <c r="D430" s="27" t="str">
        <f>IFERROR(VLOOKUP(C430,'Chart of Accounts'!$A$4:$F$30,2,FALSE),"")</f>
        <v>Cost of Goods Sold</v>
      </c>
      <c r="E430" s="27" t="str">
        <f>IFERROR(VLOOKUP(C430,'Chart of Accounts'!$A$4:$F$30,4,FALSE),"")</f>
        <v>COGS</v>
      </c>
      <c r="F430" s="27" t="str">
        <f>IFERROR(VLOOKUP(C430,'Chart of Accounts'!$A$4:$F$30,5,FALSE),"")</f>
        <v>PL</v>
      </c>
      <c r="G430" s="15">
        <v>47867.6094116479</v>
      </c>
      <c r="H430" s="15">
        <v>0</v>
      </c>
      <c r="I430" s="10">
        <f t="shared" si="18"/>
        <v>47867.6094116479</v>
      </c>
      <c r="J430" s="14" t="s">
        <v>513</v>
      </c>
      <c r="K430" s="14" t="s">
        <v>161</v>
      </c>
      <c r="L430" s="14" t="s">
        <v>140</v>
      </c>
      <c r="M430" s="8" t="str">
        <f t="shared" si="19"/>
        <v>2026-05</v>
      </c>
      <c r="N430" s="8" t="str">
        <f t="shared" si="20"/>
        <v>OK</v>
      </c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>
      <c r="A431" s="14" t="s">
        <v>512</v>
      </c>
      <c r="B431" s="26">
        <v>46156</v>
      </c>
      <c r="C431" s="14" t="s">
        <v>63</v>
      </c>
      <c r="D431" s="27" t="str">
        <f>IFERROR(VLOOKUP(C431,'Chart of Accounts'!$A$4:$F$30,2,FALSE),"")</f>
        <v>Inventory</v>
      </c>
      <c r="E431" s="27" t="str">
        <f>IFERROR(VLOOKUP(C431,'Chart of Accounts'!$A$4:$F$30,4,FALSE),"")</f>
        <v>Inventory</v>
      </c>
      <c r="F431" s="27" t="str">
        <f>IFERROR(VLOOKUP(C431,'Chart of Accounts'!$A$4:$F$30,5,FALSE),"")</f>
        <v>BS</v>
      </c>
      <c r="G431" s="15">
        <v>0</v>
      </c>
      <c r="H431" s="15">
        <v>47867.6094116479</v>
      </c>
      <c r="I431" s="10">
        <f t="shared" si="18"/>
        <v>-47867.6094116479</v>
      </c>
      <c r="J431" s="14" t="s">
        <v>513</v>
      </c>
      <c r="K431" s="14" t="s">
        <v>161</v>
      </c>
      <c r="L431" s="14" t="s">
        <v>140</v>
      </c>
      <c r="M431" s="8" t="str">
        <f t="shared" si="19"/>
        <v>2026-05</v>
      </c>
      <c r="N431" s="8" t="str">
        <f t="shared" si="20"/>
        <v>OK</v>
      </c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>
      <c r="A432" s="14" t="s">
        <v>514</v>
      </c>
      <c r="B432" s="26">
        <v>46157</v>
      </c>
      <c r="C432" s="14" t="s">
        <v>58</v>
      </c>
      <c r="D432" s="27" t="str">
        <f>IFERROR(VLOOKUP(C432,'Chart of Accounts'!$A$4:$F$30,2,FALSE),"")</f>
        <v>Trade Receivables</v>
      </c>
      <c r="E432" s="27" t="str">
        <f>IFERROR(VLOOKUP(C432,'Chart of Accounts'!$A$4:$F$30,4,FALSE),"")</f>
        <v>Trade Receivables</v>
      </c>
      <c r="F432" s="27" t="str">
        <f>IFERROR(VLOOKUP(C432,'Chart of Accounts'!$A$4:$F$30,5,FALSE),"")</f>
        <v>BS</v>
      </c>
      <c r="G432" s="15">
        <v>59733.407684775193</v>
      </c>
      <c r="H432" s="15">
        <v>0</v>
      </c>
      <c r="I432" s="10">
        <f t="shared" si="18"/>
        <v>59733.407684775193</v>
      </c>
      <c r="J432" s="14" t="s">
        <v>515</v>
      </c>
      <c r="K432" s="14" t="s">
        <v>428</v>
      </c>
      <c r="L432" s="14" t="s">
        <v>140</v>
      </c>
      <c r="M432" s="8" t="str">
        <f t="shared" si="19"/>
        <v>2026-05</v>
      </c>
      <c r="N432" s="8" t="str">
        <f t="shared" si="20"/>
        <v>OK</v>
      </c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>
      <c r="A433" s="14" t="s">
        <v>514</v>
      </c>
      <c r="B433" s="26">
        <v>46157</v>
      </c>
      <c r="C433" s="14" t="s">
        <v>86</v>
      </c>
      <c r="D433" s="27" t="str">
        <f>IFERROR(VLOOKUP(C433,'Chart of Accounts'!$A$4:$F$30,2,FALSE),"")</f>
        <v>Product Sales</v>
      </c>
      <c r="E433" s="27" t="str">
        <f>IFERROR(VLOOKUP(C433,'Chart of Accounts'!$A$4:$F$30,4,FALSE),"")</f>
        <v>Revenue</v>
      </c>
      <c r="F433" s="27" t="str">
        <f>IFERROR(VLOOKUP(C433,'Chart of Accounts'!$A$4:$F$30,5,FALSE),"")</f>
        <v>PL</v>
      </c>
      <c r="G433" s="15">
        <v>0</v>
      </c>
      <c r="H433" s="15">
        <v>59733.407684775193</v>
      </c>
      <c r="I433" s="10">
        <f t="shared" si="18"/>
        <v>-59733.407684775193</v>
      </c>
      <c r="J433" s="14" t="s">
        <v>515</v>
      </c>
      <c r="K433" s="14" t="s">
        <v>428</v>
      </c>
      <c r="L433" s="14" t="s">
        <v>140</v>
      </c>
      <c r="M433" s="8" t="str">
        <f t="shared" si="19"/>
        <v>2026-05</v>
      </c>
      <c r="N433" s="8" t="str">
        <f t="shared" si="20"/>
        <v>OK</v>
      </c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>
      <c r="A434" s="14" t="s">
        <v>514</v>
      </c>
      <c r="B434" s="26">
        <v>46157</v>
      </c>
      <c r="C434" s="14" t="s">
        <v>90</v>
      </c>
      <c r="D434" s="27" t="str">
        <f>IFERROR(VLOOKUP(C434,'Chart of Accounts'!$A$4:$F$30,2,FALSE),"")</f>
        <v>Cost of Goods Sold</v>
      </c>
      <c r="E434" s="27" t="str">
        <f>IFERROR(VLOOKUP(C434,'Chart of Accounts'!$A$4:$F$30,4,FALSE),"")</f>
        <v>COGS</v>
      </c>
      <c r="F434" s="27" t="str">
        <f>IFERROR(VLOOKUP(C434,'Chart of Accounts'!$A$4:$F$30,5,FALSE),"")</f>
        <v>PL</v>
      </c>
      <c r="G434" s="15">
        <v>32733.907411256812</v>
      </c>
      <c r="H434" s="15">
        <v>0</v>
      </c>
      <c r="I434" s="10">
        <f t="shared" si="18"/>
        <v>32733.907411256812</v>
      </c>
      <c r="J434" s="14" t="s">
        <v>515</v>
      </c>
      <c r="K434" s="14" t="s">
        <v>428</v>
      </c>
      <c r="L434" s="14" t="s">
        <v>140</v>
      </c>
      <c r="M434" s="8" t="str">
        <f t="shared" si="19"/>
        <v>2026-05</v>
      </c>
      <c r="N434" s="8" t="str">
        <f t="shared" si="20"/>
        <v>OK</v>
      </c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>
      <c r="A435" s="14" t="s">
        <v>514</v>
      </c>
      <c r="B435" s="26">
        <v>46157</v>
      </c>
      <c r="C435" s="14" t="s">
        <v>63</v>
      </c>
      <c r="D435" s="27" t="str">
        <f>IFERROR(VLOOKUP(C435,'Chart of Accounts'!$A$4:$F$30,2,FALSE),"")</f>
        <v>Inventory</v>
      </c>
      <c r="E435" s="27" t="str">
        <f>IFERROR(VLOOKUP(C435,'Chart of Accounts'!$A$4:$F$30,4,FALSE),"")</f>
        <v>Inventory</v>
      </c>
      <c r="F435" s="27" t="str">
        <f>IFERROR(VLOOKUP(C435,'Chart of Accounts'!$A$4:$F$30,5,FALSE),"")</f>
        <v>BS</v>
      </c>
      <c r="G435" s="15">
        <v>0</v>
      </c>
      <c r="H435" s="15">
        <v>32733.907411256812</v>
      </c>
      <c r="I435" s="10">
        <f t="shared" si="18"/>
        <v>-32733.907411256812</v>
      </c>
      <c r="J435" s="14" t="s">
        <v>515</v>
      </c>
      <c r="K435" s="14" t="s">
        <v>428</v>
      </c>
      <c r="L435" s="14" t="s">
        <v>140</v>
      </c>
      <c r="M435" s="8" t="str">
        <f t="shared" si="19"/>
        <v>2026-05</v>
      </c>
      <c r="N435" s="8" t="str">
        <f t="shared" si="20"/>
        <v>OK</v>
      </c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>
      <c r="A436" s="14" t="s">
        <v>516</v>
      </c>
      <c r="B436" s="26">
        <v>46164</v>
      </c>
      <c r="C436" s="14" t="s">
        <v>58</v>
      </c>
      <c r="D436" s="27" t="str">
        <f>IFERROR(VLOOKUP(C436,'Chart of Accounts'!$A$4:$F$30,2,FALSE),"")</f>
        <v>Trade Receivables</v>
      </c>
      <c r="E436" s="27" t="str">
        <f>IFERROR(VLOOKUP(C436,'Chart of Accounts'!$A$4:$F$30,4,FALSE),"")</f>
        <v>Trade Receivables</v>
      </c>
      <c r="F436" s="27" t="str">
        <f>IFERROR(VLOOKUP(C436,'Chart of Accounts'!$A$4:$F$30,5,FALSE),"")</f>
        <v>BS</v>
      </c>
      <c r="G436" s="15">
        <v>100462.42865919146</v>
      </c>
      <c r="H436" s="15">
        <v>0</v>
      </c>
      <c r="I436" s="10">
        <f t="shared" si="18"/>
        <v>100462.42865919146</v>
      </c>
      <c r="J436" s="14" t="s">
        <v>517</v>
      </c>
      <c r="K436" s="14" t="s">
        <v>167</v>
      </c>
      <c r="L436" s="14" t="s">
        <v>140</v>
      </c>
      <c r="M436" s="8" t="str">
        <f t="shared" si="19"/>
        <v>2026-05</v>
      </c>
      <c r="N436" s="8" t="str">
        <f t="shared" si="20"/>
        <v>OK</v>
      </c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>
      <c r="A437" s="14" t="s">
        <v>516</v>
      </c>
      <c r="B437" s="26">
        <v>46164</v>
      </c>
      <c r="C437" s="14" t="s">
        <v>86</v>
      </c>
      <c r="D437" s="27" t="str">
        <f>IFERROR(VLOOKUP(C437,'Chart of Accounts'!$A$4:$F$30,2,FALSE),"")</f>
        <v>Product Sales</v>
      </c>
      <c r="E437" s="27" t="str">
        <f>IFERROR(VLOOKUP(C437,'Chart of Accounts'!$A$4:$F$30,4,FALSE),"")</f>
        <v>Revenue</v>
      </c>
      <c r="F437" s="27" t="str">
        <f>IFERROR(VLOOKUP(C437,'Chart of Accounts'!$A$4:$F$30,5,FALSE),"")</f>
        <v>PL</v>
      </c>
      <c r="G437" s="15">
        <v>0</v>
      </c>
      <c r="H437" s="15">
        <v>100462.42865919146</v>
      </c>
      <c r="I437" s="10">
        <f t="shared" si="18"/>
        <v>-100462.42865919146</v>
      </c>
      <c r="J437" s="14" t="s">
        <v>517</v>
      </c>
      <c r="K437" s="14" t="s">
        <v>167</v>
      </c>
      <c r="L437" s="14" t="s">
        <v>140</v>
      </c>
      <c r="M437" s="8" t="str">
        <f t="shared" si="19"/>
        <v>2026-05</v>
      </c>
      <c r="N437" s="8" t="str">
        <f t="shared" si="20"/>
        <v>OK</v>
      </c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>
      <c r="A438" s="14" t="s">
        <v>516</v>
      </c>
      <c r="B438" s="26">
        <v>46164</v>
      </c>
      <c r="C438" s="14" t="s">
        <v>90</v>
      </c>
      <c r="D438" s="27" t="str">
        <f>IFERROR(VLOOKUP(C438,'Chart of Accounts'!$A$4:$F$30,2,FALSE),"")</f>
        <v>Cost of Goods Sold</v>
      </c>
      <c r="E438" s="27" t="str">
        <f>IFERROR(VLOOKUP(C438,'Chart of Accounts'!$A$4:$F$30,4,FALSE),"")</f>
        <v>COGS</v>
      </c>
      <c r="F438" s="27" t="str">
        <f>IFERROR(VLOOKUP(C438,'Chart of Accounts'!$A$4:$F$30,5,FALSE),"")</f>
        <v>PL</v>
      </c>
      <c r="G438" s="15">
        <v>55053.410905236917</v>
      </c>
      <c r="H438" s="15">
        <v>0</v>
      </c>
      <c r="I438" s="10">
        <f t="shared" si="18"/>
        <v>55053.410905236917</v>
      </c>
      <c r="J438" s="14" t="s">
        <v>517</v>
      </c>
      <c r="K438" s="14" t="s">
        <v>167</v>
      </c>
      <c r="L438" s="14" t="s">
        <v>140</v>
      </c>
      <c r="M438" s="8" t="str">
        <f t="shared" si="19"/>
        <v>2026-05</v>
      </c>
      <c r="N438" s="8" t="str">
        <f t="shared" si="20"/>
        <v>OK</v>
      </c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>
      <c r="A439" s="14" t="s">
        <v>516</v>
      </c>
      <c r="B439" s="26">
        <v>46164</v>
      </c>
      <c r="C439" s="14" t="s">
        <v>63</v>
      </c>
      <c r="D439" s="27" t="str">
        <f>IFERROR(VLOOKUP(C439,'Chart of Accounts'!$A$4:$F$30,2,FALSE),"")</f>
        <v>Inventory</v>
      </c>
      <c r="E439" s="27" t="str">
        <f>IFERROR(VLOOKUP(C439,'Chart of Accounts'!$A$4:$F$30,4,FALSE),"")</f>
        <v>Inventory</v>
      </c>
      <c r="F439" s="27" t="str">
        <f>IFERROR(VLOOKUP(C439,'Chart of Accounts'!$A$4:$F$30,5,FALSE),"")</f>
        <v>BS</v>
      </c>
      <c r="G439" s="15">
        <v>0</v>
      </c>
      <c r="H439" s="15">
        <v>55053.410905236917</v>
      </c>
      <c r="I439" s="10">
        <f t="shared" si="18"/>
        <v>-55053.410905236917</v>
      </c>
      <c r="J439" s="14" t="s">
        <v>517</v>
      </c>
      <c r="K439" s="14" t="s">
        <v>167</v>
      </c>
      <c r="L439" s="14" t="s">
        <v>140</v>
      </c>
      <c r="M439" s="8" t="str">
        <f t="shared" si="19"/>
        <v>2026-05</v>
      </c>
      <c r="N439" s="8" t="str">
        <f t="shared" si="20"/>
        <v>OK</v>
      </c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>
      <c r="A440" s="14" t="s">
        <v>518</v>
      </c>
      <c r="B440" s="26">
        <v>46155</v>
      </c>
      <c r="C440" s="14" t="s">
        <v>58</v>
      </c>
      <c r="D440" s="27" t="str">
        <f>IFERROR(VLOOKUP(C440,'Chart of Accounts'!$A$4:$F$30,2,FALSE),"")</f>
        <v>Trade Receivables</v>
      </c>
      <c r="E440" s="27" t="str">
        <f>IFERROR(VLOOKUP(C440,'Chart of Accounts'!$A$4:$F$30,4,FALSE),"")</f>
        <v>Trade Receivables</v>
      </c>
      <c r="F440" s="27" t="str">
        <f>IFERROR(VLOOKUP(C440,'Chart of Accounts'!$A$4:$F$30,5,FALSE),"")</f>
        <v>BS</v>
      </c>
      <c r="G440" s="15">
        <v>54924.438710949755</v>
      </c>
      <c r="H440" s="15">
        <v>0</v>
      </c>
      <c r="I440" s="10">
        <f t="shared" si="18"/>
        <v>54924.438710949755</v>
      </c>
      <c r="J440" s="14" t="s">
        <v>519</v>
      </c>
      <c r="K440" s="14" t="s">
        <v>161</v>
      </c>
      <c r="L440" s="14" t="s">
        <v>140</v>
      </c>
      <c r="M440" s="8" t="str">
        <f t="shared" si="19"/>
        <v>2026-05</v>
      </c>
      <c r="N440" s="8" t="str">
        <f t="shared" si="20"/>
        <v>OK</v>
      </c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>
      <c r="A441" s="14" t="s">
        <v>518</v>
      </c>
      <c r="B441" s="26">
        <v>46155</v>
      </c>
      <c r="C441" s="14" t="s">
        <v>86</v>
      </c>
      <c r="D441" s="27" t="str">
        <f>IFERROR(VLOOKUP(C441,'Chart of Accounts'!$A$4:$F$30,2,FALSE),"")</f>
        <v>Product Sales</v>
      </c>
      <c r="E441" s="27" t="str">
        <f>IFERROR(VLOOKUP(C441,'Chart of Accounts'!$A$4:$F$30,4,FALSE),"")</f>
        <v>Revenue</v>
      </c>
      <c r="F441" s="27" t="str">
        <f>IFERROR(VLOOKUP(C441,'Chart of Accounts'!$A$4:$F$30,5,FALSE),"")</f>
        <v>PL</v>
      </c>
      <c r="G441" s="15">
        <v>0</v>
      </c>
      <c r="H441" s="15">
        <v>54924.438710949755</v>
      </c>
      <c r="I441" s="10">
        <f t="shared" si="18"/>
        <v>-54924.438710949755</v>
      </c>
      <c r="J441" s="14" t="s">
        <v>519</v>
      </c>
      <c r="K441" s="14" t="s">
        <v>161</v>
      </c>
      <c r="L441" s="14" t="s">
        <v>140</v>
      </c>
      <c r="M441" s="8" t="str">
        <f t="shared" si="19"/>
        <v>2026-05</v>
      </c>
      <c r="N441" s="8" t="str">
        <f t="shared" si="20"/>
        <v>OK</v>
      </c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>
      <c r="A442" s="14" t="s">
        <v>518</v>
      </c>
      <c r="B442" s="26">
        <v>46155</v>
      </c>
      <c r="C442" s="14" t="s">
        <v>90</v>
      </c>
      <c r="D442" s="27" t="str">
        <f>IFERROR(VLOOKUP(C442,'Chart of Accounts'!$A$4:$F$30,2,FALSE),"")</f>
        <v>Cost of Goods Sold</v>
      </c>
      <c r="E442" s="27" t="str">
        <f>IFERROR(VLOOKUP(C442,'Chart of Accounts'!$A$4:$F$30,4,FALSE),"")</f>
        <v>COGS</v>
      </c>
      <c r="F442" s="27" t="str">
        <f>IFERROR(VLOOKUP(C442,'Chart of Accounts'!$A$4:$F$30,5,FALSE),"")</f>
        <v>PL</v>
      </c>
      <c r="G442" s="15">
        <v>30098.592413600461</v>
      </c>
      <c r="H442" s="15">
        <v>0</v>
      </c>
      <c r="I442" s="10">
        <f t="shared" si="18"/>
        <v>30098.592413600461</v>
      </c>
      <c r="J442" s="14" t="s">
        <v>519</v>
      </c>
      <c r="K442" s="14" t="s">
        <v>161</v>
      </c>
      <c r="L442" s="14" t="s">
        <v>140</v>
      </c>
      <c r="M442" s="8" t="str">
        <f t="shared" si="19"/>
        <v>2026-05</v>
      </c>
      <c r="N442" s="8" t="str">
        <f t="shared" si="20"/>
        <v>OK</v>
      </c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>
      <c r="A443" s="14" t="s">
        <v>518</v>
      </c>
      <c r="B443" s="26">
        <v>46155</v>
      </c>
      <c r="C443" s="14" t="s">
        <v>63</v>
      </c>
      <c r="D443" s="27" t="str">
        <f>IFERROR(VLOOKUP(C443,'Chart of Accounts'!$A$4:$F$30,2,FALSE),"")</f>
        <v>Inventory</v>
      </c>
      <c r="E443" s="27" t="str">
        <f>IFERROR(VLOOKUP(C443,'Chart of Accounts'!$A$4:$F$30,4,FALSE),"")</f>
        <v>Inventory</v>
      </c>
      <c r="F443" s="27" t="str">
        <f>IFERROR(VLOOKUP(C443,'Chart of Accounts'!$A$4:$F$30,5,FALSE),"")</f>
        <v>BS</v>
      </c>
      <c r="G443" s="15">
        <v>0</v>
      </c>
      <c r="H443" s="15">
        <v>30098.592413600461</v>
      </c>
      <c r="I443" s="10">
        <f t="shared" si="18"/>
        <v>-30098.592413600461</v>
      </c>
      <c r="J443" s="14" t="s">
        <v>519</v>
      </c>
      <c r="K443" s="14" t="s">
        <v>161</v>
      </c>
      <c r="L443" s="14" t="s">
        <v>140</v>
      </c>
      <c r="M443" s="8" t="str">
        <f t="shared" si="19"/>
        <v>2026-05</v>
      </c>
      <c r="N443" s="8" t="str">
        <f t="shared" si="20"/>
        <v>OK</v>
      </c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>
      <c r="A444" s="14" t="s">
        <v>520</v>
      </c>
      <c r="B444" s="26">
        <v>46148</v>
      </c>
      <c r="C444" s="14" t="s">
        <v>58</v>
      </c>
      <c r="D444" s="27" t="str">
        <f>IFERROR(VLOOKUP(C444,'Chart of Accounts'!$A$4:$F$30,2,FALSE),"")</f>
        <v>Trade Receivables</v>
      </c>
      <c r="E444" s="27" t="str">
        <f>IFERROR(VLOOKUP(C444,'Chart of Accounts'!$A$4:$F$30,4,FALSE),"")</f>
        <v>Trade Receivables</v>
      </c>
      <c r="F444" s="27" t="str">
        <f>IFERROR(VLOOKUP(C444,'Chart of Accounts'!$A$4:$F$30,5,FALSE),"")</f>
        <v>BS</v>
      </c>
      <c r="G444" s="15">
        <v>73107.068509979086</v>
      </c>
      <c r="H444" s="15">
        <v>0</v>
      </c>
      <c r="I444" s="10">
        <f t="shared" si="18"/>
        <v>73107.068509979086</v>
      </c>
      <c r="J444" s="14" t="s">
        <v>521</v>
      </c>
      <c r="K444" s="14" t="s">
        <v>522</v>
      </c>
      <c r="L444" s="14" t="s">
        <v>140</v>
      </c>
      <c r="M444" s="8" t="str">
        <f t="shared" si="19"/>
        <v>2026-05</v>
      </c>
      <c r="N444" s="8" t="str">
        <f t="shared" si="20"/>
        <v>OK</v>
      </c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>
      <c r="A445" s="14" t="s">
        <v>520</v>
      </c>
      <c r="B445" s="26">
        <v>46148</v>
      </c>
      <c r="C445" s="14" t="s">
        <v>86</v>
      </c>
      <c r="D445" s="27" t="str">
        <f>IFERROR(VLOOKUP(C445,'Chart of Accounts'!$A$4:$F$30,2,FALSE),"")</f>
        <v>Product Sales</v>
      </c>
      <c r="E445" s="27" t="str">
        <f>IFERROR(VLOOKUP(C445,'Chart of Accounts'!$A$4:$F$30,4,FALSE),"")</f>
        <v>Revenue</v>
      </c>
      <c r="F445" s="27" t="str">
        <f>IFERROR(VLOOKUP(C445,'Chart of Accounts'!$A$4:$F$30,5,FALSE),"")</f>
        <v>PL</v>
      </c>
      <c r="G445" s="15">
        <v>0</v>
      </c>
      <c r="H445" s="15">
        <v>73107.068509979086</v>
      </c>
      <c r="I445" s="10">
        <f t="shared" si="18"/>
        <v>-73107.068509979086</v>
      </c>
      <c r="J445" s="14" t="s">
        <v>521</v>
      </c>
      <c r="K445" s="14" t="s">
        <v>522</v>
      </c>
      <c r="L445" s="14" t="s">
        <v>140</v>
      </c>
      <c r="M445" s="8" t="str">
        <f t="shared" si="19"/>
        <v>2026-05</v>
      </c>
      <c r="N445" s="8" t="str">
        <f t="shared" si="20"/>
        <v>OK</v>
      </c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>
      <c r="A446" s="14" t="s">
        <v>520</v>
      </c>
      <c r="B446" s="26">
        <v>46148</v>
      </c>
      <c r="C446" s="14" t="s">
        <v>90</v>
      </c>
      <c r="D446" s="27" t="str">
        <f>IFERROR(VLOOKUP(C446,'Chart of Accounts'!$A$4:$F$30,2,FALSE),"")</f>
        <v>Cost of Goods Sold</v>
      </c>
      <c r="E446" s="27" t="str">
        <f>IFERROR(VLOOKUP(C446,'Chart of Accounts'!$A$4:$F$30,4,FALSE),"")</f>
        <v>COGS</v>
      </c>
      <c r="F446" s="27" t="str">
        <f>IFERROR(VLOOKUP(C446,'Chart of Accounts'!$A$4:$F$30,5,FALSE),"")</f>
        <v>PL</v>
      </c>
      <c r="G446" s="15">
        <v>40062.67354346854</v>
      </c>
      <c r="H446" s="15">
        <v>0</v>
      </c>
      <c r="I446" s="10">
        <f t="shared" si="18"/>
        <v>40062.67354346854</v>
      </c>
      <c r="J446" s="14" t="s">
        <v>521</v>
      </c>
      <c r="K446" s="14" t="s">
        <v>522</v>
      </c>
      <c r="L446" s="14" t="s">
        <v>140</v>
      </c>
      <c r="M446" s="8" t="str">
        <f t="shared" si="19"/>
        <v>2026-05</v>
      </c>
      <c r="N446" s="8" t="str">
        <f t="shared" si="20"/>
        <v>OK</v>
      </c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>
      <c r="A447" s="14" t="s">
        <v>520</v>
      </c>
      <c r="B447" s="26">
        <v>46148</v>
      </c>
      <c r="C447" s="14" t="s">
        <v>63</v>
      </c>
      <c r="D447" s="27" t="str">
        <f>IFERROR(VLOOKUP(C447,'Chart of Accounts'!$A$4:$F$30,2,FALSE),"")</f>
        <v>Inventory</v>
      </c>
      <c r="E447" s="27" t="str">
        <f>IFERROR(VLOOKUP(C447,'Chart of Accounts'!$A$4:$F$30,4,FALSE),"")</f>
        <v>Inventory</v>
      </c>
      <c r="F447" s="27" t="str">
        <f>IFERROR(VLOOKUP(C447,'Chart of Accounts'!$A$4:$F$30,5,FALSE),"")</f>
        <v>BS</v>
      </c>
      <c r="G447" s="15">
        <v>0</v>
      </c>
      <c r="H447" s="15">
        <v>40062.67354346854</v>
      </c>
      <c r="I447" s="10">
        <f t="shared" si="18"/>
        <v>-40062.67354346854</v>
      </c>
      <c r="J447" s="14" t="s">
        <v>521</v>
      </c>
      <c r="K447" s="14" t="s">
        <v>522</v>
      </c>
      <c r="L447" s="14" t="s">
        <v>140</v>
      </c>
      <c r="M447" s="8" t="str">
        <f t="shared" si="19"/>
        <v>2026-05</v>
      </c>
      <c r="N447" s="8" t="str">
        <f t="shared" si="20"/>
        <v>OK</v>
      </c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>
      <c r="A448" s="14" t="s">
        <v>523</v>
      </c>
      <c r="B448" s="26">
        <v>46151</v>
      </c>
      <c r="C448" s="14" t="s">
        <v>58</v>
      </c>
      <c r="D448" s="27" t="str">
        <f>IFERROR(VLOOKUP(C448,'Chart of Accounts'!$A$4:$F$30,2,FALSE),"")</f>
        <v>Trade Receivables</v>
      </c>
      <c r="E448" s="27" t="str">
        <f>IFERROR(VLOOKUP(C448,'Chart of Accounts'!$A$4:$F$30,4,FALSE),"")</f>
        <v>Trade Receivables</v>
      </c>
      <c r="F448" s="27" t="str">
        <f>IFERROR(VLOOKUP(C448,'Chart of Accounts'!$A$4:$F$30,5,FALSE),"")</f>
        <v>BS</v>
      </c>
      <c r="G448" s="15">
        <v>102606.74782055887</v>
      </c>
      <c r="H448" s="15">
        <v>0</v>
      </c>
      <c r="I448" s="10">
        <f t="shared" si="18"/>
        <v>102606.74782055887</v>
      </c>
      <c r="J448" s="14" t="s">
        <v>524</v>
      </c>
      <c r="K448" s="14" t="s">
        <v>146</v>
      </c>
      <c r="L448" s="14" t="s">
        <v>140</v>
      </c>
      <c r="M448" s="8" t="str">
        <f t="shared" si="19"/>
        <v>2026-05</v>
      </c>
      <c r="N448" s="8" t="str">
        <f t="shared" si="20"/>
        <v>OK</v>
      </c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>
      <c r="A449" s="14" t="s">
        <v>523</v>
      </c>
      <c r="B449" s="26">
        <v>46151</v>
      </c>
      <c r="C449" s="14" t="s">
        <v>86</v>
      </c>
      <c r="D449" s="27" t="str">
        <f>IFERROR(VLOOKUP(C449,'Chart of Accounts'!$A$4:$F$30,2,FALSE),"")</f>
        <v>Product Sales</v>
      </c>
      <c r="E449" s="27" t="str">
        <f>IFERROR(VLOOKUP(C449,'Chart of Accounts'!$A$4:$F$30,4,FALSE),"")</f>
        <v>Revenue</v>
      </c>
      <c r="F449" s="27" t="str">
        <f>IFERROR(VLOOKUP(C449,'Chart of Accounts'!$A$4:$F$30,5,FALSE),"")</f>
        <v>PL</v>
      </c>
      <c r="G449" s="15">
        <v>0</v>
      </c>
      <c r="H449" s="15">
        <v>102606.74782055887</v>
      </c>
      <c r="I449" s="10">
        <f t="shared" si="18"/>
        <v>-102606.74782055887</v>
      </c>
      <c r="J449" s="14" t="s">
        <v>524</v>
      </c>
      <c r="K449" s="14" t="s">
        <v>146</v>
      </c>
      <c r="L449" s="14" t="s">
        <v>140</v>
      </c>
      <c r="M449" s="8" t="str">
        <f t="shared" si="19"/>
        <v>2026-05</v>
      </c>
      <c r="N449" s="8" t="str">
        <f t="shared" si="20"/>
        <v>OK</v>
      </c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>
      <c r="A450" s="14" t="s">
        <v>523</v>
      </c>
      <c r="B450" s="26">
        <v>46151</v>
      </c>
      <c r="C450" s="14" t="s">
        <v>90</v>
      </c>
      <c r="D450" s="27" t="str">
        <f>IFERROR(VLOOKUP(C450,'Chart of Accounts'!$A$4:$F$30,2,FALSE),"")</f>
        <v>Cost of Goods Sold</v>
      </c>
      <c r="E450" s="27" t="str">
        <f>IFERROR(VLOOKUP(C450,'Chart of Accounts'!$A$4:$F$30,4,FALSE),"")</f>
        <v>COGS</v>
      </c>
      <c r="F450" s="27" t="str">
        <f>IFERROR(VLOOKUP(C450,'Chart of Accounts'!$A$4:$F$30,5,FALSE),"")</f>
        <v>PL</v>
      </c>
      <c r="G450" s="15">
        <v>56228.497805666266</v>
      </c>
      <c r="H450" s="15">
        <v>0</v>
      </c>
      <c r="I450" s="10">
        <f t="shared" si="18"/>
        <v>56228.497805666266</v>
      </c>
      <c r="J450" s="14" t="s">
        <v>524</v>
      </c>
      <c r="K450" s="14" t="s">
        <v>146</v>
      </c>
      <c r="L450" s="14" t="s">
        <v>140</v>
      </c>
      <c r="M450" s="8" t="str">
        <f t="shared" si="19"/>
        <v>2026-05</v>
      </c>
      <c r="N450" s="8" t="str">
        <f t="shared" si="20"/>
        <v>OK</v>
      </c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>
      <c r="A451" s="14" t="s">
        <v>523</v>
      </c>
      <c r="B451" s="26">
        <v>46151</v>
      </c>
      <c r="C451" s="14" t="s">
        <v>63</v>
      </c>
      <c r="D451" s="27" t="str">
        <f>IFERROR(VLOOKUP(C451,'Chart of Accounts'!$A$4:$F$30,2,FALSE),"")</f>
        <v>Inventory</v>
      </c>
      <c r="E451" s="27" t="str">
        <f>IFERROR(VLOOKUP(C451,'Chart of Accounts'!$A$4:$F$30,4,FALSE),"")</f>
        <v>Inventory</v>
      </c>
      <c r="F451" s="27" t="str">
        <f>IFERROR(VLOOKUP(C451,'Chart of Accounts'!$A$4:$F$30,5,FALSE),"")</f>
        <v>BS</v>
      </c>
      <c r="G451" s="15">
        <v>0</v>
      </c>
      <c r="H451" s="15">
        <v>56228.497805666266</v>
      </c>
      <c r="I451" s="10">
        <f t="shared" si="18"/>
        <v>-56228.497805666266</v>
      </c>
      <c r="J451" s="14" t="s">
        <v>524</v>
      </c>
      <c r="K451" s="14" t="s">
        <v>146</v>
      </c>
      <c r="L451" s="14" t="s">
        <v>140</v>
      </c>
      <c r="M451" s="8" t="str">
        <f t="shared" si="19"/>
        <v>2026-05</v>
      </c>
      <c r="N451" s="8" t="str">
        <f t="shared" si="20"/>
        <v>OK</v>
      </c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>
      <c r="A452" s="14" t="s">
        <v>525</v>
      </c>
      <c r="B452" s="26">
        <v>46151</v>
      </c>
      <c r="C452" s="14" t="s">
        <v>58</v>
      </c>
      <c r="D452" s="27" t="str">
        <f>IFERROR(VLOOKUP(C452,'Chart of Accounts'!$A$4:$F$30,2,FALSE),"")</f>
        <v>Trade Receivables</v>
      </c>
      <c r="E452" s="27" t="str">
        <f>IFERROR(VLOOKUP(C452,'Chart of Accounts'!$A$4:$F$30,4,FALSE),"")</f>
        <v>Trade Receivables</v>
      </c>
      <c r="F452" s="27" t="str">
        <f>IFERROR(VLOOKUP(C452,'Chart of Accounts'!$A$4:$F$30,5,FALSE),"")</f>
        <v>BS</v>
      </c>
      <c r="G452" s="15">
        <v>92042.675079348381</v>
      </c>
      <c r="H452" s="15">
        <v>0</v>
      </c>
      <c r="I452" s="10">
        <f t="shared" ref="I452:I515" si="21">G452-H452</f>
        <v>92042.675079348381</v>
      </c>
      <c r="J452" s="14" t="s">
        <v>526</v>
      </c>
      <c r="K452" s="14" t="s">
        <v>256</v>
      </c>
      <c r="L452" s="14" t="s">
        <v>140</v>
      </c>
      <c r="M452" s="8" t="str">
        <f t="shared" ref="M452:M515" si="22">TEXT(B452,"yyyy-mm")</f>
        <v>2026-05</v>
      </c>
      <c r="N452" s="8" t="str">
        <f t="shared" ref="N452:N515" si="23">"OK"</f>
        <v>OK</v>
      </c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>
      <c r="A453" s="14" t="s">
        <v>525</v>
      </c>
      <c r="B453" s="26">
        <v>46151</v>
      </c>
      <c r="C453" s="14" t="s">
        <v>86</v>
      </c>
      <c r="D453" s="27" t="str">
        <f>IFERROR(VLOOKUP(C453,'Chart of Accounts'!$A$4:$F$30,2,FALSE),"")</f>
        <v>Product Sales</v>
      </c>
      <c r="E453" s="27" t="str">
        <f>IFERROR(VLOOKUP(C453,'Chart of Accounts'!$A$4:$F$30,4,FALSE),"")</f>
        <v>Revenue</v>
      </c>
      <c r="F453" s="27" t="str">
        <f>IFERROR(VLOOKUP(C453,'Chart of Accounts'!$A$4:$F$30,5,FALSE),"")</f>
        <v>PL</v>
      </c>
      <c r="G453" s="15">
        <v>0</v>
      </c>
      <c r="H453" s="15">
        <v>92042.675079348381</v>
      </c>
      <c r="I453" s="10">
        <f t="shared" si="21"/>
        <v>-92042.675079348381</v>
      </c>
      <c r="J453" s="14" t="s">
        <v>526</v>
      </c>
      <c r="K453" s="14" t="s">
        <v>256</v>
      </c>
      <c r="L453" s="14" t="s">
        <v>140</v>
      </c>
      <c r="M453" s="8" t="str">
        <f t="shared" si="22"/>
        <v>2026-05</v>
      </c>
      <c r="N453" s="8" t="str">
        <f t="shared" si="23"/>
        <v>OK</v>
      </c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>
      <c r="A454" s="14" t="s">
        <v>525</v>
      </c>
      <c r="B454" s="26">
        <v>46151</v>
      </c>
      <c r="C454" s="14" t="s">
        <v>90</v>
      </c>
      <c r="D454" s="27" t="str">
        <f>IFERROR(VLOOKUP(C454,'Chart of Accounts'!$A$4:$F$30,2,FALSE),"")</f>
        <v>Cost of Goods Sold</v>
      </c>
      <c r="E454" s="27" t="str">
        <f>IFERROR(VLOOKUP(C454,'Chart of Accounts'!$A$4:$F$30,4,FALSE),"")</f>
        <v>COGS</v>
      </c>
      <c r="F454" s="27" t="str">
        <f>IFERROR(VLOOKUP(C454,'Chart of Accounts'!$A$4:$F$30,5,FALSE),"")</f>
        <v>PL</v>
      </c>
      <c r="G454" s="15">
        <v>50439.385943482921</v>
      </c>
      <c r="H454" s="15">
        <v>0</v>
      </c>
      <c r="I454" s="10">
        <f t="shared" si="21"/>
        <v>50439.385943482921</v>
      </c>
      <c r="J454" s="14" t="s">
        <v>526</v>
      </c>
      <c r="K454" s="14" t="s">
        <v>256</v>
      </c>
      <c r="L454" s="14" t="s">
        <v>140</v>
      </c>
      <c r="M454" s="8" t="str">
        <f t="shared" si="22"/>
        <v>2026-05</v>
      </c>
      <c r="N454" s="8" t="str">
        <f t="shared" si="23"/>
        <v>OK</v>
      </c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>
      <c r="A455" s="14" t="s">
        <v>525</v>
      </c>
      <c r="B455" s="26">
        <v>46151</v>
      </c>
      <c r="C455" s="14" t="s">
        <v>63</v>
      </c>
      <c r="D455" s="27" t="str">
        <f>IFERROR(VLOOKUP(C455,'Chart of Accounts'!$A$4:$F$30,2,FALSE),"")</f>
        <v>Inventory</v>
      </c>
      <c r="E455" s="27" t="str">
        <f>IFERROR(VLOOKUP(C455,'Chart of Accounts'!$A$4:$F$30,4,FALSE),"")</f>
        <v>Inventory</v>
      </c>
      <c r="F455" s="27" t="str">
        <f>IFERROR(VLOOKUP(C455,'Chart of Accounts'!$A$4:$F$30,5,FALSE),"")</f>
        <v>BS</v>
      </c>
      <c r="G455" s="15">
        <v>0</v>
      </c>
      <c r="H455" s="15">
        <v>50439.385943482921</v>
      </c>
      <c r="I455" s="10">
        <f t="shared" si="21"/>
        <v>-50439.385943482921</v>
      </c>
      <c r="J455" s="14" t="s">
        <v>526</v>
      </c>
      <c r="K455" s="14" t="s">
        <v>256</v>
      </c>
      <c r="L455" s="14" t="s">
        <v>140</v>
      </c>
      <c r="M455" s="8" t="str">
        <f t="shared" si="22"/>
        <v>2026-05</v>
      </c>
      <c r="N455" s="8" t="str">
        <f t="shared" si="23"/>
        <v>OK</v>
      </c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>
      <c r="A456" s="14" t="s">
        <v>527</v>
      </c>
      <c r="B456" s="26">
        <v>46156</v>
      </c>
      <c r="C456" s="14" t="s">
        <v>58</v>
      </c>
      <c r="D456" s="27" t="str">
        <f>IFERROR(VLOOKUP(C456,'Chart of Accounts'!$A$4:$F$30,2,FALSE),"")</f>
        <v>Trade Receivables</v>
      </c>
      <c r="E456" s="27" t="str">
        <f>IFERROR(VLOOKUP(C456,'Chart of Accounts'!$A$4:$F$30,4,FALSE),"")</f>
        <v>Trade Receivables</v>
      </c>
      <c r="F456" s="27" t="str">
        <f>IFERROR(VLOOKUP(C456,'Chart of Accounts'!$A$4:$F$30,5,FALSE),"")</f>
        <v>BS</v>
      </c>
      <c r="G456" s="15">
        <v>70335.506176563009</v>
      </c>
      <c r="H456" s="15">
        <v>0</v>
      </c>
      <c r="I456" s="10">
        <f t="shared" si="21"/>
        <v>70335.506176563009</v>
      </c>
      <c r="J456" s="14" t="s">
        <v>528</v>
      </c>
      <c r="K456" s="14" t="s">
        <v>442</v>
      </c>
      <c r="L456" s="14" t="s">
        <v>140</v>
      </c>
      <c r="M456" s="8" t="str">
        <f t="shared" si="22"/>
        <v>2026-05</v>
      </c>
      <c r="N456" s="8" t="str">
        <f t="shared" si="23"/>
        <v>OK</v>
      </c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>
      <c r="A457" s="14" t="s">
        <v>527</v>
      </c>
      <c r="B457" s="26">
        <v>46156</v>
      </c>
      <c r="C457" s="14" t="s">
        <v>86</v>
      </c>
      <c r="D457" s="27" t="str">
        <f>IFERROR(VLOOKUP(C457,'Chart of Accounts'!$A$4:$F$30,2,FALSE),"")</f>
        <v>Product Sales</v>
      </c>
      <c r="E457" s="27" t="str">
        <f>IFERROR(VLOOKUP(C457,'Chart of Accounts'!$A$4:$F$30,4,FALSE),"")</f>
        <v>Revenue</v>
      </c>
      <c r="F457" s="27" t="str">
        <f>IFERROR(VLOOKUP(C457,'Chart of Accounts'!$A$4:$F$30,5,FALSE),"")</f>
        <v>PL</v>
      </c>
      <c r="G457" s="15">
        <v>0</v>
      </c>
      <c r="H457" s="15">
        <v>70335.506176563009</v>
      </c>
      <c r="I457" s="10">
        <f t="shared" si="21"/>
        <v>-70335.506176563009</v>
      </c>
      <c r="J457" s="14" t="s">
        <v>528</v>
      </c>
      <c r="K457" s="14" t="s">
        <v>442</v>
      </c>
      <c r="L457" s="14" t="s">
        <v>140</v>
      </c>
      <c r="M457" s="8" t="str">
        <f t="shared" si="22"/>
        <v>2026-05</v>
      </c>
      <c r="N457" s="8" t="str">
        <f t="shared" si="23"/>
        <v>OK</v>
      </c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>
      <c r="A458" s="14" t="s">
        <v>527</v>
      </c>
      <c r="B458" s="26">
        <v>46156</v>
      </c>
      <c r="C458" s="14" t="s">
        <v>90</v>
      </c>
      <c r="D458" s="27" t="str">
        <f>IFERROR(VLOOKUP(C458,'Chart of Accounts'!$A$4:$F$30,2,FALSE),"")</f>
        <v>Cost of Goods Sold</v>
      </c>
      <c r="E458" s="27" t="str">
        <f>IFERROR(VLOOKUP(C458,'Chart of Accounts'!$A$4:$F$30,4,FALSE),"")</f>
        <v>COGS</v>
      </c>
      <c r="F458" s="27" t="str">
        <f>IFERROR(VLOOKUP(C458,'Chart of Accounts'!$A$4:$F$30,5,FALSE),"")</f>
        <v>PL</v>
      </c>
      <c r="G458" s="15">
        <v>38543.857384756535</v>
      </c>
      <c r="H458" s="15">
        <v>0</v>
      </c>
      <c r="I458" s="10">
        <f t="shared" si="21"/>
        <v>38543.857384756535</v>
      </c>
      <c r="J458" s="14" t="s">
        <v>528</v>
      </c>
      <c r="K458" s="14" t="s">
        <v>442</v>
      </c>
      <c r="L458" s="14" t="s">
        <v>140</v>
      </c>
      <c r="M458" s="8" t="str">
        <f t="shared" si="22"/>
        <v>2026-05</v>
      </c>
      <c r="N458" s="8" t="str">
        <f t="shared" si="23"/>
        <v>OK</v>
      </c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>
      <c r="A459" s="14" t="s">
        <v>527</v>
      </c>
      <c r="B459" s="26">
        <v>46156</v>
      </c>
      <c r="C459" s="14" t="s">
        <v>63</v>
      </c>
      <c r="D459" s="27" t="str">
        <f>IFERROR(VLOOKUP(C459,'Chart of Accounts'!$A$4:$F$30,2,FALSE),"")</f>
        <v>Inventory</v>
      </c>
      <c r="E459" s="27" t="str">
        <f>IFERROR(VLOOKUP(C459,'Chart of Accounts'!$A$4:$F$30,4,FALSE),"")</f>
        <v>Inventory</v>
      </c>
      <c r="F459" s="27" t="str">
        <f>IFERROR(VLOOKUP(C459,'Chart of Accounts'!$A$4:$F$30,5,FALSE),"")</f>
        <v>BS</v>
      </c>
      <c r="G459" s="15">
        <v>0</v>
      </c>
      <c r="H459" s="15">
        <v>38543.857384756535</v>
      </c>
      <c r="I459" s="10">
        <f t="shared" si="21"/>
        <v>-38543.857384756535</v>
      </c>
      <c r="J459" s="14" t="s">
        <v>528</v>
      </c>
      <c r="K459" s="14" t="s">
        <v>442</v>
      </c>
      <c r="L459" s="14" t="s">
        <v>140</v>
      </c>
      <c r="M459" s="8" t="str">
        <f t="shared" si="22"/>
        <v>2026-05</v>
      </c>
      <c r="N459" s="8" t="str">
        <f t="shared" si="23"/>
        <v>OK</v>
      </c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>
      <c r="A460" s="14" t="s">
        <v>529</v>
      </c>
      <c r="B460" s="26">
        <v>46144</v>
      </c>
      <c r="C460" s="14" t="s">
        <v>58</v>
      </c>
      <c r="D460" s="27" t="str">
        <f>IFERROR(VLOOKUP(C460,'Chart of Accounts'!$A$4:$F$30,2,FALSE),"")</f>
        <v>Trade Receivables</v>
      </c>
      <c r="E460" s="27" t="str">
        <f>IFERROR(VLOOKUP(C460,'Chart of Accounts'!$A$4:$F$30,4,FALSE),"")</f>
        <v>Trade Receivables</v>
      </c>
      <c r="F460" s="27" t="str">
        <f>IFERROR(VLOOKUP(C460,'Chart of Accounts'!$A$4:$F$30,5,FALSE),"")</f>
        <v>BS</v>
      </c>
      <c r="G460" s="15">
        <v>70688.174512184138</v>
      </c>
      <c r="H460" s="15">
        <v>0</v>
      </c>
      <c r="I460" s="10">
        <f t="shared" si="21"/>
        <v>70688.174512184138</v>
      </c>
      <c r="J460" s="14" t="s">
        <v>530</v>
      </c>
      <c r="K460" s="14" t="s">
        <v>439</v>
      </c>
      <c r="L460" s="14" t="s">
        <v>140</v>
      </c>
      <c r="M460" s="8" t="str">
        <f t="shared" si="22"/>
        <v>2026-05</v>
      </c>
      <c r="N460" s="8" t="str">
        <f t="shared" si="23"/>
        <v>OK</v>
      </c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>
      <c r="A461" s="14" t="s">
        <v>529</v>
      </c>
      <c r="B461" s="26">
        <v>46144</v>
      </c>
      <c r="C461" s="14" t="s">
        <v>86</v>
      </c>
      <c r="D461" s="27" t="str">
        <f>IFERROR(VLOOKUP(C461,'Chart of Accounts'!$A$4:$F$30,2,FALSE),"")</f>
        <v>Product Sales</v>
      </c>
      <c r="E461" s="27" t="str">
        <f>IFERROR(VLOOKUP(C461,'Chart of Accounts'!$A$4:$F$30,4,FALSE),"")</f>
        <v>Revenue</v>
      </c>
      <c r="F461" s="27" t="str">
        <f>IFERROR(VLOOKUP(C461,'Chart of Accounts'!$A$4:$F$30,5,FALSE),"")</f>
        <v>PL</v>
      </c>
      <c r="G461" s="15">
        <v>0</v>
      </c>
      <c r="H461" s="15">
        <v>70688.174512184138</v>
      </c>
      <c r="I461" s="10">
        <f t="shared" si="21"/>
        <v>-70688.174512184138</v>
      </c>
      <c r="J461" s="14" t="s">
        <v>530</v>
      </c>
      <c r="K461" s="14" t="s">
        <v>439</v>
      </c>
      <c r="L461" s="14" t="s">
        <v>140</v>
      </c>
      <c r="M461" s="8" t="str">
        <f t="shared" si="22"/>
        <v>2026-05</v>
      </c>
      <c r="N461" s="8" t="str">
        <f t="shared" si="23"/>
        <v>OK</v>
      </c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>
      <c r="A462" s="14" t="s">
        <v>529</v>
      </c>
      <c r="B462" s="26">
        <v>46144</v>
      </c>
      <c r="C462" s="14" t="s">
        <v>90</v>
      </c>
      <c r="D462" s="27" t="str">
        <f>IFERROR(VLOOKUP(C462,'Chart of Accounts'!$A$4:$F$30,2,FALSE),"")</f>
        <v>Cost of Goods Sold</v>
      </c>
      <c r="E462" s="27" t="str">
        <f>IFERROR(VLOOKUP(C462,'Chart of Accounts'!$A$4:$F$30,4,FALSE),"")</f>
        <v>COGS</v>
      </c>
      <c r="F462" s="27" t="str">
        <f>IFERROR(VLOOKUP(C462,'Chart of Accounts'!$A$4:$F$30,5,FALSE),"")</f>
        <v>PL</v>
      </c>
      <c r="G462" s="15">
        <v>38737.119632676913</v>
      </c>
      <c r="H462" s="15">
        <v>0</v>
      </c>
      <c r="I462" s="10">
        <f t="shared" si="21"/>
        <v>38737.119632676913</v>
      </c>
      <c r="J462" s="14" t="s">
        <v>530</v>
      </c>
      <c r="K462" s="14" t="s">
        <v>439</v>
      </c>
      <c r="L462" s="14" t="s">
        <v>140</v>
      </c>
      <c r="M462" s="8" t="str">
        <f t="shared" si="22"/>
        <v>2026-05</v>
      </c>
      <c r="N462" s="8" t="str">
        <f t="shared" si="23"/>
        <v>OK</v>
      </c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>
      <c r="A463" s="14" t="s">
        <v>529</v>
      </c>
      <c r="B463" s="26">
        <v>46144</v>
      </c>
      <c r="C463" s="14" t="s">
        <v>63</v>
      </c>
      <c r="D463" s="27" t="str">
        <f>IFERROR(VLOOKUP(C463,'Chart of Accounts'!$A$4:$F$30,2,FALSE),"")</f>
        <v>Inventory</v>
      </c>
      <c r="E463" s="27" t="str">
        <f>IFERROR(VLOOKUP(C463,'Chart of Accounts'!$A$4:$F$30,4,FALSE),"")</f>
        <v>Inventory</v>
      </c>
      <c r="F463" s="27" t="str">
        <f>IFERROR(VLOOKUP(C463,'Chart of Accounts'!$A$4:$F$30,5,FALSE),"")</f>
        <v>BS</v>
      </c>
      <c r="G463" s="15">
        <v>0</v>
      </c>
      <c r="H463" s="15">
        <v>38737.119632676913</v>
      </c>
      <c r="I463" s="10">
        <f t="shared" si="21"/>
        <v>-38737.119632676913</v>
      </c>
      <c r="J463" s="14" t="s">
        <v>530</v>
      </c>
      <c r="K463" s="14" t="s">
        <v>439</v>
      </c>
      <c r="L463" s="14" t="s">
        <v>140</v>
      </c>
      <c r="M463" s="8" t="str">
        <f t="shared" si="22"/>
        <v>2026-05</v>
      </c>
      <c r="N463" s="8" t="str">
        <f t="shared" si="23"/>
        <v>OK</v>
      </c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>
      <c r="A464" s="14" t="s">
        <v>531</v>
      </c>
      <c r="B464" s="26">
        <v>46156</v>
      </c>
      <c r="C464" s="14" t="s">
        <v>58</v>
      </c>
      <c r="D464" s="27" t="str">
        <f>IFERROR(VLOOKUP(C464,'Chart of Accounts'!$A$4:$F$30,2,FALSE),"")</f>
        <v>Trade Receivables</v>
      </c>
      <c r="E464" s="27" t="str">
        <f>IFERROR(VLOOKUP(C464,'Chart of Accounts'!$A$4:$F$30,4,FALSE),"")</f>
        <v>Trade Receivables</v>
      </c>
      <c r="F464" s="27" t="str">
        <f>IFERROR(VLOOKUP(C464,'Chart of Accounts'!$A$4:$F$30,5,FALSE),"")</f>
        <v>BS</v>
      </c>
      <c r="G464" s="15">
        <v>88820.988922521108</v>
      </c>
      <c r="H464" s="15">
        <v>0</v>
      </c>
      <c r="I464" s="10">
        <f t="shared" si="21"/>
        <v>88820.988922521108</v>
      </c>
      <c r="J464" s="14" t="s">
        <v>532</v>
      </c>
      <c r="K464" s="14" t="s">
        <v>277</v>
      </c>
      <c r="L464" s="14" t="s">
        <v>140</v>
      </c>
      <c r="M464" s="8" t="str">
        <f t="shared" si="22"/>
        <v>2026-05</v>
      </c>
      <c r="N464" s="8" t="str">
        <f t="shared" si="23"/>
        <v>OK</v>
      </c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>
      <c r="A465" s="14" t="s">
        <v>531</v>
      </c>
      <c r="B465" s="26">
        <v>46156</v>
      </c>
      <c r="C465" s="14" t="s">
        <v>86</v>
      </c>
      <c r="D465" s="27" t="str">
        <f>IFERROR(VLOOKUP(C465,'Chart of Accounts'!$A$4:$F$30,2,FALSE),"")</f>
        <v>Product Sales</v>
      </c>
      <c r="E465" s="27" t="str">
        <f>IFERROR(VLOOKUP(C465,'Chart of Accounts'!$A$4:$F$30,4,FALSE),"")</f>
        <v>Revenue</v>
      </c>
      <c r="F465" s="27" t="str">
        <f>IFERROR(VLOOKUP(C465,'Chart of Accounts'!$A$4:$F$30,5,FALSE),"")</f>
        <v>PL</v>
      </c>
      <c r="G465" s="15">
        <v>0</v>
      </c>
      <c r="H465" s="15">
        <v>88820.988922521108</v>
      </c>
      <c r="I465" s="10">
        <f t="shared" si="21"/>
        <v>-88820.988922521108</v>
      </c>
      <c r="J465" s="14" t="s">
        <v>532</v>
      </c>
      <c r="K465" s="14" t="s">
        <v>277</v>
      </c>
      <c r="L465" s="14" t="s">
        <v>140</v>
      </c>
      <c r="M465" s="8" t="str">
        <f t="shared" si="22"/>
        <v>2026-05</v>
      </c>
      <c r="N465" s="8" t="str">
        <f t="shared" si="23"/>
        <v>OK</v>
      </c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>
      <c r="A466" s="14" t="s">
        <v>531</v>
      </c>
      <c r="B466" s="26">
        <v>46156</v>
      </c>
      <c r="C466" s="14" t="s">
        <v>90</v>
      </c>
      <c r="D466" s="27" t="str">
        <f>IFERROR(VLOOKUP(C466,'Chart of Accounts'!$A$4:$F$30,2,FALSE),"")</f>
        <v>Cost of Goods Sold</v>
      </c>
      <c r="E466" s="27" t="str">
        <f>IFERROR(VLOOKUP(C466,'Chart of Accounts'!$A$4:$F$30,4,FALSE),"")</f>
        <v>COGS</v>
      </c>
      <c r="F466" s="27" t="str">
        <f>IFERROR(VLOOKUP(C466,'Chart of Accounts'!$A$4:$F$30,5,FALSE),"")</f>
        <v>PL</v>
      </c>
      <c r="G466" s="15">
        <v>48673.901929541571</v>
      </c>
      <c r="H466" s="15">
        <v>0</v>
      </c>
      <c r="I466" s="10">
        <f t="shared" si="21"/>
        <v>48673.901929541571</v>
      </c>
      <c r="J466" s="14" t="s">
        <v>532</v>
      </c>
      <c r="K466" s="14" t="s">
        <v>277</v>
      </c>
      <c r="L466" s="14" t="s">
        <v>140</v>
      </c>
      <c r="M466" s="8" t="str">
        <f t="shared" si="22"/>
        <v>2026-05</v>
      </c>
      <c r="N466" s="8" t="str">
        <f t="shared" si="23"/>
        <v>OK</v>
      </c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>
      <c r="A467" s="14" t="s">
        <v>531</v>
      </c>
      <c r="B467" s="26">
        <v>46156</v>
      </c>
      <c r="C467" s="14" t="s">
        <v>63</v>
      </c>
      <c r="D467" s="27" t="str">
        <f>IFERROR(VLOOKUP(C467,'Chart of Accounts'!$A$4:$F$30,2,FALSE),"")</f>
        <v>Inventory</v>
      </c>
      <c r="E467" s="27" t="str">
        <f>IFERROR(VLOOKUP(C467,'Chart of Accounts'!$A$4:$F$30,4,FALSE),"")</f>
        <v>Inventory</v>
      </c>
      <c r="F467" s="27" t="str">
        <f>IFERROR(VLOOKUP(C467,'Chart of Accounts'!$A$4:$F$30,5,FALSE),"")</f>
        <v>BS</v>
      </c>
      <c r="G467" s="15">
        <v>0</v>
      </c>
      <c r="H467" s="15">
        <v>48673.901929541571</v>
      </c>
      <c r="I467" s="10">
        <f t="shared" si="21"/>
        <v>-48673.901929541571</v>
      </c>
      <c r="J467" s="14" t="s">
        <v>532</v>
      </c>
      <c r="K467" s="14" t="s">
        <v>277</v>
      </c>
      <c r="L467" s="14" t="s">
        <v>140</v>
      </c>
      <c r="M467" s="8" t="str">
        <f t="shared" si="22"/>
        <v>2026-05</v>
      </c>
      <c r="N467" s="8" t="str">
        <f t="shared" si="23"/>
        <v>OK</v>
      </c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>
      <c r="A468" s="14" t="s">
        <v>533</v>
      </c>
      <c r="B468" s="26">
        <v>46164</v>
      </c>
      <c r="C468" s="14" t="s">
        <v>58</v>
      </c>
      <c r="D468" s="27" t="str">
        <f>IFERROR(VLOOKUP(C468,'Chart of Accounts'!$A$4:$F$30,2,FALSE),"")</f>
        <v>Trade Receivables</v>
      </c>
      <c r="E468" s="27" t="str">
        <f>IFERROR(VLOOKUP(C468,'Chart of Accounts'!$A$4:$F$30,4,FALSE),"")</f>
        <v>Trade Receivables</v>
      </c>
      <c r="F468" s="27" t="str">
        <f>IFERROR(VLOOKUP(C468,'Chart of Accounts'!$A$4:$F$30,5,FALSE),"")</f>
        <v>BS</v>
      </c>
      <c r="G468" s="15">
        <v>60945.89850039404</v>
      </c>
      <c r="H468" s="15">
        <v>0</v>
      </c>
      <c r="I468" s="10">
        <f t="shared" si="21"/>
        <v>60945.89850039404</v>
      </c>
      <c r="J468" s="14" t="s">
        <v>534</v>
      </c>
      <c r="K468" s="14" t="s">
        <v>347</v>
      </c>
      <c r="L468" s="14" t="s">
        <v>140</v>
      </c>
      <c r="M468" s="8" t="str">
        <f t="shared" si="22"/>
        <v>2026-05</v>
      </c>
      <c r="N468" s="8" t="str">
        <f t="shared" si="23"/>
        <v>OK</v>
      </c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>
      <c r="A469" s="14" t="s">
        <v>533</v>
      </c>
      <c r="B469" s="26">
        <v>46164</v>
      </c>
      <c r="C469" s="14" t="s">
        <v>86</v>
      </c>
      <c r="D469" s="27" t="str">
        <f>IFERROR(VLOOKUP(C469,'Chart of Accounts'!$A$4:$F$30,2,FALSE),"")</f>
        <v>Product Sales</v>
      </c>
      <c r="E469" s="27" t="str">
        <f>IFERROR(VLOOKUP(C469,'Chart of Accounts'!$A$4:$F$30,4,FALSE),"")</f>
        <v>Revenue</v>
      </c>
      <c r="F469" s="27" t="str">
        <f>IFERROR(VLOOKUP(C469,'Chart of Accounts'!$A$4:$F$30,5,FALSE),"")</f>
        <v>PL</v>
      </c>
      <c r="G469" s="15">
        <v>0</v>
      </c>
      <c r="H469" s="15">
        <v>60945.89850039404</v>
      </c>
      <c r="I469" s="10">
        <f t="shared" si="21"/>
        <v>-60945.89850039404</v>
      </c>
      <c r="J469" s="14" t="s">
        <v>534</v>
      </c>
      <c r="K469" s="14" t="s">
        <v>347</v>
      </c>
      <c r="L469" s="14" t="s">
        <v>140</v>
      </c>
      <c r="M469" s="8" t="str">
        <f t="shared" si="22"/>
        <v>2026-05</v>
      </c>
      <c r="N469" s="8" t="str">
        <f t="shared" si="23"/>
        <v>OK</v>
      </c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>
      <c r="A470" s="14" t="s">
        <v>533</v>
      </c>
      <c r="B470" s="26">
        <v>46164</v>
      </c>
      <c r="C470" s="14" t="s">
        <v>90</v>
      </c>
      <c r="D470" s="27" t="str">
        <f>IFERROR(VLOOKUP(C470,'Chart of Accounts'!$A$4:$F$30,2,FALSE),"")</f>
        <v>Cost of Goods Sold</v>
      </c>
      <c r="E470" s="27" t="str">
        <f>IFERROR(VLOOKUP(C470,'Chart of Accounts'!$A$4:$F$30,4,FALSE),"")</f>
        <v>COGS</v>
      </c>
      <c r="F470" s="27" t="str">
        <f>IFERROR(VLOOKUP(C470,'Chart of Accounts'!$A$4:$F$30,5,FALSE),"")</f>
        <v>PL</v>
      </c>
      <c r="G470" s="15">
        <v>33398.352378215939</v>
      </c>
      <c r="H470" s="15">
        <v>0</v>
      </c>
      <c r="I470" s="10">
        <f t="shared" si="21"/>
        <v>33398.352378215939</v>
      </c>
      <c r="J470" s="14" t="s">
        <v>534</v>
      </c>
      <c r="K470" s="14" t="s">
        <v>347</v>
      </c>
      <c r="L470" s="14" t="s">
        <v>140</v>
      </c>
      <c r="M470" s="8" t="str">
        <f t="shared" si="22"/>
        <v>2026-05</v>
      </c>
      <c r="N470" s="8" t="str">
        <f t="shared" si="23"/>
        <v>OK</v>
      </c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>
      <c r="A471" s="14" t="s">
        <v>533</v>
      </c>
      <c r="B471" s="26">
        <v>46164</v>
      </c>
      <c r="C471" s="14" t="s">
        <v>63</v>
      </c>
      <c r="D471" s="27" t="str">
        <f>IFERROR(VLOOKUP(C471,'Chart of Accounts'!$A$4:$F$30,2,FALSE),"")</f>
        <v>Inventory</v>
      </c>
      <c r="E471" s="27" t="str">
        <f>IFERROR(VLOOKUP(C471,'Chart of Accounts'!$A$4:$F$30,4,FALSE),"")</f>
        <v>Inventory</v>
      </c>
      <c r="F471" s="27" t="str">
        <f>IFERROR(VLOOKUP(C471,'Chart of Accounts'!$A$4:$F$30,5,FALSE),"")</f>
        <v>BS</v>
      </c>
      <c r="G471" s="15">
        <v>0</v>
      </c>
      <c r="H471" s="15">
        <v>33398.352378215939</v>
      </c>
      <c r="I471" s="10">
        <f t="shared" si="21"/>
        <v>-33398.352378215939</v>
      </c>
      <c r="J471" s="14" t="s">
        <v>534</v>
      </c>
      <c r="K471" s="14" t="s">
        <v>347</v>
      </c>
      <c r="L471" s="14" t="s">
        <v>140</v>
      </c>
      <c r="M471" s="8" t="str">
        <f t="shared" si="22"/>
        <v>2026-05</v>
      </c>
      <c r="N471" s="8" t="str">
        <f t="shared" si="23"/>
        <v>OK</v>
      </c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>
      <c r="A472" s="14" t="s">
        <v>535</v>
      </c>
      <c r="B472" s="26">
        <v>46156</v>
      </c>
      <c r="C472" s="14" t="s">
        <v>52</v>
      </c>
      <c r="D472" s="27" t="str">
        <f>IFERROR(VLOOKUP(C472,'Chart of Accounts'!$A$4:$F$30,2,FALSE),"")</f>
        <v>Bank</v>
      </c>
      <c r="E472" s="27" t="str">
        <f>IFERROR(VLOOKUP(C472,'Chart of Accounts'!$A$4:$F$30,4,FALSE),"")</f>
        <v>Cash</v>
      </c>
      <c r="F472" s="27" t="str">
        <f>IFERROR(VLOOKUP(C472,'Chart of Accounts'!$A$4:$F$30,5,FALSE),"")</f>
        <v>BS</v>
      </c>
      <c r="G472" s="15">
        <v>139551.48891858442</v>
      </c>
      <c r="H472" s="15">
        <v>0</v>
      </c>
      <c r="I472" s="10">
        <f t="shared" si="21"/>
        <v>139551.48891858442</v>
      </c>
      <c r="J472" s="14" t="s">
        <v>536</v>
      </c>
      <c r="K472" s="14" t="s">
        <v>175</v>
      </c>
      <c r="L472" s="14" t="s">
        <v>176</v>
      </c>
      <c r="M472" s="8" t="str">
        <f t="shared" si="22"/>
        <v>2026-05</v>
      </c>
      <c r="N472" s="8" t="str">
        <f t="shared" si="23"/>
        <v>OK</v>
      </c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>
      <c r="A473" s="14" t="s">
        <v>535</v>
      </c>
      <c r="B473" s="26">
        <v>46156</v>
      </c>
      <c r="C473" s="14" t="s">
        <v>58</v>
      </c>
      <c r="D473" s="27" t="str">
        <f>IFERROR(VLOOKUP(C473,'Chart of Accounts'!$A$4:$F$30,2,FALSE),"")</f>
        <v>Trade Receivables</v>
      </c>
      <c r="E473" s="27" t="str">
        <f>IFERROR(VLOOKUP(C473,'Chart of Accounts'!$A$4:$F$30,4,FALSE),"")</f>
        <v>Trade Receivables</v>
      </c>
      <c r="F473" s="27" t="str">
        <f>IFERROR(VLOOKUP(C473,'Chart of Accounts'!$A$4:$F$30,5,FALSE),"")</f>
        <v>BS</v>
      </c>
      <c r="G473" s="15">
        <v>0</v>
      </c>
      <c r="H473" s="15">
        <v>139551.48891858442</v>
      </c>
      <c r="I473" s="10">
        <f t="shared" si="21"/>
        <v>-139551.48891858442</v>
      </c>
      <c r="J473" s="14" t="s">
        <v>536</v>
      </c>
      <c r="K473" s="14" t="s">
        <v>175</v>
      </c>
      <c r="L473" s="14" t="s">
        <v>176</v>
      </c>
      <c r="M473" s="8" t="str">
        <f t="shared" si="22"/>
        <v>2026-05</v>
      </c>
      <c r="N473" s="8" t="str">
        <f t="shared" si="23"/>
        <v>OK</v>
      </c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>
      <c r="A474" s="14" t="s">
        <v>537</v>
      </c>
      <c r="B474" s="26">
        <v>46158</v>
      </c>
      <c r="C474" s="14" t="s">
        <v>52</v>
      </c>
      <c r="D474" s="27" t="str">
        <f>IFERROR(VLOOKUP(C474,'Chart of Accounts'!$A$4:$F$30,2,FALSE),"")</f>
        <v>Bank</v>
      </c>
      <c r="E474" s="27" t="str">
        <f>IFERROR(VLOOKUP(C474,'Chart of Accounts'!$A$4:$F$30,4,FALSE),"")</f>
        <v>Cash</v>
      </c>
      <c r="F474" s="27" t="str">
        <f>IFERROR(VLOOKUP(C474,'Chart of Accounts'!$A$4:$F$30,5,FALSE),"")</f>
        <v>BS</v>
      </c>
      <c r="G474" s="15">
        <v>106522.4623811186</v>
      </c>
      <c r="H474" s="15">
        <v>0</v>
      </c>
      <c r="I474" s="10">
        <f t="shared" si="21"/>
        <v>106522.4623811186</v>
      </c>
      <c r="J474" s="14" t="s">
        <v>538</v>
      </c>
      <c r="K474" s="14" t="s">
        <v>175</v>
      </c>
      <c r="L474" s="14" t="s">
        <v>176</v>
      </c>
      <c r="M474" s="8" t="str">
        <f t="shared" si="22"/>
        <v>2026-05</v>
      </c>
      <c r="N474" s="8" t="str">
        <f t="shared" si="23"/>
        <v>OK</v>
      </c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>
      <c r="A475" s="14" t="s">
        <v>537</v>
      </c>
      <c r="B475" s="26">
        <v>46158</v>
      </c>
      <c r="C475" s="14" t="s">
        <v>58</v>
      </c>
      <c r="D475" s="27" t="str">
        <f>IFERROR(VLOOKUP(C475,'Chart of Accounts'!$A$4:$F$30,2,FALSE),"")</f>
        <v>Trade Receivables</v>
      </c>
      <c r="E475" s="27" t="str">
        <f>IFERROR(VLOOKUP(C475,'Chart of Accounts'!$A$4:$F$30,4,FALSE),"")</f>
        <v>Trade Receivables</v>
      </c>
      <c r="F475" s="27" t="str">
        <f>IFERROR(VLOOKUP(C475,'Chart of Accounts'!$A$4:$F$30,5,FALSE),"")</f>
        <v>BS</v>
      </c>
      <c r="G475" s="15">
        <v>0</v>
      </c>
      <c r="H475" s="15">
        <v>106522.4623811186</v>
      </c>
      <c r="I475" s="10">
        <f t="shared" si="21"/>
        <v>-106522.4623811186</v>
      </c>
      <c r="J475" s="14" t="s">
        <v>538</v>
      </c>
      <c r="K475" s="14" t="s">
        <v>175</v>
      </c>
      <c r="L475" s="14" t="s">
        <v>176</v>
      </c>
      <c r="M475" s="8" t="str">
        <f t="shared" si="22"/>
        <v>2026-05</v>
      </c>
      <c r="N475" s="8" t="str">
        <f t="shared" si="23"/>
        <v>OK</v>
      </c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>
      <c r="A476" s="14" t="s">
        <v>539</v>
      </c>
      <c r="B476" s="26">
        <v>46151</v>
      </c>
      <c r="C476" s="14" t="s">
        <v>52</v>
      </c>
      <c r="D476" s="27" t="str">
        <f>IFERROR(VLOOKUP(C476,'Chart of Accounts'!$A$4:$F$30,2,FALSE),"")</f>
        <v>Bank</v>
      </c>
      <c r="E476" s="27" t="str">
        <f>IFERROR(VLOOKUP(C476,'Chart of Accounts'!$A$4:$F$30,4,FALSE),"")</f>
        <v>Cash</v>
      </c>
      <c r="F476" s="27" t="str">
        <f>IFERROR(VLOOKUP(C476,'Chart of Accounts'!$A$4:$F$30,5,FALSE),"")</f>
        <v>BS</v>
      </c>
      <c r="G476" s="15">
        <v>178717.06489753627</v>
      </c>
      <c r="H476" s="15">
        <v>0</v>
      </c>
      <c r="I476" s="10">
        <f t="shared" si="21"/>
        <v>178717.06489753627</v>
      </c>
      <c r="J476" s="14" t="s">
        <v>540</v>
      </c>
      <c r="K476" s="14" t="s">
        <v>175</v>
      </c>
      <c r="L476" s="14" t="s">
        <v>176</v>
      </c>
      <c r="M476" s="8" t="str">
        <f t="shared" si="22"/>
        <v>2026-05</v>
      </c>
      <c r="N476" s="8" t="str">
        <f t="shared" si="23"/>
        <v>OK</v>
      </c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>
      <c r="A477" s="14" t="s">
        <v>539</v>
      </c>
      <c r="B477" s="26">
        <v>46151</v>
      </c>
      <c r="C477" s="14" t="s">
        <v>58</v>
      </c>
      <c r="D477" s="27" t="str">
        <f>IFERROR(VLOOKUP(C477,'Chart of Accounts'!$A$4:$F$30,2,FALSE),"")</f>
        <v>Trade Receivables</v>
      </c>
      <c r="E477" s="27" t="str">
        <f>IFERROR(VLOOKUP(C477,'Chart of Accounts'!$A$4:$F$30,4,FALSE),"")</f>
        <v>Trade Receivables</v>
      </c>
      <c r="F477" s="27" t="str">
        <f>IFERROR(VLOOKUP(C477,'Chart of Accounts'!$A$4:$F$30,5,FALSE),"")</f>
        <v>BS</v>
      </c>
      <c r="G477" s="15">
        <v>0</v>
      </c>
      <c r="H477" s="15">
        <v>178717.06489753627</v>
      </c>
      <c r="I477" s="10">
        <f t="shared" si="21"/>
        <v>-178717.06489753627</v>
      </c>
      <c r="J477" s="14" t="s">
        <v>540</v>
      </c>
      <c r="K477" s="14" t="s">
        <v>175</v>
      </c>
      <c r="L477" s="14" t="s">
        <v>176</v>
      </c>
      <c r="M477" s="8" t="str">
        <f t="shared" si="22"/>
        <v>2026-05</v>
      </c>
      <c r="N477" s="8" t="str">
        <f t="shared" si="23"/>
        <v>OK</v>
      </c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>
      <c r="A478" s="14" t="s">
        <v>541</v>
      </c>
      <c r="B478" s="26">
        <v>46161</v>
      </c>
      <c r="C478" s="14" t="s">
        <v>52</v>
      </c>
      <c r="D478" s="27" t="str">
        <f>IFERROR(VLOOKUP(C478,'Chart of Accounts'!$A$4:$F$30,2,FALSE),"")</f>
        <v>Bank</v>
      </c>
      <c r="E478" s="27" t="str">
        <f>IFERROR(VLOOKUP(C478,'Chart of Accounts'!$A$4:$F$30,4,FALSE),"")</f>
        <v>Cash</v>
      </c>
      <c r="F478" s="27" t="str">
        <f>IFERROR(VLOOKUP(C478,'Chart of Accounts'!$A$4:$F$30,5,FALSE),"")</f>
        <v>BS</v>
      </c>
      <c r="G478" s="15">
        <v>173317.41193100368</v>
      </c>
      <c r="H478" s="15">
        <v>0</v>
      </c>
      <c r="I478" s="10">
        <f t="shared" si="21"/>
        <v>173317.41193100368</v>
      </c>
      <c r="J478" s="14" t="s">
        <v>542</v>
      </c>
      <c r="K478" s="14" t="s">
        <v>175</v>
      </c>
      <c r="L478" s="14" t="s">
        <v>176</v>
      </c>
      <c r="M478" s="8" t="str">
        <f t="shared" si="22"/>
        <v>2026-05</v>
      </c>
      <c r="N478" s="8" t="str">
        <f t="shared" si="23"/>
        <v>OK</v>
      </c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>
      <c r="A479" s="14" t="s">
        <v>541</v>
      </c>
      <c r="B479" s="26">
        <v>46161</v>
      </c>
      <c r="C479" s="14" t="s">
        <v>58</v>
      </c>
      <c r="D479" s="27" t="str">
        <f>IFERROR(VLOOKUP(C479,'Chart of Accounts'!$A$4:$F$30,2,FALSE),"")</f>
        <v>Trade Receivables</v>
      </c>
      <c r="E479" s="27" t="str">
        <f>IFERROR(VLOOKUP(C479,'Chart of Accounts'!$A$4:$F$30,4,FALSE),"")</f>
        <v>Trade Receivables</v>
      </c>
      <c r="F479" s="27" t="str">
        <f>IFERROR(VLOOKUP(C479,'Chart of Accounts'!$A$4:$F$30,5,FALSE),"")</f>
        <v>BS</v>
      </c>
      <c r="G479" s="15">
        <v>0</v>
      </c>
      <c r="H479" s="15">
        <v>173317.41193100368</v>
      </c>
      <c r="I479" s="10">
        <f t="shared" si="21"/>
        <v>-173317.41193100368</v>
      </c>
      <c r="J479" s="14" t="s">
        <v>542</v>
      </c>
      <c r="K479" s="14" t="s">
        <v>175</v>
      </c>
      <c r="L479" s="14" t="s">
        <v>176</v>
      </c>
      <c r="M479" s="8" t="str">
        <f t="shared" si="22"/>
        <v>2026-05</v>
      </c>
      <c r="N479" s="8" t="str">
        <f t="shared" si="23"/>
        <v>OK</v>
      </c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>
      <c r="A480" s="14" t="s">
        <v>543</v>
      </c>
      <c r="B480" s="26">
        <v>46169</v>
      </c>
      <c r="C480" s="14" t="s">
        <v>52</v>
      </c>
      <c r="D480" s="27" t="str">
        <f>IFERROR(VLOOKUP(C480,'Chart of Accounts'!$A$4:$F$30,2,FALSE),"")</f>
        <v>Bank</v>
      </c>
      <c r="E480" s="27" t="str">
        <f>IFERROR(VLOOKUP(C480,'Chart of Accounts'!$A$4:$F$30,4,FALSE),"")</f>
        <v>Cash</v>
      </c>
      <c r="F480" s="27" t="str">
        <f>IFERROR(VLOOKUP(C480,'Chart of Accounts'!$A$4:$F$30,5,FALSE),"")</f>
        <v>BS</v>
      </c>
      <c r="G480" s="15">
        <v>131366.9079974881</v>
      </c>
      <c r="H480" s="15">
        <v>0</v>
      </c>
      <c r="I480" s="10">
        <f t="shared" si="21"/>
        <v>131366.9079974881</v>
      </c>
      <c r="J480" s="14" t="s">
        <v>544</v>
      </c>
      <c r="K480" s="14" t="s">
        <v>175</v>
      </c>
      <c r="L480" s="14" t="s">
        <v>176</v>
      </c>
      <c r="M480" s="8" t="str">
        <f t="shared" si="22"/>
        <v>2026-05</v>
      </c>
      <c r="N480" s="8" t="str">
        <f t="shared" si="23"/>
        <v>OK</v>
      </c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>
      <c r="A481" s="14" t="s">
        <v>543</v>
      </c>
      <c r="B481" s="26">
        <v>46169</v>
      </c>
      <c r="C481" s="14" t="s">
        <v>58</v>
      </c>
      <c r="D481" s="27" t="str">
        <f>IFERROR(VLOOKUP(C481,'Chart of Accounts'!$A$4:$F$30,2,FALSE),"")</f>
        <v>Trade Receivables</v>
      </c>
      <c r="E481" s="27" t="str">
        <f>IFERROR(VLOOKUP(C481,'Chart of Accounts'!$A$4:$F$30,4,FALSE),"")</f>
        <v>Trade Receivables</v>
      </c>
      <c r="F481" s="27" t="str">
        <f>IFERROR(VLOOKUP(C481,'Chart of Accounts'!$A$4:$F$30,5,FALSE),"")</f>
        <v>BS</v>
      </c>
      <c r="G481" s="15">
        <v>0</v>
      </c>
      <c r="H481" s="15">
        <v>131366.9079974881</v>
      </c>
      <c r="I481" s="10">
        <f t="shared" si="21"/>
        <v>-131366.9079974881</v>
      </c>
      <c r="J481" s="14" t="s">
        <v>544</v>
      </c>
      <c r="K481" s="14" t="s">
        <v>175</v>
      </c>
      <c r="L481" s="14" t="s">
        <v>176</v>
      </c>
      <c r="M481" s="8" t="str">
        <f t="shared" si="22"/>
        <v>2026-05</v>
      </c>
      <c r="N481" s="8" t="str">
        <f t="shared" si="23"/>
        <v>OK</v>
      </c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>
      <c r="A482" s="14" t="s">
        <v>545</v>
      </c>
      <c r="B482" s="26">
        <v>46154</v>
      </c>
      <c r="C482" s="14" t="s">
        <v>52</v>
      </c>
      <c r="D482" s="27" t="str">
        <f>IFERROR(VLOOKUP(C482,'Chart of Accounts'!$A$4:$F$30,2,FALSE),"")</f>
        <v>Bank</v>
      </c>
      <c r="E482" s="27" t="str">
        <f>IFERROR(VLOOKUP(C482,'Chart of Accounts'!$A$4:$F$30,4,FALSE),"")</f>
        <v>Cash</v>
      </c>
      <c r="F482" s="27" t="str">
        <f>IFERROR(VLOOKUP(C482,'Chart of Accounts'!$A$4:$F$30,5,FALSE),"")</f>
        <v>BS</v>
      </c>
      <c r="G482" s="15">
        <v>163324.66387426894</v>
      </c>
      <c r="H482" s="15">
        <v>0</v>
      </c>
      <c r="I482" s="10">
        <f t="shared" si="21"/>
        <v>163324.66387426894</v>
      </c>
      <c r="J482" s="14" t="s">
        <v>546</v>
      </c>
      <c r="K482" s="14" t="s">
        <v>175</v>
      </c>
      <c r="L482" s="14" t="s">
        <v>176</v>
      </c>
      <c r="M482" s="8" t="str">
        <f t="shared" si="22"/>
        <v>2026-05</v>
      </c>
      <c r="N482" s="8" t="str">
        <f t="shared" si="23"/>
        <v>OK</v>
      </c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>
      <c r="A483" s="14" t="s">
        <v>545</v>
      </c>
      <c r="B483" s="26">
        <v>46154</v>
      </c>
      <c r="C483" s="14" t="s">
        <v>58</v>
      </c>
      <c r="D483" s="27" t="str">
        <f>IFERROR(VLOOKUP(C483,'Chart of Accounts'!$A$4:$F$30,2,FALSE),"")</f>
        <v>Trade Receivables</v>
      </c>
      <c r="E483" s="27" t="str">
        <f>IFERROR(VLOOKUP(C483,'Chart of Accounts'!$A$4:$F$30,4,FALSE),"")</f>
        <v>Trade Receivables</v>
      </c>
      <c r="F483" s="27" t="str">
        <f>IFERROR(VLOOKUP(C483,'Chart of Accounts'!$A$4:$F$30,5,FALSE),"")</f>
        <v>BS</v>
      </c>
      <c r="G483" s="15">
        <v>0</v>
      </c>
      <c r="H483" s="15">
        <v>163324.66387426894</v>
      </c>
      <c r="I483" s="10">
        <f t="shared" si="21"/>
        <v>-163324.66387426894</v>
      </c>
      <c r="J483" s="14" t="s">
        <v>546</v>
      </c>
      <c r="K483" s="14" t="s">
        <v>175</v>
      </c>
      <c r="L483" s="14" t="s">
        <v>176</v>
      </c>
      <c r="M483" s="8" t="str">
        <f t="shared" si="22"/>
        <v>2026-05</v>
      </c>
      <c r="N483" s="8" t="str">
        <f t="shared" si="23"/>
        <v>OK</v>
      </c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>
      <c r="A484" s="14" t="s">
        <v>547</v>
      </c>
      <c r="B484" s="26">
        <v>46155</v>
      </c>
      <c r="C484" s="14" t="s">
        <v>63</v>
      </c>
      <c r="D484" s="27" t="str">
        <f>IFERROR(VLOOKUP(C484,'Chart of Accounts'!$A$4:$F$30,2,FALSE),"")</f>
        <v>Inventory</v>
      </c>
      <c r="E484" s="27" t="str">
        <f>IFERROR(VLOOKUP(C484,'Chart of Accounts'!$A$4:$F$30,4,FALSE),"")</f>
        <v>Inventory</v>
      </c>
      <c r="F484" s="27" t="str">
        <f>IFERROR(VLOOKUP(C484,'Chart of Accounts'!$A$4:$F$30,5,FALSE),"")</f>
        <v>BS</v>
      </c>
      <c r="G484" s="15">
        <v>68743.181997443826</v>
      </c>
      <c r="H484" s="15">
        <v>0</v>
      </c>
      <c r="I484" s="10">
        <f t="shared" si="21"/>
        <v>68743.181997443826</v>
      </c>
      <c r="J484" s="14" t="s">
        <v>548</v>
      </c>
      <c r="K484" s="14" t="s">
        <v>549</v>
      </c>
      <c r="L484" s="14" t="s">
        <v>190</v>
      </c>
      <c r="M484" s="8" t="str">
        <f t="shared" si="22"/>
        <v>2026-05</v>
      </c>
      <c r="N484" s="8" t="str">
        <f t="shared" si="23"/>
        <v>OK</v>
      </c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>
      <c r="A485" s="14" t="s">
        <v>547</v>
      </c>
      <c r="B485" s="26">
        <v>46155</v>
      </c>
      <c r="C485" s="14" t="s">
        <v>71</v>
      </c>
      <c r="D485" s="27" t="str">
        <f>IFERROR(VLOOKUP(C485,'Chart of Accounts'!$A$4:$F$30,2,FALSE),"")</f>
        <v>Trade Payables</v>
      </c>
      <c r="E485" s="27" t="str">
        <f>IFERROR(VLOOKUP(C485,'Chart of Accounts'!$A$4:$F$30,4,FALSE),"")</f>
        <v>Trade Payables</v>
      </c>
      <c r="F485" s="27" t="str">
        <f>IFERROR(VLOOKUP(C485,'Chart of Accounts'!$A$4:$F$30,5,FALSE),"")</f>
        <v>BS</v>
      </c>
      <c r="G485" s="15">
        <v>0</v>
      </c>
      <c r="H485" s="15">
        <v>68743.181997443826</v>
      </c>
      <c r="I485" s="10">
        <f t="shared" si="21"/>
        <v>-68743.181997443826</v>
      </c>
      <c r="J485" s="14" t="s">
        <v>548</v>
      </c>
      <c r="K485" s="14" t="s">
        <v>549</v>
      </c>
      <c r="L485" s="14" t="s">
        <v>190</v>
      </c>
      <c r="M485" s="8" t="str">
        <f t="shared" si="22"/>
        <v>2026-05</v>
      </c>
      <c r="N485" s="8" t="str">
        <f t="shared" si="23"/>
        <v>OK</v>
      </c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>
      <c r="A486" s="14" t="s">
        <v>550</v>
      </c>
      <c r="B486" s="26">
        <v>46164</v>
      </c>
      <c r="C486" s="14" t="s">
        <v>63</v>
      </c>
      <c r="D486" s="27" t="str">
        <f>IFERROR(VLOOKUP(C486,'Chart of Accounts'!$A$4:$F$30,2,FALSE),"")</f>
        <v>Inventory</v>
      </c>
      <c r="E486" s="27" t="str">
        <f>IFERROR(VLOOKUP(C486,'Chart of Accounts'!$A$4:$F$30,4,FALSE),"")</f>
        <v>Inventory</v>
      </c>
      <c r="F486" s="27" t="str">
        <f>IFERROR(VLOOKUP(C486,'Chart of Accounts'!$A$4:$F$30,5,FALSE),"")</f>
        <v>BS</v>
      </c>
      <c r="G486" s="15">
        <v>82477.010228351704</v>
      </c>
      <c r="H486" s="15">
        <v>0</v>
      </c>
      <c r="I486" s="10">
        <f t="shared" si="21"/>
        <v>82477.010228351704</v>
      </c>
      <c r="J486" s="14" t="s">
        <v>551</v>
      </c>
      <c r="K486" s="14" t="s">
        <v>296</v>
      </c>
      <c r="L486" s="14" t="s">
        <v>190</v>
      </c>
      <c r="M486" s="8" t="str">
        <f t="shared" si="22"/>
        <v>2026-05</v>
      </c>
      <c r="N486" s="8" t="str">
        <f t="shared" si="23"/>
        <v>OK</v>
      </c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>
      <c r="A487" s="14" t="s">
        <v>550</v>
      </c>
      <c r="B487" s="26">
        <v>46164</v>
      </c>
      <c r="C487" s="14" t="s">
        <v>71</v>
      </c>
      <c r="D487" s="27" t="str">
        <f>IFERROR(VLOOKUP(C487,'Chart of Accounts'!$A$4:$F$30,2,FALSE),"")</f>
        <v>Trade Payables</v>
      </c>
      <c r="E487" s="27" t="str">
        <f>IFERROR(VLOOKUP(C487,'Chart of Accounts'!$A$4:$F$30,4,FALSE),"")</f>
        <v>Trade Payables</v>
      </c>
      <c r="F487" s="27" t="str">
        <f>IFERROR(VLOOKUP(C487,'Chart of Accounts'!$A$4:$F$30,5,FALSE),"")</f>
        <v>BS</v>
      </c>
      <c r="G487" s="15">
        <v>0</v>
      </c>
      <c r="H487" s="15">
        <v>82477.010228351704</v>
      </c>
      <c r="I487" s="10">
        <f t="shared" si="21"/>
        <v>-82477.010228351704</v>
      </c>
      <c r="J487" s="14" t="s">
        <v>551</v>
      </c>
      <c r="K487" s="14" t="s">
        <v>296</v>
      </c>
      <c r="L487" s="14" t="s">
        <v>190</v>
      </c>
      <c r="M487" s="8" t="str">
        <f t="shared" si="22"/>
        <v>2026-05</v>
      </c>
      <c r="N487" s="8" t="str">
        <f t="shared" si="23"/>
        <v>OK</v>
      </c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>
      <c r="A488" s="14" t="s">
        <v>552</v>
      </c>
      <c r="B488" s="26">
        <v>46157</v>
      </c>
      <c r="C488" s="14" t="s">
        <v>63</v>
      </c>
      <c r="D488" s="27" t="str">
        <f>IFERROR(VLOOKUP(C488,'Chart of Accounts'!$A$4:$F$30,2,FALSE),"")</f>
        <v>Inventory</v>
      </c>
      <c r="E488" s="27" t="str">
        <f>IFERROR(VLOOKUP(C488,'Chart of Accounts'!$A$4:$F$30,4,FALSE),"")</f>
        <v>Inventory</v>
      </c>
      <c r="F488" s="27" t="str">
        <f>IFERROR(VLOOKUP(C488,'Chart of Accounts'!$A$4:$F$30,5,FALSE),"")</f>
        <v>BS</v>
      </c>
      <c r="G488" s="15">
        <v>74877.274492564189</v>
      </c>
      <c r="H488" s="15">
        <v>0</v>
      </c>
      <c r="I488" s="10">
        <f t="shared" si="21"/>
        <v>74877.274492564189</v>
      </c>
      <c r="J488" s="14" t="s">
        <v>553</v>
      </c>
      <c r="K488" s="14" t="s">
        <v>549</v>
      </c>
      <c r="L488" s="14" t="s">
        <v>190</v>
      </c>
      <c r="M488" s="8" t="str">
        <f t="shared" si="22"/>
        <v>2026-05</v>
      </c>
      <c r="N488" s="8" t="str">
        <f t="shared" si="23"/>
        <v>OK</v>
      </c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>
      <c r="A489" s="14" t="s">
        <v>552</v>
      </c>
      <c r="B489" s="26">
        <v>46157</v>
      </c>
      <c r="C489" s="14" t="s">
        <v>71</v>
      </c>
      <c r="D489" s="27" t="str">
        <f>IFERROR(VLOOKUP(C489,'Chart of Accounts'!$A$4:$F$30,2,FALSE),"")</f>
        <v>Trade Payables</v>
      </c>
      <c r="E489" s="27" t="str">
        <f>IFERROR(VLOOKUP(C489,'Chart of Accounts'!$A$4:$F$30,4,FALSE),"")</f>
        <v>Trade Payables</v>
      </c>
      <c r="F489" s="27" t="str">
        <f>IFERROR(VLOOKUP(C489,'Chart of Accounts'!$A$4:$F$30,5,FALSE),"")</f>
        <v>BS</v>
      </c>
      <c r="G489" s="15">
        <v>0</v>
      </c>
      <c r="H489" s="15">
        <v>74877.274492564189</v>
      </c>
      <c r="I489" s="10">
        <f t="shared" si="21"/>
        <v>-74877.274492564189</v>
      </c>
      <c r="J489" s="14" t="s">
        <v>553</v>
      </c>
      <c r="K489" s="14" t="s">
        <v>549</v>
      </c>
      <c r="L489" s="14" t="s">
        <v>190</v>
      </c>
      <c r="M489" s="8" t="str">
        <f t="shared" si="22"/>
        <v>2026-05</v>
      </c>
      <c r="N489" s="8" t="str">
        <f t="shared" si="23"/>
        <v>OK</v>
      </c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>
      <c r="A490" s="14" t="s">
        <v>554</v>
      </c>
      <c r="B490" s="26">
        <v>46149</v>
      </c>
      <c r="C490" s="14" t="s">
        <v>63</v>
      </c>
      <c r="D490" s="27" t="str">
        <f>IFERROR(VLOOKUP(C490,'Chart of Accounts'!$A$4:$F$30,2,FALSE),"")</f>
        <v>Inventory</v>
      </c>
      <c r="E490" s="27" t="str">
        <f>IFERROR(VLOOKUP(C490,'Chart of Accounts'!$A$4:$F$30,4,FALSE),"")</f>
        <v>Inventory</v>
      </c>
      <c r="F490" s="27" t="str">
        <f>IFERROR(VLOOKUP(C490,'Chart of Accounts'!$A$4:$F$30,5,FALSE),"")</f>
        <v>BS</v>
      </c>
      <c r="G490" s="15">
        <v>103841.70926162603</v>
      </c>
      <c r="H490" s="15">
        <v>0</v>
      </c>
      <c r="I490" s="10">
        <f t="shared" si="21"/>
        <v>103841.70926162603</v>
      </c>
      <c r="J490" s="14" t="s">
        <v>555</v>
      </c>
      <c r="K490" s="14" t="s">
        <v>556</v>
      </c>
      <c r="L490" s="14" t="s">
        <v>190</v>
      </c>
      <c r="M490" s="8" t="str">
        <f t="shared" si="22"/>
        <v>2026-05</v>
      </c>
      <c r="N490" s="8" t="str">
        <f t="shared" si="23"/>
        <v>OK</v>
      </c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>
      <c r="A491" s="14" t="s">
        <v>554</v>
      </c>
      <c r="B491" s="26">
        <v>46149</v>
      </c>
      <c r="C491" s="14" t="s">
        <v>71</v>
      </c>
      <c r="D491" s="27" t="str">
        <f>IFERROR(VLOOKUP(C491,'Chart of Accounts'!$A$4:$F$30,2,FALSE),"")</f>
        <v>Trade Payables</v>
      </c>
      <c r="E491" s="27" t="str">
        <f>IFERROR(VLOOKUP(C491,'Chart of Accounts'!$A$4:$F$30,4,FALSE),"")</f>
        <v>Trade Payables</v>
      </c>
      <c r="F491" s="27" t="str">
        <f>IFERROR(VLOOKUP(C491,'Chart of Accounts'!$A$4:$F$30,5,FALSE),"")</f>
        <v>BS</v>
      </c>
      <c r="G491" s="15">
        <v>0</v>
      </c>
      <c r="H491" s="15">
        <v>103841.70926162603</v>
      </c>
      <c r="I491" s="10">
        <f t="shared" si="21"/>
        <v>-103841.70926162603</v>
      </c>
      <c r="J491" s="14" t="s">
        <v>555</v>
      </c>
      <c r="K491" s="14" t="s">
        <v>556</v>
      </c>
      <c r="L491" s="14" t="s">
        <v>190</v>
      </c>
      <c r="M491" s="8" t="str">
        <f t="shared" si="22"/>
        <v>2026-05</v>
      </c>
      <c r="N491" s="8" t="str">
        <f t="shared" si="23"/>
        <v>OK</v>
      </c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>
      <c r="A492" s="14" t="s">
        <v>557</v>
      </c>
      <c r="B492" s="26">
        <v>46156</v>
      </c>
      <c r="C492" s="14" t="s">
        <v>63</v>
      </c>
      <c r="D492" s="27" t="str">
        <f>IFERROR(VLOOKUP(C492,'Chart of Accounts'!$A$4:$F$30,2,FALSE),"")</f>
        <v>Inventory</v>
      </c>
      <c r="E492" s="27" t="str">
        <f>IFERROR(VLOOKUP(C492,'Chart of Accounts'!$A$4:$F$30,4,FALSE),"")</f>
        <v>Inventory</v>
      </c>
      <c r="F492" s="27" t="str">
        <f>IFERROR(VLOOKUP(C492,'Chart of Accounts'!$A$4:$F$30,5,FALSE),"")</f>
        <v>BS</v>
      </c>
      <c r="G492" s="15">
        <v>83131.422092707653</v>
      </c>
      <c r="H492" s="15">
        <v>0</v>
      </c>
      <c r="I492" s="10">
        <f t="shared" si="21"/>
        <v>83131.422092707653</v>
      </c>
      <c r="J492" s="14" t="s">
        <v>558</v>
      </c>
      <c r="K492" s="14" t="s">
        <v>383</v>
      </c>
      <c r="L492" s="14" t="s">
        <v>190</v>
      </c>
      <c r="M492" s="8" t="str">
        <f t="shared" si="22"/>
        <v>2026-05</v>
      </c>
      <c r="N492" s="8" t="str">
        <f t="shared" si="23"/>
        <v>OK</v>
      </c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>
      <c r="A493" s="14" t="s">
        <v>557</v>
      </c>
      <c r="B493" s="26">
        <v>46156</v>
      </c>
      <c r="C493" s="14" t="s">
        <v>71</v>
      </c>
      <c r="D493" s="27" t="str">
        <f>IFERROR(VLOOKUP(C493,'Chart of Accounts'!$A$4:$F$30,2,FALSE),"")</f>
        <v>Trade Payables</v>
      </c>
      <c r="E493" s="27" t="str">
        <f>IFERROR(VLOOKUP(C493,'Chart of Accounts'!$A$4:$F$30,4,FALSE),"")</f>
        <v>Trade Payables</v>
      </c>
      <c r="F493" s="27" t="str">
        <f>IFERROR(VLOOKUP(C493,'Chart of Accounts'!$A$4:$F$30,5,FALSE),"")</f>
        <v>BS</v>
      </c>
      <c r="G493" s="15">
        <v>0</v>
      </c>
      <c r="H493" s="15">
        <v>83131.422092707653</v>
      </c>
      <c r="I493" s="10">
        <f t="shared" si="21"/>
        <v>-83131.422092707653</v>
      </c>
      <c r="J493" s="14" t="s">
        <v>558</v>
      </c>
      <c r="K493" s="14" t="s">
        <v>383</v>
      </c>
      <c r="L493" s="14" t="s">
        <v>190</v>
      </c>
      <c r="M493" s="8" t="str">
        <f t="shared" si="22"/>
        <v>2026-05</v>
      </c>
      <c r="N493" s="8" t="str">
        <f t="shared" si="23"/>
        <v>OK</v>
      </c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>
      <c r="A494" s="14" t="s">
        <v>559</v>
      </c>
      <c r="B494" s="26">
        <v>46163</v>
      </c>
      <c r="C494" s="14" t="s">
        <v>63</v>
      </c>
      <c r="D494" s="27" t="str">
        <f>IFERROR(VLOOKUP(C494,'Chart of Accounts'!$A$4:$F$30,2,FALSE),"")</f>
        <v>Inventory</v>
      </c>
      <c r="E494" s="27" t="str">
        <f>IFERROR(VLOOKUP(C494,'Chart of Accounts'!$A$4:$F$30,4,FALSE),"")</f>
        <v>Inventory</v>
      </c>
      <c r="F494" s="27" t="str">
        <f>IFERROR(VLOOKUP(C494,'Chart of Accounts'!$A$4:$F$30,5,FALSE),"")</f>
        <v>BS</v>
      </c>
      <c r="G494" s="15">
        <v>96569.401927306622</v>
      </c>
      <c r="H494" s="15">
        <v>0</v>
      </c>
      <c r="I494" s="10">
        <f t="shared" si="21"/>
        <v>96569.401927306622</v>
      </c>
      <c r="J494" s="14" t="s">
        <v>560</v>
      </c>
      <c r="K494" s="14" t="s">
        <v>549</v>
      </c>
      <c r="L494" s="14" t="s">
        <v>190</v>
      </c>
      <c r="M494" s="8" t="str">
        <f t="shared" si="22"/>
        <v>2026-05</v>
      </c>
      <c r="N494" s="8" t="str">
        <f t="shared" si="23"/>
        <v>OK</v>
      </c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>
      <c r="A495" s="14" t="s">
        <v>559</v>
      </c>
      <c r="B495" s="26">
        <v>46163</v>
      </c>
      <c r="C495" s="14" t="s">
        <v>71</v>
      </c>
      <c r="D495" s="27" t="str">
        <f>IFERROR(VLOOKUP(C495,'Chart of Accounts'!$A$4:$F$30,2,FALSE),"")</f>
        <v>Trade Payables</v>
      </c>
      <c r="E495" s="27" t="str">
        <f>IFERROR(VLOOKUP(C495,'Chart of Accounts'!$A$4:$F$30,4,FALSE),"")</f>
        <v>Trade Payables</v>
      </c>
      <c r="F495" s="27" t="str">
        <f>IFERROR(VLOOKUP(C495,'Chart of Accounts'!$A$4:$F$30,5,FALSE),"")</f>
        <v>BS</v>
      </c>
      <c r="G495" s="15">
        <v>0</v>
      </c>
      <c r="H495" s="15">
        <v>96569.401927306622</v>
      </c>
      <c r="I495" s="10">
        <f t="shared" si="21"/>
        <v>-96569.401927306622</v>
      </c>
      <c r="J495" s="14" t="s">
        <v>560</v>
      </c>
      <c r="K495" s="14" t="s">
        <v>549</v>
      </c>
      <c r="L495" s="14" t="s">
        <v>190</v>
      </c>
      <c r="M495" s="8" t="str">
        <f t="shared" si="22"/>
        <v>2026-05</v>
      </c>
      <c r="N495" s="8" t="str">
        <f t="shared" si="23"/>
        <v>OK</v>
      </c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>
      <c r="A496" s="14" t="s">
        <v>561</v>
      </c>
      <c r="B496" s="26">
        <v>46165</v>
      </c>
      <c r="C496" s="14" t="s">
        <v>71</v>
      </c>
      <c r="D496" s="27" t="str">
        <f>IFERROR(VLOOKUP(C496,'Chart of Accounts'!$A$4:$F$30,2,FALSE),"")</f>
        <v>Trade Payables</v>
      </c>
      <c r="E496" s="27" t="str">
        <f>IFERROR(VLOOKUP(C496,'Chart of Accounts'!$A$4:$F$30,4,FALSE),"")</f>
        <v>Trade Payables</v>
      </c>
      <c r="F496" s="27" t="str">
        <f>IFERROR(VLOOKUP(C496,'Chart of Accounts'!$A$4:$F$30,5,FALSE),"")</f>
        <v>BS</v>
      </c>
      <c r="G496" s="15">
        <v>118689.89677895007</v>
      </c>
      <c r="H496" s="15">
        <v>0</v>
      </c>
      <c r="I496" s="10">
        <f t="shared" si="21"/>
        <v>118689.89677895007</v>
      </c>
      <c r="J496" s="14" t="s">
        <v>562</v>
      </c>
      <c r="K496" s="14" t="s">
        <v>207</v>
      </c>
      <c r="L496" s="14" t="s">
        <v>208</v>
      </c>
      <c r="M496" s="8" t="str">
        <f t="shared" si="22"/>
        <v>2026-05</v>
      </c>
      <c r="N496" s="8" t="str">
        <f t="shared" si="23"/>
        <v>OK</v>
      </c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>
      <c r="A497" s="14" t="s">
        <v>561</v>
      </c>
      <c r="B497" s="26">
        <v>46165</v>
      </c>
      <c r="C497" s="14" t="s">
        <v>52</v>
      </c>
      <c r="D497" s="27" t="str">
        <f>IFERROR(VLOOKUP(C497,'Chart of Accounts'!$A$4:$F$30,2,FALSE),"")</f>
        <v>Bank</v>
      </c>
      <c r="E497" s="27" t="str">
        <f>IFERROR(VLOOKUP(C497,'Chart of Accounts'!$A$4:$F$30,4,FALSE),"")</f>
        <v>Cash</v>
      </c>
      <c r="F497" s="27" t="str">
        <f>IFERROR(VLOOKUP(C497,'Chart of Accounts'!$A$4:$F$30,5,FALSE),"")</f>
        <v>BS</v>
      </c>
      <c r="G497" s="15">
        <v>0</v>
      </c>
      <c r="H497" s="15">
        <v>118689.89677895007</v>
      </c>
      <c r="I497" s="10">
        <f t="shared" si="21"/>
        <v>-118689.89677895007</v>
      </c>
      <c r="J497" s="14" t="s">
        <v>562</v>
      </c>
      <c r="K497" s="14" t="s">
        <v>207</v>
      </c>
      <c r="L497" s="14" t="s">
        <v>208</v>
      </c>
      <c r="M497" s="8" t="str">
        <f t="shared" si="22"/>
        <v>2026-05</v>
      </c>
      <c r="N497" s="8" t="str">
        <f t="shared" si="23"/>
        <v>OK</v>
      </c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>
      <c r="A498" s="14" t="s">
        <v>563</v>
      </c>
      <c r="B498" s="26">
        <v>46167</v>
      </c>
      <c r="C498" s="14" t="s">
        <v>71</v>
      </c>
      <c r="D498" s="27" t="str">
        <f>IFERROR(VLOOKUP(C498,'Chart of Accounts'!$A$4:$F$30,2,FALSE),"")</f>
        <v>Trade Payables</v>
      </c>
      <c r="E498" s="27" t="str">
        <f>IFERROR(VLOOKUP(C498,'Chart of Accounts'!$A$4:$F$30,4,FALSE),"")</f>
        <v>Trade Payables</v>
      </c>
      <c r="F498" s="27" t="str">
        <f>IFERROR(VLOOKUP(C498,'Chart of Accounts'!$A$4:$F$30,5,FALSE),"")</f>
        <v>BS</v>
      </c>
      <c r="G498" s="15">
        <v>119060.23425173271</v>
      </c>
      <c r="H498" s="15">
        <v>0</v>
      </c>
      <c r="I498" s="10">
        <f t="shared" si="21"/>
        <v>119060.23425173271</v>
      </c>
      <c r="J498" s="14" t="s">
        <v>564</v>
      </c>
      <c r="K498" s="14" t="s">
        <v>207</v>
      </c>
      <c r="L498" s="14" t="s">
        <v>208</v>
      </c>
      <c r="M498" s="8" t="str">
        <f t="shared" si="22"/>
        <v>2026-05</v>
      </c>
      <c r="N498" s="8" t="str">
        <f t="shared" si="23"/>
        <v>OK</v>
      </c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1:52">
      <c r="A499" s="14" t="s">
        <v>563</v>
      </c>
      <c r="B499" s="26">
        <v>46167</v>
      </c>
      <c r="C499" s="14" t="s">
        <v>52</v>
      </c>
      <c r="D499" s="27" t="str">
        <f>IFERROR(VLOOKUP(C499,'Chart of Accounts'!$A$4:$F$30,2,FALSE),"")</f>
        <v>Bank</v>
      </c>
      <c r="E499" s="27" t="str">
        <f>IFERROR(VLOOKUP(C499,'Chart of Accounts'!$A$4:$F$30,4,FALSE),"")</f>
        <v>Cash</v>
      </c>
      <c r="F499" s="27" t="str">
        <f>IFERROR(VLOOKUP(C499,'Chart of Accounts'!$A$4:$F$30,5,FALSE),"")</f>
        <v>BS</v>
      </c>
      <c r="G499" s="15">
        <v>0</v>
      </c>
      <c r="H499" s="15">
        <v>119060.23425173271</v>
      </c>
      <c r="I499" s="10">
        <f t="shared" si="21"/>
        <v>-119060.23425173271</v>
      </c>
      <c r="J499" s="14" t="s">
        <v>564</v>
      </c>
      <c r="K499" s="14" t="s">
        <v>207</v>
      </c>
      <c r="L499" s="14" t="s">
        <v>208</v>
      </c>
      <c r="M499" s="8" t="str">
        <f t="shared" si="22"/>
        <v>2026-05</v>
      </c>
      <c r="N499" s="8" t="str">
        <f t="shared" si="23"/>
        <v>OK</v>
      </c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1:52">
      <c r="A500" s="14" t="s">
        <v>565</v>
      </c>
      <c r="B500" s="26">
        <v>46157</v>
      </c>
      <c r="C500" s="14" t="s">
        <v>71</v>
      </c>
      <c r="D500" s="27" t="str">
        <f>IFERROR(VLOOKUP(C500,'Chart of Accounts'!$A$4:$F$30,2,FALSE),"")</f>
        <v>Trade Payables</v>
      </c>
      <c r="E500" s="27" t="str">
        <f>IFERROR(VLOOKUP(C500,'Chart of Accounts'!$A$4:$F$30,4,FALSE),"")</f>
        <v>Trade Payables</v>
      </c>
      <c r="F500" s="27" t="str">
        <f>IFERROR(VLOOKUP(C500,'Chart of Accounts'!$A$4:$F$30,5,FALSE),"")</f>
        <v>BS</v>
      </c>
      <c r="G500" s="15">
        <v>93230.550467459252</v>
      </c>
      <c r="H500" s="15">
        <v>0</v>
      </c>
      <c r="I500" s="10">
        <f t="shared" si="21"/>
        <v>93230.550467459252</v>
      </c>
      <c r="J500" s="14" t="s">
        <v>566</v>
      </c>
      <c r="K500" s="14" t="s">
        <v>207</v>
      </c>
      <c r="L500" s="14" t="s">
        <v>208</v>
      </c>
      <c r="M500" s="8" t="str">
        <f t="shared" si="22"/>
        <v>2026-05</v>
      </c>
      <c r="N500" s="8" t="str">
        <f t="shared" si="23"/>
        <v>OK</v>
      </c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 spans="1:52">
      <c r="A501" s="14" t="s">
        <v>565</v>
      </c>
      <c r="B501" s="26">
        <v>46157</v>
      </c>
      <c r="C501" s="14" t="s">
        <v>52</v>
      </c>
      <c r="D501" s="27" t="str">
        <f>IFERROR(VLOOKUP(C501,'Chart of Accounts'!$A$4:$F$30,2,FALSE),"")</f>
        <v>Bank</v>
      </c>
      <c r="E501" s="27" t="str">
        <f>IFERROR(VLOOKUP(C501,'Chart of Accounts'!$A$4:$F$30,4,FALSE),"")</f>
        <v>Cash</v>
      </c>
      <c r="F501" s="27" t="str">
        <f>IFERROR(VLOOKUP(C501,'Chart of Accounts'!$A$4:$F$30,5,FALSE),"")</f>
        <v>BS</v>
      </c>
      <c r="G501" s="15">
        <v>0</v>
      </c>
      <c r="H501" s="15">
        <v>93230.550467459252</v>
      </c>
      <c r="I501" s="10">
        <f t="shared" si="21"/>
        <v>-93230.550467459252</v>
      </c>
      <c r="J501" s="14" t="s">
        <v>566</v>
      </c>
      <c r="K501" s="14" t="s">
        <v>207</v>
      </c>
      <c r="L501" s="14" t="s">
        <v>208</v>
      </c>
      <c r="M501" s="8" t="str">
        <f t="shared" si="22"/>
        <v>2026-05</v>
      </c>
      <c r="N501" s="8" t="str">
        <f t="shared" si="23"/>
        <v>OK</v>
      </c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 spans="1:52">
      <c r="A502" s="14" t="s">
        <v>567</v>
      </c>
      <c r="B502" s="26">
        <v>46163</v>
      </c>
      <c r="C502" s="14" t="s">
        <v>71</v>
      </c>
      <c r="D502" s="27" t="str">
        <f>IFERROR(VLOOKUP(C502,'Chart of Accounts'!$A$4:$F$30,2,FALSE),"")</f>
        <v>Trade Payables</v>
      </c>
      <c r="E502" s="27" t="str">
        <f>IFERROR(VLOOKUP(C502,'Chart of Accounts'!$A$4:$F$30,4,FALSE),"")</f>
        <v>Trade Payables</v>
      </c>
      <c r="F502" s="27" t="str">
        <f>IFERROR(VLOOKUP(C502,'Chart of Accounts'!$A$4:$F$30,5,FALSE),"")</f>
        <v>BS</v>
      </c>
      <c r="G502" s="15">
        <v>92985.604965104198</v>
      </c>
      <c r="H502" s="15">
        <v>0</v>
      </c>
      <c r="I502" s="10">
        <f t="shared" si="21"/>
        <v>92985.604965104198</v>
      </c>
      <c r="J502" s="14" t="s">
        <v>568</v>
      </c>
      <c r="K502" s="14" t="s">
        <v>207</v>
      </c>
      <c r="L502" s="14" t="s">
        <v>208</v>
      </c>
      <c r="M502" s="8" t="str">
        <f t="shared" si="22"/>
        <v>2026-05</v>
      </c>
      <c r="N502" s="8" t="str">
        <f t="shared" si="23"/>
        <v>OK</v>
      </c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 spans="1:52">
      <c r="A503" s="14" t="s">
        <v>567</v>
      </c>
      <c r="B503" s="26">
        <v>46163</v>
      </c>
      <c r="C503" s="14" t="s">
        <v>52</v>
      </c>
      <c r="D503" s="27" t="str">
        <f>IFERROR(VLOOKUP(C503,'Chart of Accounts'!$A$4:$F$30,2,FALSE),"")</f>
        <v>Bank</v>
      </c>
      <c r="E503" s="27" t="str">
        <f>IFERROR(VLOOKUP(C503,'Chart of Accounts'!$A$4:$F$30,4,FALSE),"")</f>
        <v>Cash</v>
      </c>
      <c r="F503" s="27" t="str">
        <f>IFERROR(VLOOKUP(C503,'Chart of Accounts'!$A$4:$F$30,5,FALSE),"")</f>
        <v>BS</v>
      </c>
      <c r="G503" s="15">
        <v>0</v>
      </c>
      <c r="H503" s="15">
        <v>92985.604965104198</v>
      </c>
      <c r="I503" s="10">
        <f t="shared" si="21"/>
        <v>-92985.604965104198</v>
      </c>
      <c r="J503" s="14" t="s">
        <v>568</v>
      </c>
      <c r="K503" s="14" t="s">
        <v>207</v>
      </c>
      <c r="L503" s="14" t="s">
        <v>208</v>
      </c>
      <c r="M503" s="8" t="str">
        <f t="shared" si="22"/>
        <v>2026-05</v>
      </c>
      <c r="N503" s="8" t="str">
        <f t="shared" si="23"/>
        <v>OK</v>
      </c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 spans="1:52">
      <c r="A504" s="14" t="s">
        <v>569</v>
      </c>
      <c r="B504" s="26">
        <v>46151</v>
      </c>
      <c r="C504" s="14" t="s">
        <v>71</v>
      </c>
      <c r="D504" s="27" t="str">
        <f>IFERROR(VLOOKUP(C504,'Chart of Accounts'!$A$4:$F$30,2,FALSE),"")</f>
        <v>Trade Payables</v>
      </c>
      <c r="E504" s="27" t="str">
        <f>IFERROR(VLOOKUP(C504,'Chart of Accounts'!$A$4:$F$30,4,FALSE),"")</f>
        <v>Trade Payables</v>
      </c>
      <c r="F504" s="27" t="str">
        <f>IFERROR(VLOOKUP(C504,'Chart of Accounts'!$A$4:$F$30,5,FALSE),"")</f>
        <v>BS</v>
      </c>
      <c r="G504" s="15">
        <v>70384.513536753831</v>
      </c>
      <c r="H504" s="15">
        <v>0</v>
      </c>
      <c r="I504" s="10">
        <f t="shared" si="21"/>
        <v>70384.513536753831</v>
      </c>
      <c r="J504" s="14" t="s">
        <v>570</v>
      </c>
      <c r="K504" s="14" t="s">
        <v>207</v>
      </c>
      <c r="L504" s="14" t="s">
        <v>208</v>
      </c>
      <c r="M504" s="8" t="str">
        <f t="shared" si="22"/>
        <v>2026-05</v>
      </c>
      <c r="N504" s="8" t="str">
        <f t="shared" si="23"/>
        <v>OK</v>
      </c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 spans="1:52">
      <c r="A505" s="14" t="s">
        <v>569</v>
      </c>
      <c r="B505" s="26">
        <v>46151</v>
      </c>
      <c r="C505" s="14" t="s">
        <v>52</v>
      </c>
      <c r="D505" s="27" t="str">
        <f>IFERROR(VLOOKUP(C505,'Chart of Accounts'!$A$4:$F$30,2,FALSE),"")</f>
        <v>Bank</v>
      </c>
      <c r="E505" s="27" t="str">
        <f>IFERROR(VLOOKUP(C505,'Chart of Accounts'!$A$4:$F$30,4,FALSE),"")</f>
        <v>Cash</v>
      </c>
      <c r="F505" s="27" t="str">
        <f>IFERROR(VLOOKUP(C505,'Chart of Accounts'!$A$4:$F$30,5,FALSE),"")</f>
        <v>BS</v>
      </c>
      <c r="G505" s="15">
        <v>0</v>
      </c>
      <c r="H505" s="15">
        <v>70384.513536753831</v>
      </c>
      <c r="I505" s="10">
        <f t="shared" si="21"/>
        <v>-70384.513536753831</v>
      </c>
      <c r="J505" s="14" t="s">
        <v>570</v>
      </c>
      <c r="K505" s="14" t="s">
        <v>207</v>
      </c>
      <c r="L505" s="14" t="s">
        <v>208</v>
      </c>
      <c r="M505" s="8" t="str">
        <f t="shared" si="22"/>
        <v>2026-05</v>
      </c>
      <c r="N505" s="8" t="str">
        <f t="shared" si="23"/>
        <v>OK</v>
      </c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 spans="1:52">
      <c r="A506" s="14" t="s">
        <v>571</v>
      </c>
      <c r="B506" s="26">
        <v>46167</v>
      </c>
      <c r="C506" s="14" t="s">
        <v>94</v>
      </c>
      <c r="D506" s="27" t="str">
        <f>IFERROR(VLOOKUP(C506,'Chart of Accounts'!$A$4:$F$30,2,FALSE),"")</f>
        <v>Salaries &amp; Wages</v>
      </c>
      <c r="E506" s="27" t="str">
        <f>IFERROR(VLOOKUP(C506,'Chart of Accounts'!$A$4:$F$30,4,FALSE),"")</f>
        <v>Salaries</v>
      </c>
      <c r="F506" s="27" t="str">
        <f>IFERROR(VLOOKUP(C506,'Chart of Accounts'!$A$4:$F$30,5,FALSE),"")</f>
        <v>PL</v>
      </c>
      <c r="G506" s="15">
        <v>185478.45745399527</v>
      </c>
      <c r="H506" s="15">
        <v>0</v>
      </c>
      <c r="I506" s="10">
        <f t="shared" si="21"/>
        <v>185478.45745399527</v>
      </c>
      <c r="J506" s="14" t="s">
        <v>572</v>
      </c>
      <c r="K506" s="14" t="s">
        <v>219</v>
      </c>
      <c r="L506" s="14" t="s">
        <v>220</v>
      </c>
      <c r="M506" s="8" t="str">
        <f t="shared" si="22"/>
        <v>2026-05</v>
      </c>
      <c r="N506" s="8" t="str">
        <f t="shared" si="23"/>
        <v>OK</v>
      </c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 spans="1:52">
      <c r="A507" s="14" t="s">
        <v>571</v>
      </c>
      <c r="B507" s="26">
        <v>46167</v>
      </c>
      <c r="C507" s="14" t="s">
        <v>97</v>
      </c>
      <c r="D507" s="27" t="str">
        <f>IFERROR(VLOOKUP(C507,'Chart of Accounts'!$A$4:$F$30,2,FALSE),"")</f>
        <v>Employer NI &amp; Pension</v>
      </c>
      <c r="E507" s="27" t="str">
        <f>IFERROR(VLOOKUP(C507,'Chart of Accounts'!$A$4:$F$30,4,FALSE),"")</f>
        <v>Employer Costs</v>
      </c>
      <c r="F507" s="27" t="str">
        <f>IFERROR(VLOOKUP(C507,'Chart of Accounts'!$A$4:$F$30,5,FALSE),"")</f>
        <v>PL</v>
      </c>
      <c r="G507" s="15">
        <v>25039.591756289363</v>
      </c>
      <c r="H507" s="15">
        <v>0</v>
      </c>
      <c r="I507" s="10">
        <f t="shared" si="21"/>
        <v>25039.591756289363</v>
      </c>
      <c r="J507" s="14" t="s">
        <v>572</v>
      </c>
      <c r="K507" s="14" t="s">
        <v>219</v>
      </c>
      <c r="L507" s="14" t="s">
        <v>220</v>
      </c>
      <c r="M507" s="8" t="str">
        <f t="shared" si="22"/>
        <v>2026-05</v>
      </c>
      <c r="N507" s="8" t="str">
        <f t="shared" si="23"/>
        <v>OK</v>
      </c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 spans="1:52">
      <c r="A508" s="14" t="s">
        <v>571</v>
      </c>
      <c r="B508" s="26">
        <v>46167</v>
      </c>
      <c r="C508" s="14" t="s">
        <v>52</v>
      </c>
      <c r="D508" s="27" t="str">
        <f>IFERROR(VLOOKUP(C508,'Chart of Accounts'!$A$4:$F$30,2,FALSE),"")</f>
        <v>Bank</v>
      </c>
      <c r="E508" s="27" t="str">
        <f>IFERROR(VLOOKUP(C508,'Chart of Accounts'!$A$4:$F$30,4,FALSE),"")</f>
        <v>Cash</v>
      </c>
      <c r="F508" s="27" t="str">
        <f>IFERROR(VLOOKUP(C508,'Chart of Accounts'!$A$4:$F$30,5,FALSE),"")</f>
        <v>BS</v>
      </c>
      <c r="G508" s="15">
        <v>0</v>
      </c>
      <c r="H508" s="15">
        <v>196607.164901235</v>
      </c>
      <c r="I508" s="10">
        <f t="shared" si="21"/>
        <v>-196607.164901235</v>
      </c>
      <c r="J508" s="14" t="s">
        <v>572</v>
      </c>
      <c r="K508" s="14" t="s">
        <v>219</v>
      </c>
      <c r="L508" s="14" t="s">
        <v>220</v>
      </c>
      <c r="M508" s="8" t="str">
        <f t="shared" si="22"/>
        <v>2026-05</v>
      </c>
      <c r="N508" s="8" t="str">
        <f t="shared" si="23"/>
        <v>OK</v>
      </c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 spans="1:52">
      <c r="A509" s="14" t="s">
        <v>571</v>
      </c>
      <c r="B509" s="26">
        <v>46167</v>
      </c>
      <c r="C509" s="14" t="s">
        <v>76</v>
      </c>
      <c r="D509" s="27" t="str">
        <f>IFERROR(VLOOKUP(C509,'Chart of Accounts'!$A$4:$F$30,2,FALSE),"")</f>
        <v>Payroll Liabilities</v>
      </c>
      <c r="E509" s="27" t="str">
        <f>IFERROR(VLOOKUP(C509,'Chart of Accounts'!$A$4:$F$30,4,FALSE),"")</f>
        <v>Payroll Liabilities</v>
      </c>
      <c r="F509" s="27" t="str">
        <f>IFERROR(VLOOKUP(C509,'Chart of Accounts'!$A$4:$F$30,5,FALSE),"")</f>
        <v>BS</v>
      </c>
      <c r="G509" s="15">
        <v>0</v>
      </c>
      <c r="H509" s="15">
        <v>13910.884309049645</v>
      </c>
      <c r="I509" s="10">
        <f t="shared" si="21"/>
        <v>-13910.884309049645</v>
      </c>
      <c r="J509" s="14" t="s">
        <v>572</v>
      </c>
      <c r="K509" s="14" t="s">
        <v>219</v>
      </c>
      <c r="L509" s="14" t="s">
        <v>220</v>
      </c>
      <c r="M509" s="8" t="str">
        <f t="shared" si="22"/>
        <v>2026-05</v>
      </c>
      <c r="N509" s="8" t="str">
        <f t="shared" si="23"/>
        <v>OK</v>
      </c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 spans="1:52">
      <c r="A510" s="14" t="s">
        <v>573</v>
      </c>
      <c r="B510" s="26">
        <v>46170</v>
      </c>
      <c r="C510" s="14" t="s">
        <v>76</v>
      </c>
      <c r="D510" s="27" t="str">
        <f>IFERROR(VLOOKUP(C510,'Chart of Accounts'!$A$4:$F$30,2,FALSE),"")</f>
        <v>Payroll Liabilities</v>
      </c>
      <c r="E510" s="27" t="str">
        <f>IFERROR(VLOOKUP(C510,'Chart of Accounts'!$A$4:$F$30,4,FALSE),"")</f>
        <v>Payroll Liabilities</v>
      </c>
      <c r="F510" s="27" t="str">
        <f>IFERROR(VLOOKUP(C510,'Chart of Accounts'!$A$4:$F$30,5,FALSE),"")</f>
        <v>BS</v>
      </c>
      <c r="G510" s="15">
        <v>13910.884309049645</v>
      </c>
      <c r="H510" s="15">
        <v>0</v>
      </c>
      <c r="I510" s="10">
        <f t="shared" si="21"/>
        <v>13910.884309049645</v>
      </c>
      <c r="J510" s="14" t="s">
        <v>574</v>
      </c>
      <c r="K510" s="14" t="s">
        <v>223</v>
      </c>
      <c r="L510" s="14" t="s">
        <v>220</v>
      </c>
      <c r="M510" s="8" t="str">
        <f t="shared" si="22"/>
        <v>2026-05</v>
      </c>
      <c r="N510" s="8" t="str">
        <f t="shared" si="23"/>
        <v>OK</v>
      </c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 spans="1:52">
      <c r="A511" s="14" t="s">
        <v>573</v>
      </c>
      <c r="B511" s="26">
        <v>46170</v>
      </c>
      <c r="C511" s="14" t="s">
        <v>52</v>
      </c>
      <c r="D511" s="27" t="str">
        <f>IFERROR(VLOOKUP(C511,'Chart of Accounts'!$A$4:$F$30,2,FALSE),"")</f>
        <v>Bank</v>
      </c>
      <c r="E511" s="27" t="str">
        <f>IFERROR(VLOOKUP(C511,'Chart of Accounts'!$A$4:$F$30,4,FALSE),"")</f>
        <v>Cash</v>
      </c>
      <c r="F511" s="27" t="str">
        <f>IFERROR(VLOOKUP(C511,'Chart of Accounts'!$A$4:$F$30,5,FALSE),"")</f>
        <v>BS</v>
      </c>
      <c r="G511" s="15">
        <v>0</v>
      </c>
      <c r="H511" s="15">
        <v>13910.884309049645</v>
      </c>
      <c r="I511" s="10">
        <f t="shared" si="21"/>
        <v>-13910.884309049645</v>
      </c>
      <c r="J511" s="14" t="s">
        <v>574</v>
      </c>
      <c r="K511" s="14" t="s">
        <v>223</v>
      </c>
      <c r="L511" s="14" t="s">
        <v>220</v>
      </c>
      <c r="M511" s="8" t="str">
        <f t="shared" si="22"/>
        <v>2026-05</v>
      </c>
      <c r="N511" s="8" t="str">
        <f t="shared" si="23"/>
        <v>OK</v>
      </c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 spans="1:52">
      <c r="A512" s="14" t="s">
        <v>575</v>
      </c>
      <c r="B512" s="26">
        <v>46160</v>
      </c>
      <c r="C512" s="14" t="s">
        <v>100</v>
      </c>
      <c r="D512" s="27" t="str">
        <f>IFERROR(VLOOKUP(C512,'Chart of Accounts'!$A$4:$F$30,2,FALSE),"")</f>
        <v>Marketing</v>
      </c>
      <c r="E512" s="27" t="str">
        <f>IFERROR(VLOOKUP(C512,'Chart of Accounts'!$A$4:$F$30,4,FALSE),"")</f>
        <v>Marketing</v>
      </c>
      <c r="F512" s="27" t="str">
        <f>IFERROR(VLOOKUP(C512,'Chart of Accounts'!$A$4:$F$30,5,FALSE),"")</f>
        <v>PL</v>
      </c>
      <c r="G512" s="15">
        <v>67283.625748151244</v>
      </c>
      <c r="H512" s="15">
        <v>0</v>
      </c>
      <c r="I512" s="10">
        <f t="shared" si="21"/>
        <v>67283.625748151244</v>
      </c>
      <c r="J512" s="14" t="s">
        <v>576</v>
      </c>
      <c r="K512" s="14" t="s">
        <v>226</v>
      </c>
      <c r="L512" s="14" t="s">
        <v>190</v>
      </c>
      <c r="M512" s="8" t="str">
        <f t="shared" si="22"/>
        <v>2026-05</v>
      </c>
      <c r="N512" s="8" t="str">
        <f t="shared" si="23"/>
        <v>OK</v>
      </c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 spans="1:52">
      <c r="A513" s="14" t="s">
        <v>575</v>
      </c>
      <c r="B513" s="26">
        <v>46160</v>
      </c>
      <c r="C513" s="14" t="s">
        <v>71</v>
      </c>
      <c r="D513" s="27" t="str">
        <f>IFERROR(VLOOKUP(C513,'Chart of Accounts'!$A$4:$F$30,2,FALSE),"")</f>
        <v>Trade Payables</v>
      </c>
      <c r="E513" s="27" t="str">
        <f>IFERROR(VLOOKUP(C513,'Chart of Accounts'!$A$4:$F$30,4,FALSE),"")</f>
        <v>Trade Payables</v>
      </c>
      <c r="F513" s="27" t="str">
        <f>IFERROR(VLOOKUP(C513,'Chart of Accounts'!$A$4:$F$30,5,FALSE),"")</f>
        <v>BS</v>
      </c>
      <c r="G513" s="15">
        <v>0</v>
      </c>
      <c r="H513" s="15">
        <v>67283.625748151244</v>
      </c>
      <c r="I513" s="10">
        <f t="shared" si="21"/>
        <v>-67283.625748151244</v>
      </c>
      <c r="J513" s="14" t="s">
        <v>576</v>
      </c>
      <c r="K513" s="14" t="s">
        <v>226</v>
      </c>
      <c r="L513" s="14" t="s">
        <v>190</v>
      </c>
      <c r="M513" s="8" t="str">
        <f t="shared" si="22"/>
        <v>2026-05</v>
      </c>
      <c r="N513" s="8" t="str">
        <f t="shared" si="23"/>
        <v>OK</v>
      </c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 spans="1:52">
      <c r="A514" s="14" t="s">
        <v>577</v>
      </c>
      <c r="B514" s="26">
        <v>46143</v>
      </c>
      <c r="C514" s="14" t="s">
        <v>102</v>
      </c>
      <c r="D514" s="27" t="str">
        <f>IFERROR(VLOOKUP(C514,'Chart of Accounts'!$A$4:$F$30,2,FALSE),"")</f>
        <v>Rent</v>
      </c>
      <c r="E514" s="27" t="str">
        <f>IFERROR(VLOOKUP(C514,'Chart of Accounts'!$A$4:$F$30,4,FALSE),"")</f>
        <v>Rent</v>
      </c>
      <c r="F514" s="27" t="str">
        <f>IFERROR(VLOOKUP(C514,'Chart of Accounts'!$A$4:$F$30,5,FALSE),"")</f>
        <v>PL</v>
      </c>
      <c r="G514" s="15">
        <v>52000</v>
      </c>
      <c r="H514" s="15">
        <v>0</v>
      </c>
      <c r="I514" s="10">
        <f t="shared" si="21"/>
        <v>52000</v>
      </c>
      <c r="J514" s="14" t="s">
        <v>578</v>
      </c>
      <c r="K514" s="14" t="s">
        <v>229</v>
      </c>
      <c r="L514" s="14" t="s">
        <v>53</v>
      </c>
      <c r="M514" s="8" t="str">
        <f t="shared" si="22"/>
        <v>2026-05</v>
      </c>
      <c r="N514" s="8" t="str">
        <f t="shared" si="23"/>
        <v>OK</v>
      </c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 spans="1:52">
      <c r="A515" s="14" t="s">
        <v>577</v>
      </c>
      <c r="B515" s="26">
        <v>46143</v>
      </c>
      <c r="C515" s="14" t="s">
        <v>52</v>
      </c>
      <c r="D515" s="27" t="str">
        <f>IFERROR(VLOOKUP(C515,'Chart of Accounts'!$A$4:$F$30,2,FALSE),"")</f>
        <v>Bank</v>
      </c>
      <c r="E515" s="27" t="str">
        <f>IFERROR(VLOOKUP(C515,'Chart of Accounts'!$A$4:$F$30,4,FALSE),"")</f>
        <v>Cash</v>
      </c>
      <c r="F515" s="27" t="str">
        <f>IFERROR(VLOOKUP(C515,'Chart of Accounts'!$A$4:$F$30,5,FALSE),"")</f>
        <v>BS</v>
      </c>
      <c r="G515" s="15">
        <v>0</v>
      </c>
      <c r="H515" s="15">
        <v>52000</v>
      </c>
      <c r="I515" s="10">
        <f t="shared" si="21"/>
        <v>-52000</v>
      </c>
      <c r="J515" s="14" t="s">
        <v>578</v>
      </c>
      <c r="K515" s="14" t="s">
        <v>229</v>
      </c>
      <c r="L515" s="14" t="s">
        <v>53</v>
      </c>
      <c r="M515" s="8" t="str">
        <f t="shared" si="22"/>
        <v>2026-05</v>
      </c>
      <c r="N515" s="8" t="str">
        <f t="shared" si="23"/>
        <v>OK</v>
      </c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 spans="1:52">
      <c r="A516" s="14" t="s">
        <v>579</v>
      </c>
      <c r="B516" s="26">
        <v>46162</v>
      </c>
      <c r="C516" s="14" t="s">
        <v>104</v>
      </c>
      <c r="D516" s="27" t="str">
        <f>IFERROR(VLOOKUP(C516,'Chart of Accounts'!$A$4:$F$30,2,FALSE),"")</f>
        <v>Utilities</v>
      </c>
      <c r="E516" s="27" t="str">
        <f>IFERROR(VLOOKUP(C516,'Chart of Accounts'!$A$4:$F$30,4,FALSE),"")</f>
        <v>Utilities</v>
      </c>
      <c r="F516" s="27" t="str">
        <f>IFERROR(VLOOKUP(C516,'Chart of Accounts'!$A$4:$F$30,5,FALSE),"")</f>
        <v>PL</v>
      </c>
      <c r="G516" s="15">
        <v>21051.68105951279</v>
      </c>
      <c r="H516" s="15">
        <v>0</v>
      </c>
      <c r="I516" s="10">
        <f t="shared" ref="I516:I579" si="24">G516-H516</f>
        <v>21051.68105951279</v>
      </c>
      <c r="J516" s="14" t="s">
        <v>580</v>
      </c>
      <c r="K516" s="14" t="s">
        <v>232</v>
      </c>
      <c r="L516" s="14" t="s">
        <v>190</v>
      </c>
      <c r="M516" s="8" t="str">
        <f t="shared" ref="M516:M579" si="25">TEXT(B516,"yyyy-mm")</f>
        <v>2026-05</v>
      </c>
      <c r="N516" s="8" t="str">
        <f t="shared" ref="N516:N579" si="26">"OK"</f>
        <v>OK</v>
      </c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 spans="1:52">
      <c r="A517" s="14" t="s">
        <v>579</v>
      </c>
      <c r="B517" s="26">
        <v>46162</v>
      </c>
      <c r="C517" s="14" t="s">
        <v>71</v>
      </c>
      <c r="D517" s="27" t="str">
        <f>IFERROR(VLOOKUP(C517,'Chart of Accounts'!$A$4:$F$30,2,FALSE),"")</f>
        <v>Trade Payables</v>
      </c>
      <c r="E517" s="27" t="str">
        <f>IFERROR(VLOOKUP(C517,'Chart of Accounts'!$A$4:$F$30,4,FALSE),"")</f>
        <v>Trade Payables</v>
      </c>
      <c r="F517" s="27" t="str">
        <f>IFERROR(VLOOKUP(C517,'Chart of Accounts'!$A$4:$F$30,5,FALSE),"")</f>
        <v>BS</v>
      </c>
      <c r="G517" s="15">
        <v>0</v>
      </c>
      <c r="H517" s="15">
        <v>21051.68105951279</v>
      </c>
      <c r="I517" s="10">
        <f t="shared" si="24"/>
        <v>-21051.68105951279</v>
      </c>
      <c r="J517" s="14" t="s">
        <v>580</v>
      </c>
      <c r="K517" s="14" t="s">
        <v>232</v>
      </c>
      <c r="L517" s="14" t="s">
        <v>190</v>
      </c>
      <c r="M517" s="8" t="str">
        <f t="shared" si="25"/>
        <v>2026-05</v>
      </c>
      <c r="N517" s="8" t="str">
        <f t="shared" si="26"/>
        <v>OK</v>
      </c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 spans="1:52">
      <c r="A518" s="14" t="s">
        <v>581</v>
      </c>
      <c r="B518" s="26">
        <v>46158</v>
      </c>
      <c r="C518" s="14" t="s">
        <v>106</v>
      </c>
      <c r="D518" s="27" t="str">
        <f>IFERROR(VLOOKUP(C518,'Chart of Accounts'!$A$4:$F$30,2,FALSE),"")</f>
        <v>Professional Fees</v>
      </c>
      <c r="E518" s="27" t="str">
        <f>IFERROR(VLOOKUP(C518,'Chart of Accounts'!$A$4:$F$30,4,FALSE),"")</f>
        <v>Professional Fees</v>
      </c>
      <c r="F518" s="27" t="str">
        <f>IFERROR(VLOOKUP(C518,'Chart of Accounts'!$A$4:$F$30,5,FALSE),"")</f>
        <v>PL</v>
      </c>
      <c r="G518" s="15">
        <v>14690.144539000281</v>
      </c>
      <c r="H518" s="15">
        <v>0</v>
      </c>
      <c r="I518" s="10">
        <f t="shared" si="24"/>
        <v>14690.144539000281</v>
      </c>
      <c r="J518" s="14" t="s">
        <v>582</v>
      </c>
      <c r="K518" s="14" t="s">
        <v>235</v>
      </c>
      <c r="L518" s="14" t="s">
        <v>190</v>
      </c>
      <c r="M518" s="8" t="str">
        <f t="shared" si="25"/>
        <v>2026-05</v>
      </c>
      <c r="N518" s="8" t="str">
        <f t="shared" si="26"/>
        <v>OK</v>
      </c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 spans="1:52">
      <c r="A519" s="14" t="s">
        <v>581</v>
      </c>
      <c r="B519" s="26">
        <v>46158</v>
      </c>
      <c r="C519" s="14" t="s">
        <v>71</v>
      </c>
      <c r="D519" s="27" t="str">
        <f>IFERROR(VLOOKUP(C519,'Chart of Accounts'!$A$4:$F$30,2,FALSE),"")</f>
        <v>Trade Payables</v>
      </c>
      <c r="E519" s="27" t="str">
        <f>IFERROR(VLOOKUP(C519,'Chart of Accounts'!$A$4:$F$30,4,FALSE),"")</f>
        <v>Trade Payables</v>
      </c>
      <c r="F519" s="27" t="str">
        <f>IFERROR(VLOOKUP(C519,'Chart of Accounts'!$A$4:$F$30,5,FALSE),"")</f>
        <v>BS</v>
      </c>
      <c r="G519" s="15">
        <v>0</v>
      </c>
      <c r="H519" s="15">
        <v>14690.144539000281</v>
      </c>
      <c r="I519" s="10">
        <f t="shared" si="24"/>
        <v>-14690.144539000281</v>
      </c>
      <c r="J519" s="14" t="s">
        <v>582</v>
      </c>
      <c r="K519" s="14" t="s">
        <v>235</v>
      </c>
      <c r="L519" s="14" t="s">
        <v>190</v>
      </c>
      <c r="M519" s="8" t="str">
        <f t="shared" si="25"/>
        <v>2026-05</v>
      </c>
      <c r="N519" s="8" t="str">
        <f t="shared" si="26"/>
        <v>OK</v>
      </c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 spans="1:52">
      <c r="A520" s="14" t="s">
        <v>583</v>
      </c>
      <c r="B520" s="26">
        <v>46147</v>
      </c>
      <c r="C520" s="14" t="s">
        <v>110</v>
      </c>
      <c r="D520" s="27" t="str">
        <f>IFERROR(VLOOKUP(C520,'Chart of Accounts'!$A$4:$F$30,2,FALSE),"")</f>
        <v>Software &amp; IT</v>
      </c>
      <c r="E520" s="27" t="str">
        <f>IFERROR(VLOOKUP(C520,'Chart of Accounts'!$A$4:$F$30,4,FALSE),"")</f>
        <v>Software &amp; IT</v>
      </c>
      <c r="F520" s="27" t="str">
        <f>IFERROR(VLOOKUP(C520,'Chart of Accounts'!$A$4:$F$30,5,FALSE),"")</f>
        <v>PL</v>
      </c>
      <c r="G520" s="15">
        <v>25600</v>
      </c>
      <c r="H520" s="15">
        <v>0</v>
      </c>
      <c r="I520" s="10">
        <f t="shared" si="24"/>
        <v>25600</v>
      </c>
      <c r="J520" s="14" t="s">
        <v>584</v>
      </c>
      <c r="K520" s="14" t="s">
        <v>238</v>
      </c>
      <c r="L520" s="14" t="s">
        <v>53</v>
      </c>
      <c r="M520" s="8" t="str">
        <f t="shared" si="25"/>
        <v>2026-05</v>
      </c>
      <c r="N520" s="8" t="str">
        <f t="shared" si="26"/>
        <v>OK</v>
      </c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 spans="1:52">
      <c r="A521" s="14" t="s">
        <v>583</v>
      </c>
      <c r="B521" s="26">
        <v>46147</v>
      </c>
      <c r="C521" s="14" t="s">
        <v>52</v>
      </c>
      <c r="D521" s="27" t="str">
        <f>IFERROR(VLOOKUP(C521,'Chart of Accounts'!$A$4:$F$30,2,FALSE),"")</f>
        <v>Bank</v>
      </c>
      <c r="E521" s="27" t="str">
        <f>IFERROR(VLOOKUP(C521,'Chart of Accounts'!$A$4:$F$30,4,FALSE),"")</f>
        <v>Cash</v>
      </c>
      <c r="F521" s="27" t="str">
        <f>IFERROR(VLOOKUP(C521,'Chart of Accounts'!$A$4:$F$30,5,FALSE),"")</f>
        <v>BS</v>
      </c>
      <c r="G521" s="15">
        <v>0</v>
      </c>
      <c r="H521" s="15">
        <v>25600</v>
      </c>
      <c r="I521" s="10">
        <f t="shared" si="24"/>
        <v>-25600</v>
      </c>
      <c r="J521" s="14" t="s">
        <v>584</v>
      </c>
      <c r="K521" s="14" t="s">
        <v>238</v>
      </c>
      <c r="L521" s="14" t="s">
        <v>53</v>
      </c>
      <c r="M521" s="8" t="str">
        <f t="shared" si="25"/>
        <v>2026-05</v>
      </c>
      <c r="N521" s="8" t="str">
        <f t="shared" si="26"/>
        <v>OK</v>
      </c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 spans="1:52">
      <c r="A522" s="14" t="s">
        <v>585</v>
      </c>
      <c r="B522" s="26">
        <v>46164</v>
      </c>
      <c r="C522" s="14" t="s">
        <v>112</v>
      </c>
      <c r="D522" s="27" t="str">
        <f>IFERROR(VLOOKUP(C522,'Chart of Accounts'!$A$4:$F$30,2,FALSE),"")</f>
        <v>Travel &amp; Entertainment</v>
      </c>
      <c r="E522" s="27" t="str">
        <f>IFERROR(VLOOKUP(C522,'Chart of Accounts'!$A$4:$F$30,4,FALSE),"")</f>
        <v>Travel</v>
      </c>
      <c r="F522" s="27" t="str">
        <f>IFERROR(VLOOKUP(C522,'Chart of Accounts'!$A$4:$F$30,5,FALSE),"")</f>
        <v>PL</v>
      </c>
      <c r="G522" s="15">
        <v>8709.5963625683216</v>
      </c>
      <c r="H522" s="15">
        <v>0</v>
      </c>
      <c r="I522" s="10">
        <f t="shared" si="24"/>
        <v>8709.5963625683216</v>
      </c>
      <c r="J522" s="14" t="s">
        <v>586</v>
      </c>
      <c r="K522" s="14" t="s">
        <v>241</v>
      </c>
      <c r="L522" s="14" t="s">
        <v>53</v>
      </c>
      <c r="M522" s="8" t="str">
        <f t="shared" si="25"/>
        <v>2026-05</v>
      </c>
      <c r="N522" s="8" t="str">
        <f t="shared" si="26"/>
        <v>OK</v>
      </c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 spans="1:52">
      <c r="A523" s="14" t="s">
        <v>585</v>
      </c>
      <c r="B523" s="26">
        <v>46164</v>
      </c>
      <c r="C523" s="14" t="s">
        <v>52</v>
      </c>
      <c r="D523" s="27" t="str">
        <f>IFERROR(VLOOKUP(C523,'Chart of Accounts'!$A$4:$F$30,2,FALSE),"")</f>
        <v>Bank</v>
      </c>
      <c r="E523" s="27" t="str">
        <f>IFERROR(VLOOKUP(C523,'Chart of Accounts'!$A$4:$F$30,4,FALSE),"")</f>
        <v>Cash</v>
      </c>
      <c r="F523" s="27" t="str">
        <f>IFERROR(VLOOKUP(C523,'Chart of Accounts'!$A$4:$F$30,5,FALSE),"")</f>
        <v>BS</v>
      </c>
      <c r="G523" s="15">
        <v>0</v>
      </c>
      <c r="H523" s="15">
        <v>8709.5963625683216</v>
      </c>
      <c r="I523" s="10">
        <f t="shared" si="24"/>
        <v>-8709.5963625683216</v>
      </c>
      <c r="J523" s="14" t="s">
        <v>586</v>
      </c>
      <c r="K523" s="14" t="s">
        <v>241</v>
      </c>
      <c r="L523" s="14" t="s">
        <v>53</v>
      </c>
      <c r="M523" s="8" t="str">
        <f t="shared" si="25"/>
        <v>2026-05</v>
      </c>
      <c r="N523" s="8" t="str">
        <f t="shared" si="26"/>
        <v>OK</v>
      </c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 spans="1:52">
      <c r="A524" s="14" t="s">
        <v>587</v>
      </c>
      <c r="B524" s="26">
        <v>46169</v>
      </c>
      <c r="C524" s="14" t="s">
        <v>120</v>
      </c>
      <c r="D524" s="27" t="str">
        <f>IFERROR(VLOOKUP(C524,'Chart of Accounts'!$A$4:$F$30,2,FALSE),"")</f>
        <v>Interest Expense</v>
      </c>
      <c r="E524" s="27" t="str">
        <f>IFERROR(VLOOKUP(C524,'Chart of Accounts'!$A$4:$F$30,4,FALSE),"")</f>
        <v>Interest</v>
      </c>
      <c r="F524" s="27" t="str">
        <f>IFERROR(VLOOKUP(C524,'Chart of Accounts'!$A$4:$F$30,5,FALSE),"")</f>
        <v>PL</v>
      </c>
      <c r="G524" s="15">
        <v>5500</v>
      </c>
      <c r="H524" s="15">
        <v>0</v>
      </c>
      <c r="I524" s="10">
        <f t="shared" si="24"/>
        <v>5500</v>
      </c>
      <c r="J524" s="14" t="s">
        <v>588</v>
      </c>
      <c r="K524" s="14" t="s">
        <v>244</v>
      </c>
      <c r="L524" s="14" t="s">
        <v>53</v>
      </c>
      <c r="M524" s="8" t="str">
        <f t="shared" si="25"/>
        <v>2026-05</v>
      </c>
      <c r="N524" s="8" t="str">
        <f t="shared" si="26"/>
        <v>OK</v>
      </c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 spans="1:52">
      <c r="A525" s="14" t="s">
        <v>587</v>
      </c>
      <c r="B525" s="26">
        <v>46169</v>
      </c>
      <c r="C525" s="14" t="s">
        <v>52</v>
      </c>
      <c r="D525" s="27" t="str">
        <f>IFERROR(VLOOKUP(C525,'Chart of Accounts'!$A$4:$F$30,2,FALSE),"")</f>
        <v>Bank</v>
      </c>
      <c r="E525" s="27" t="str">
        <f>IFERROR(VLOOKUP(C525,'Chart of Accounts'!$A$4:$F$30,4,FALSE),"")</f>
        <v>Cash</v>
      </c>
      <c r="F525" s="27" t="str">
        <f>IFERROR(VLOOKUP(C525,'Chart of Accounts'!$A$4:$F$30,5,FALSE),"")</f>
        <v>BS</v>
      </c>
      <c r="G525" s="15">
        <v>0</v>
      </c>
      <c r="H525" s="15">
        <v>5500</v>
      </c>
      <c r="I525" s="10">
        <f t="shared" si="24"/>
        <v>-5500</v>
      </c>
      <c r="J525" s="14" t="s">
        <v>588</v>
      </c>
      <c r="K525" s="14" t="s">
        <v>244</v>
      </c>
      <c r="L525" s="14" t="s">
        <v>53</v>
      </c>
      <c r="M525" s="8" t="str">
        <f t="shared" si="25"/>
        <v>2026-05</v>
      </c>
      <c r="N525" s="8" t="str">
        <f t="shared" si="26"/>
        <v>OK</v>
      </c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 spans="1:52">
      <c r="A526" s="14" t="s">
        <v>589</v>
      </c>
      <c r="B526" s="26">
        <v>46170</v>
      </c>
      <c r="C526" s="14" t="s">
        <v>115</v>
      </c>
      <c r="D526" s="27" t="str">
        <f>IFERROR(VLOOKUP(C526,'Chart of Accounts'!$A$4:$F$30,2,FALSE),"")</f>
        <v>Depreciation</v>
      </c>
      <c r="E526" s="27" t="str">
        <f>IFERROR(VLOOKUP(C526,'Chart of Accounts'!$A$4:$F$30,4,FALSE),"")</f>
        <v>Depreciation</v>
      </c>
      <c r="F526" s="27" t="str">
        <f>IFERROR(VLOOKUP(C526,'Chart of Accounts'!$A$4:$F$30,5,FALSE),"")</f>
        <v>PL</v>
      </c>
      <c r="G526" s="15">
        <v>15000</v>
      </c>
      <c r="H526" s="15">
        <v>0</v>
      </c>
      <c r="I526" s="10">
        <f t="shared" si="24"/>
        <v>15000</v>
      </c>
      <c r="J526" s="14" t="s">
        <v>590</v>
      </c>
      <c r="K526" s="14" t="s">
        <v>247</v>
      </c>
      <c r="L526" s="14" t="s">
        <v>248</v>
      </c>
      <c r="M526" s="8" t="str">
        <f t="shared" si="25"/>
        <v>2026-05</v>
      </c>
      <c r="N526" s="8" t="str">
        <f t="shared" si="26"/>
        <v>OK</v>
      </c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 spans="1:52">
      <c r="A527" s="14" t="s">
        <v>589</v>
      </c>
      <c r="B527" s="26">
        <v>46170</v>
      </c>
      <c r="C527" s="14" t="s">
        <v>69</v>
      </c>
      <c r="D527" s="27" t="str">
        <f>IFERROR(VLOOKUP(C527,'Chart of Accounts'!$A$4:$F$30,2,FALSE),"")</f>
        <v>Accumulated Depreciation</v>
      </c>
      <c r="E527" s="27" t="str">
        <f>IFERROR(VLOOKUP(C527,'Chart of Accounts'!$A$4:$F$30,4,FALSE),"")</f>
        <v>Accumulated Depreciation</v>
      </c>
      <c r="F527" s="27" t="str">
        <f>IFERROR(VLOOKUP(C527,'Chart of Accounts'!$A$4:$F$30,5,FALSE),"")</f>
        <v>BS</v>
      </c>
      <c r="G527" s="15">
        <v>0</v>
      </c>
      <c r="H527" s="15">
        <v>15000</v>
      </c>
      <c r="I527" s="10">
        <f t="shared" si="24"/>
        <v>-15000</v>
      </c>
      <c r="J527" s="14" t="s">
        <v>590</v>
      </c>
      <c r="K527" s="14" t="s">
        <v>247</v>
      </c>
      <c r="L527" s="14" t="s">
        <v>248</v>
      </c>
      <c r="M527" s="8" t="str">
        <f t="shared" si="25"/>
        <v>2026-05</v>
      </c>
      <c r="N527" s="8" t="str">
        <f t="shared" si="26"/>
        <v>OK</v>
      </c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 spans="1:52">
      <c r="A528" s="14" t="s">
        <v>591</v>
      </c>
      <c r="B528" s="26">
        <v>46187</v>
      </c>
      <c r="C528" s="14" t="s">
        <v>58</v>
      </c>
      <c r="D528" s="27" t="str">
        <f>IFERROR(VLOOKUP(C528,'Chart of Accounts'!$A$4:$F$30,2,FALSE),"")</f>
        <v>Trade Receivables</v>
      </c>
      <c r="E528" s="27" t="str">
        <f>IFERROR(VLOOKUP(C528,'Chart of Accounts'!$A$4:$F$30,4,FALSE),"")</f>
        <v>Trade Receivables</v>
      </c>
      <c r="F528" s="27" t="str">
        <f>IFERROR(VLOOKUP(C528,'Chart of Accounts'!$A$4:$F$30,5,FALSE),"")</f>
        <v>BS</v>
      </c>
      <c r="G528" s="15">
        <v>82927.928290555108</v>
      </c>
      <c r="H528" s="15">
        <v>0</v>
      </c>
      <c r="I528" s="10">
        <f t="shared" si="24"/>
        <v>82927.928290555108</v>
      </c>
      <c r="J528" s="14" t="s">
        <v>592</v>
      </c>
      <c r="K528" s="14" t="s">
        <v>256</v>
      </c>
      <c r="L528" s="14" t="s">
        <v>140</v>
      </c>
      <c r="M528" s="8" t="str">
        <f t="shared" si="25"/>
        <v>2026-06</v>
      </c>
      <c r="N528" s="8" t="str">
        <f t="shared" si="26"/>
        <v>OK</v>
      </c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 spans="1:52">
      <c r="A529" s="14" t="s">
        <v>591</v>
      </c>
      <c r="B529" s="26">
        <v>46187</v>
      </c>
      <c r="C529" s="14" t="s">
        <v>86</v>
      </c>
      <c r="D529" s="27" t="str">
        <f>IFERROR(VLOOKUP(C529,'Chart of Accounts'!$A$4:$F$30,2,FALSE),"")</f>
        <v>Product Sales</v>
      </c>
      <c r="E529" s="27" t="str">
        <f>IFERROR(VLOOKUP(C529,'Chart of Accounts'!$A$4:$F$30,4,FALSE),"")</f>
        <v>Revenue</v>
      </c>
      <c r="F529" s="27" t="str">
        <f>IFERROR(VLOOKUP(C529,'Chart of Accounts'!$A$4:$F$30,5,FALSE),"")</f>
        <v>PL</v>
      </c>
      <c r="G529" s="15">
        <v>0</v>
      </c>
      <c r="H529" s="15">
        <v>82927.928290555108</v>
      </c>
      <c r="I529" s="10">
        <f t="shared" si="24"/>
        <v>-82927.928290555108</v>
      </c>
      <c r="J529" s="14" t="s">
        <v>592</v>
      </c>
      <c r="K529" s="14" t="s">
        <v>256</v>
      </c>
      <c r="L529" s="14" t="s">
        <v>140</v>
      </c>
      <c r="M529" s="8" t="str">
        <f t="shared" si="25"/>
        <v>2026-06</v>
      </c>
      <c r="N529" s="8" t="str">
        <f t="shared" si="26"/>
        <v>OK</v>
      </c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 spans="1:52">
      <c r="A530" s="14" t="s">
        <v>591</v>
      </c>
      <c r="B530" s="26">
        <v>46187</v>
      </c>
      <c r="C530" s="14" t="s">
        <v>90</v>
      </c>
      <c r="D530" s="27" t="str">
        <f>IFERROR(VLOOKUP(C530,'Chart of Accounts'!$A$4:$F$30,2,FALSE),"")</f>
        <v>Cost of Goods Sold</v>
      </c>
      <c r="E530" s="27" t="str">
        <f>IFERROR(VLOOKUP(C530,'Chart of Accounts'!$A$4:$F$30,4,FALSE),"")</f>
        <v>COGS</v>
      </c>
      <c r="F530" s="27" t="str">
        <f>IFERROR(VLOOKUP(C530,'Chart of Accounts'!$A$4:$F$30,5,FALSE),"")</f>
        <v>PL</v>
      </c>
      <c r="G530" s="15">
        <v>45527.432631514741</v>
      </c>
      <c r="H530" s="15">
        <v>0</v>
      </c>
      <c r="I530" s="10">
        <f t="shared" si="24"/>
        <v>45527.432631514741</v>
      </c>
      <c r="J530" s="14" t="s">
        <v>592</v>
      </c>
      <c r="K530" s="14" t="s">
        <v>256</v>
      </c>
      <c r="L530" s="14" t="s">
        <v>140</v>
      </c>
      <c r="M530" s="8" t="str">
        <f t="shared" si="25"/>
        <v>2026-06</v>
      </c>
      <c r="N530" s="8" t="str">
        <f t="shared" si="26"/>
        <v>OK</v>
      </c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 spans="1:52">
      <c r="A531" s="14" t="s">
        <v>591</v>
      </c>
      <c r="B531" s="26">
        <v>46187</v>
      </c>
      <c r="C531" s="14" t="s">
        <v>63</v>
      </c>
      <c r="D531" s="27" t="str">
        <f>IFERROR(VLOOKUP(C531,'Chart of Accounts'!$A$4:$F$30,2,FALSE),"")</f>
        <v>Inventory</v>
      </c>
      <c r="E531" s="27" t="str">
        <f>IFERROR(VLOOKUP(C531,'Chart of Accounts'!$A$4:$F$30,4,FALSE),"")</f>
        <v>Inventory</v>
      </c>
      <c r="F531" s="27" t="str">
        <f>IFERROR(VLOOKUP(C531,'Chart of Accounts'!$A$4:$F$30,5,FALSE),"")</f>
        <v>BS</v>
      </c>
      <c r="G531" s="15">
        <v>0</v>
      </c>
      <c r="H531" s="15">
        <v>45527.432631514741</v>
      </c>
      <c r="I531" s="10">
        <f t="shared" si="24"/>
        <v>-45527.432631514741</v>
      </c>
      <c r="J531" s="14" t="s">
        <v>592</v>
      </c>
      <c r="K531" s="14" t="s">
        <v>256</v>
      </c>
      <c r="L531" s="14" t="s">
        <v>140</v>
      </c>
      <c r="M531" s="8" t="str">
        <f t="shared" si="25"/>
        <v>2026-06</v>
      </c>
      <c r="N531" s="8" t="str">
        <f t="shared" si="26"/>
        <v>OK</v>
      </c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 spans="1:52">
      <c r="A532" s="14" t="s">
        <v>593</v>
      </c>
      <c r="B532" s="26">
        <v>46180</v>
      </c>
      <c r="C532" s="14" t="s">
        <v>58</v>
      </c>
      <c r="D532" s="27" t="str">
        <f>IFERROR(VLOOKUP(C532,'Chart of Accounts'!$A$4:$F$30,2,FALSE),"")</f>
        <v>Trade Receivables</v>
      </c>
      <c r="E532" s="27" t="str">
        <f>IFERROR(VLOOKUP(C532,'Chart of Accounts'!$A$4:$F$30,4,FALSE),"")</f>
        <v>Trade Receivables</v>
      </c>
      <c r="F532" s="27" t="str">
        <f>IFERROR(VLOOKUP(C532,'Chart of Accounts'!$A$4:$F$30,5,FALSE),"")</f>
        <v>BS</v>
      </c>
      <c r="G532" s="15">
        <v>65697.542368546608</v>
      </c>
      <c r="H532" s="15">
        <v>0</v>
      </c>
      <c r="I532" s="10">
        <f t="shared" si="24"/>
        <v>65697.542368546608</v>
      </c>
      <c r="J532" s="14" t="s">
        <v>594</v>
      </c>
      <c r="K532" s="14" t="s">
        <v>595</v>
      </c>
      <c r="L532" s="14" t="s">
        <v>140</v>
      </c>
      <c r="M532" s="8" t="str">
        <f t="shared" si="25"/>
        <v>2026-06</v>
      </c>
      <c r="N532" s="8" t="str">
        <f t="shared" si="26"/>
        <v>OK</v>
      </c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 spans="1:52">
      <c r="A533" s="14" t="s">
        <v>593</v>
      </c>
      <c r="B533" s="26">
        <v>46180</v>
      </c>
      <c r="C533" s="14" t="s">
        <v>86</v>
      </c>
      <c r="D533" s="27" t="str">
        <f>IFERROR(VLOOKUP(C533,'Chart of Accounts'!$A$4:$F$30,2,FALSE),"")</f>
        <v>Product Sales</v>
      </c>
      <c r="E533" s="27" t="str">
        <f>IFERROR(VLOOKUP(C533,'Chart of Accounts'!$A$4:$F$30,4,FALSE),"")</f>
        <v>Revenue</v>
      </c>
      <c r="F533" s="27" t="str">
        <f>IFERROR(VLOOKUP(C533,'Chart of Accounts'!$A$4:$F$30,5,FALSE),"")</f>
        <v>PL</v>
      </c>
      <c r="G533" s="15">
        <v>0</v>
      </c>
      <c r="H533" s="15">
        <v>65697.542368546608</v>
      </c>
      <c r="I533" s="10">
        <f t="shared" si="24"/>
        <v>-65697.542368546608</v>
      </c>
      <c r="J533" s="14" t="s">
        <v>594</v>
      </c>
      <c r="K533" s="14" t="s">
        <v>595</v>
      </c>
      <c r="L533" s="14" t="s">
        <v>140</v>
      </c>
      <c r="M533" s="8" t="str">
        <f t="shared" si="25"/>
        <v>2026-06</v>
      </c>
      <c r="N533" s="8" t="str">
        <f t="shared" si="26"/>
        <v>OK</v>
      </c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 spans="1:52">
      <c r="A534" s="14" t="s">
        <v>593</v>
      </c>
      <c r="B534" s="26">
        <v>46180</v>
      </c>
      <c r="C534" s="14" t="s">
        <v>90</v>
      </c>
      <c r="D534" s="27" t="str">
        <f>IFERROR(VLOOKUP(C534,'Chart of Accounts'!$A$4:$F$30,2,FALSE),"")</f>
        <v>Cost of Goods Sold</v>
      </c>
      <c r="E534" s="27" t="str">
        <f>IFERROR(VLOOKUP(C534,'Chart of Accounts'!$A$4:$F$30,4,FALSE),"")</f>
        <v>COGS</v>
      </c>
      <c r="F534" s="27" t="str">
        <f>IFERROR(VLOOKUP(C534,'Chart of Accounts'!$A$4:$F$30,5,FALSE),"")</f>
        <v>PL</v>
      </c>
      <c r="G534" s="15">
        <v>36067.950760332082</v>
      </c>
      <c r="H534" s="15">
        <v>0</v>
      </c>
      <c r="I534" s="10">
        <f t="shared" si="24"/>
        <v>36067.950760332082</v>
      </c>
      <c r="J534" s="14" t="s">
        <v>594</v>
      </c>
      <c r="K534" s="14" t="s">
        <v>595</v>
      </c>
      <c r="L534" s="14" t="s">
        <v>140</v>
      </c>
      <c r="M534" s="8" t="str">
        <f t="shared" si="25"/>
        <v>2026-06</v>
      </c>
      <c r="N534" s="8" t="str">
        <f t="shared" si="26"/>
        <v>OK</v>
      </c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 spans="1:52">
      <c r="A535" s="14" t="s">
        <v>593</v>
      </c>
      <c r="B535" s="26">
        <v>46180</v>
      </c>
      <c r="C535" s="14" t="s">
        <v>63</v>
      </c>
      <c r="D535" s="27" t="str">
        <f>IFERROR(VLOOKUP(C535,'Chart of Accounts'!$A$4:$F$30,2,FALSE),"")</f>
        <v>Inventory</v>
      </c>
      <c r="E535" s="27" t="str">
        <f>IFERROR(VLOOKUP(C535,'Chart of Accounts'!$A$4:$F$30,4,FALSE),"")</f>
        <v>Inventory</v>
      </c>
      <c r="F535" s="27" t="str">
        <f>IFERROR(VLOOKUP(C535,'Chart of Accounts'!$A$4:$F$30,5,FALSE),"")</f>
        <v>BS</v>
      </c>
      <c r="G535" s="15">
        <v>0</v>
      </c>
      <c r="H535" s="15">
        <v>36067.950760332082</v>
      </c>
      <c r="I535" s="10">
        <f t="shared" si="24"/>
        <v>-36067.950760332082</v>
      </c>
      <c r="J535" s="14" t="s">
        <v>594</v>
      </c>
      <c r="K535" s="14" t="s">
        <v>595</v>
      </c>
      <c r="L535" s="14" t="s">
        <v>140</v>
      </c>
      <c r="M535" s="8" t="str">
        <f t="shared" si="25"/>
        <v>2026-06</v>
      </c>
      <c r="N535" s="8" t="str">
        <f t="shared" si="26"/>
        <v>OK</v>
      </c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 spans="1:52">
      <c r="A536" s="14" t="s">
        <v>596</v>
      </c>
      <c r="B536" s="26">
        <v>46179</v>
      </c>
      <c r="C536" s="14" t="s">
        <v>58</v>
      </c>
      <c r="D536" s="27" t="str">
        <f>IFERROR(VLOOKUP(C536,'Chart of Accounts'!$A$4:$F$30,2,FALSE),"")</f>
        <v>Trade Receivables</v>
      </c>
      <c r="E536" s="27" t="str">
        <f>IFERROR(VLOOKUP(C536,'Chart of Accounts'!$A$4:$F$30,4,FALSE),"")</f>
        <v>Trade Receivables</v>
      </c>
      <c r="F536" s="27" t="str">
        <f>IFERROR(VLOOKUP(C536,'Chart of Accounts'!$A$4:$F$30,5,FALSE),"")</f>
        <v>BS</v>
      </c>
      <c r="G536" s="15">
        <v>64945.69710179363</v>
      </c>
      <c r="H536" s="15">
        <v>0</v>
      </c>
      <c r="I536" s="10">
        <f t="shared" si="24"/>
        <v>64945.69710179363</v>
      </c>
      <c r="J536" s="14" t="s">
        <v>597</v>
      </c>
      <c r="K536" s="14" t="s">
        <v>450</v>
      </c>
      <c r="L536" s="14" t="s">
        <v>140</v>
      </c>
      <c r="M536" s="8" t="str">
        <f t="shared" si="25"/>
        <v>2026-06</v>
      </c>
      <c r="N536" s="8" t="str">
        <f t="shared" si="26"/>
        <v>OK</v>
      </c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 spans="1:52">
      <c r="A537" s="14" t="s">
        <v>596</v>
      </c>
      <c r="B537" s="26">
        <v>46179</v>
      </c>
      <c r="C537" s="14" t="s">
        <v>86</v>
      </c>
      <c r="D537" s="27" t="str">
        <f>IFERROR(VLOOKUP(C537,'Chart of Accounts'!$A$4:$F$30,2,FALSE),"")</f>
        <v>Product Sales</v>
      </c>
      <c r="E537" s="27" t="str">
        <f>IFERROR(VLOOKUP(C537,'Chart of Accounts'!$A$4:$F$30,4,FALSE),"")</f>
        <v>Revenue</v>
      </c>
      <c r="F537" s="27" t="str">
        <f>IFERROR(VLOOKUP(C537,'Chart of Accounts'!$A$4:$F$30,5,FALSE),"")</f>
        <v>PL</v>
      </c>
      <c r="G537" s="15">
        <v>0</v>
      </c>
      <c r="H537" s="15">
        <v>64945.69710179363</v>
      </c>
      <c r="I537" s="10">
        <f t="shared" si="24"/>
        <v>-64945.69710179363</v>
      </c>
      <c r="J537" s="14" t="s">
        <v>597</v>
      </c>
      <c r="K537" s="14" t="s">
        <v>450</v>
      </c>
      <c r="L537" s="14" t="s">
        <v>140</v>
      </c>
      <c r="M537" s="8" t="str">
        <f t="shared" si="25"/>
        <v>2026-06</v>
      </c>
      <c r="N537" s="8" t="str">
        <f t="shared" si="26"/>
        <v>OK</v>
      </c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 spans="1:52">
      <c r="A538" s="14" t="s">
        <v>596</v>
      </c>
      <c r="B538" s="26">
        <v>46179</v>
      </c>
      <c r="C538" s="14" t="s">
        <v>90</v>
      </c>
      <c r="D538" s="27" t="str">
        <f>IFERROR(VLOOKUP(C538,'Chart of Accounts'!$A$4:$F$30,2,FALSE),"")</f>
        <v>Cost of Goods Sold</v>
      </c>
      <c r="E538" s="27" t="str">
        <f>IFERROR(VLOOKUP(C538,'Chart of Accounts'!$A$4:$F$30,4,FALSE),"")</f>
        <v>COGS</v>
      </c>
      <c r="F538" s="27" t="str">
        <f>IFERROR(VLOOKUP(C538,'Chart of Accounts'!$A$4:$F$30,5,FALSE),"")</f>
        <v>PL</v>
      </c>
      <c r="G538" s="15">
        <v>35655.187708884696</v>
      </c>
      <c r="H538" s="15">
        <v>0</v>
      </c>
      <c r="I538" s="10">
        <f t="shared" si="24"/>
        <v>35655.187708884696</v>
      </c>
      <c r="J538" s="14" t="s">
        <v>597</v>
      </c>
      <c r="K538" s="14" t="s">
        <v>450</v>
      </c>
      <c r="L538" s="14" t="s">
        <v>140</v>
      </c>
      <c r="M538" s="8" t="str">
        <f t="shared" si="25"/>
        <v>2026-06</v>
      </c>
      <c r="N538" s="8" t="str">
        <f t="shared" si="26"/>
        <v>OK</v>
      </c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 spans="1:52">
      <c r="A539" s="14" t="s">
        <v>596</v>
      </c>
      <c r="B539" s="26">
        <v>46179</v>
      </c>
      <c r="C539" s="14" t="s">
        <v>63</v>
      </c>
      <c r="D539" s="27" t="str">
        <f>IFERROR(VLOOKUP(C539,'Chart of Accounts'!$A$4:$F$30,2,FALSE),"")</f>
        <v>Inventory</v>
      </c>
      <c r="E539" s="27" t="str">
        <f>IFERROR(VLOOKUP(C539,'Chart of Accounts'!$A$4:$F$30,4,FALSE),"")</f>
        <v>Inventory</v>
      </c>
      <c r="F539" s="27" t="str">
        <f>IFERROR(VLOOKUP(C539,'Chart of Accounts'!$A$4:$F$30,5,FALSE),"")</f>
        <v>BS</v>
      </c>
      <c r="G539" s="15">
        <v>0</v>
      </c>
      <c r="H539" s="15">
        <v>35655.187708884696</v>
      </c>
      <c r="I539" s="10">
        <f t="shared" si="24"/>
        <v>-35655.187708884696</v>
      </c>
      <c r="J539" s="14" t="s">
        <v>597</v>
      </c>
      <c r="K539" s="14" t="s">
        <v>450</v>
      </c>
      <c r="L539" s="14" t="s">
        <v>140</v>
      </c>
      <c r="M539" s="8" t="str">
        <f t="shared" si="25"/>
        <v>2026-06</v>
      </c>
      <c r="N539" s="8" t="str">
        <f t="shared" si="26"/>
        <v>OK</v>
      </c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 spans="1:52">
      <c r="A540" s="14" t="s">
        <v>598</v>
      </c>
      <c r="B540" s="26">
        <v>46195</v>
      </c>
      <c r="C540" s="14" t="s">
        <v>58</v>
      </c>
      <c r="D540" s="27" t="str">
        <f>IFERROR(VLOOKUP(C540,'Chart of Accounts'!$A$4:$F$30,2,FALSE),"")</f>
        <v>Trade Receivables</v>
      </c>
      <c r="E540" s="27" t="str">
        <f>IFERROR(VLOOKUP(C540,'Chart of Accounts'!$A$4:$F$30,4,FALSE),"")</f>
        <v>Trade Receivables</v>
      </c>
      <c r="F540" s="27" t="str">
        <f>IFERROR(VLOOKUP(C540,'Chart of Accounts'!$A$4:$F$30,5,FALSE),"")</f>
        <v>BS</v>
      </c>
      <c r="G540" s="15">
        <v>72153.541642750992</v>
      </c>
      <c r="H540" s="15">
        <v>0</v>
      </c>
      <c r="I540" s="10">
        <f t="shared" si="24"/>
        <v>72153.541642750992</v>
      </c>
      <c r="J540" s="14" t="s">
        <v>599</v>
      </c>
      <c r="K540" s="14" t="s">
        <v>149</v>
      </c>
      <c r="L540" s="14" t="s">
        <v>140</v>
      </c>
      <c r="M540" s="8" t="str">
        <f t="shared" si="25"/>
        <v>2026-06</v>
      </c>
      <c r="N540" s="8" t="str">
        <f t="shared" si="26"/>
        <v>OK</v>
      </c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 spans="1:52">
      <c r="A541" s="14" t="s">
        <v>598</v>
      </c>
      <c r="B541" s="26">
        <v>46195</v>
      </c>
      <c r="C541" s="14" t="s">
        <v>86</v>
      </c>
      <c r="D541" s="27" t="str">
        <f>IFERROR(VLOOKUP(C541,'Chart of Accounts'!$A$4:$F$30,2,FALSE),"")</f>
        <v>Product Sales</v>
      </c>
      <c r="E541" s="27" t="str">
        <f>IFERROR(VLOOKUP(C541,'Chart of Accounts'!$A$4:$F$30,4,FALSE),"")</f>
        <v>Revenue</v>
      </c>
      <c r="F541" s="27" t="str">
        <f>IFERROR(VLOOKUP(C541,'Chart of Accounts'!$A$4:$F$30,5,FALSE),"")</f>
        <v>PL</v>
      </c>
      <c r="G541" s="15">
        <v>0</v>
      </c>
      <c r="H541" s="15">
        <v>72153.541642750992</v>
      </c>
      <c r="I541" s="10">
        <f t="shared" si="24"/>
        <v>-72153.541642750992</v>
      </c>
      <c r="J541" s="14" t="s">
        <v>599</v>
      </c>
      <c r="K541" s="14" t="s">
        <v>149</v>
      </c>
      <c r="L541" s="14" t="s">
        <v>140</v>
      </c>
      <c r="M541" s="8" t="str">
        <f t="shared" si="25"/>
        <v>2026-06</v>
      </c>
      <c r="N541" s="8" t="str">
        <f t="shared" si="26"/>
        <v>OK</v>
      </c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 spans="1:52">
      <c r="A542" s="14" t="s">
        <v>598</v>
      </c>
      <c r="B542" s="26">
        <v>46195</v>
      </c>
      <c r="C542" s="14" t="s">
        <v>90</v>
      </c>
      <c r="D542" s="27" t="str">
        <f>IFERROR(VLOOKUP(C542,'Chart of Accounts'!$A$4:$F$30,2,FALSE),"")</f>
        <v>Cost of Goods Sold</v>
      </c>
      <c r="E542" s="27" t="str">
        <f>IFERROR(VLOOKUP(C542,'Chart of Accounts'!$A$4:$F$30,4,FALSE),"")</f>
        <v>COGS</v>
      </c>
      <c r="F542" s="27" t="str">
        <f>IFERROR(VLOOKUP(C542,'Chart of Accounts'!$A$4:$F$30,5,FALSE),"")</f>
        <v>PL</v>
      </c>
      <c r="G542" s="15">
        <v>39612.294361870292</v>
      </c>
      <c r="H542" s="15">
        <v>0</v>
      </c>
      <c r="I542" s="10">
        <f t="shared" si="24"/>
        <v>39612.294361870292</v>
      </c>
      <c r="J542" s="14" t="s">
        <v>599</v>
      </c>
      <c r="K542" s="14" t="s">
        <v>149</v>
      </c>
      <c r="L542" s="14" t="s">
        <v>140</v>
      </c>
      <c r="M542" s="8" t="str">
        <f t="shared" si="25"/>
        <v>2026-06</v>
      </c>
      <c r="N542" s="8" t="str">
        <f t="shared" si="26"/>
        <v>OK</v>
      </c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 spans="1:52">
      <c r="A543" s="14" t="s">
        <v>598</v>
      </c>
      <c r="B543" s="26">
        <v>46195</v>
      </c>
      <c r="C543" s="14" t="s">
        <v>63</v>
      </c>
      <c r="D543" s="27" t="str">
        <f>IFERROR(VLOOKUP(C543,'Chart of Accounts'!$A$4:$F$30,2,FALSE),"")</f>
        <v>Inventory</v>
      </c>
      <c r="E543" s="27" t="str">
        <f>IFERROR(VLOOKUP(C543,'Chart of Accounts'!$A$4:$F$30,4,FALSE),"")</f>
        <v>Inventory</v>
      </c>
      <c r="F543" s="27" t="str">
        <f>IFERROR(VLOOKUP(C543,'Chart of Accounts'!$A$4:$F$30,5,FALSE),"")</f>
        <v>BS</v>
      </c>
      <c r="G543" s="15">
        <v>0</v>
      </c>
      <c r="H543" s="15">
        <v>39612.294361870292</v>
      </c>
      <c r="I543" s="10">
        <f t="shared" si="24"/>
        <v>-39612.294361870292</v>
      </c>
      <c r="J543" s="14" t="s">
        <v>599</v>
      </c>
      <c r="K543" s="14" t="s">
        <v>149</v>
      </c>
      <c r="L543" s="14" t="s">
        <v>140</v>
      </c>
      <c r="M543" s="8" t="str">
        <f t="shared" si="25"/>
        <v>2026-06</v>
      </c>
      <c r="N543" s="8" t="str">
        <f t="shared" si="26"/>
        <v>OK</v>
      </c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 spans="1:52">
      <c r="A544" s="14" t="s">
        <v>600</v>
      </c>
      <c r="B544" s="26">
        <v>46178</v>
      </c>
      <c r="C544" s="14" t="s">
        <v>58</v>
      </c>
      <c r="D544" s="27" t="str">
        <f>IFERROR(VLOOKUP(C544,'Chart of Accounts'!$A$4:$F$30,2,FALSE),"")</f>
        <v>Trade Receivables</v>
      </c>
      <c r="E544" s="27" t="str">
        <f>IFERROR(VLOOKUP(C544,'Chart of Accounts'!$A$4:$F$30,4,FALSE),"")</f>
        <v>Trade Receivables</v>
      </c>
      <c r="F544" s="27" t="str">
        <f>IFERROR(VLOOKUP(C544,'Chart of Accounts'!$A$4:$F$30,5,FALSE),"")</f>
        <v>BS</v>
      </c>
      <c r="G544" s="15">
        <v>55095.609755466539</v>
      </c>
      <c r="H544" s="15">
        <v>0</v>
      </c>
      <c r="I544" s="10">
        <f t="shared" si="24"/>
        <v>55095.609755466539</v>
      </c>
      <c r="J544" s="14" t="s">
        <v>601</v>
      </c>
      <c r="K544" s="14" t="s">
        <v>602</v>
      </c>
      <c r="L544" s="14" t="s">
        <v>140</v>
      </c>
      <c r="M544" s="8" t="str">
        <f t="shared" si="25"/>
        <v>2026-06</v>
      </c>
      <c r="N544" s="8" t="str">
        <f t="shared" si="26"/>
        <v>OK</v>
      </c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 spans="1:52">
      <c r="A545" s="14" t="s">
        <v>600</v>
      </c>
      <c r="B545" s="26">
        <v>46178</v>
      </c>
      <c r="C545" s="14" t="s">
        <v>86</v>
      </c>
      <c r="D545" s="27" t="str">
        <f>IFERROR(VLOOKUP(C545,'Chart of Accounts'!$A$4:$F$30,2,FALSE),"")</f>
        <v>Product Sales</v>
      </c>
      <c r="E545" s="27" t="str">
        <f>IFERROR(VLOOKUP(C545,'Chart of Accounts'!$A$4:$F$30,4,FALSE),"")</f>
        <v>Revenue</v>
      </c>
      <c r="F545" s="27" t="str">
        <f>IFERROR(VLOOKUP(C545,'Chart of Accounts'!$A$4:$F$30,5,FALSE),"")</f>
        <v>PL</v>
      </c>
      <c r="G545" s="15">
        <v>0</v>
      </c>
      <c r="H545" s="15">
        <v>55095.609755466539</v>
      </c>
      <c r="I545" s="10">
        <f t="shared" si="24"/>
        <v>-55095.609755466539</v>
      </c>
      <c r="J545" s="14" t="s">
        <v>601</v>
      </c>
      <c r="K545" s="14" t="s">
        <v>602</v>
      </c>
      <c r="L545" s="14" t="s">
        <v>140</v>
      </c>
      <c r="M545" s="8" t="str">
        <f t="shared" si="25"/>
        <v>2026-06</v>
      </c>
      <c r="N545" s="8" t="str">
        <f t="shared" si="26"/>
        <v>OK</v>
      </c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 spans="1:52">
      <c r="A546" s="14" t="s">
        <v>600</v>
      </c>
      <c r="B546" s="26">
        <v>46178</v>
      </c>
      <c r="C546" s="14" t="s">
        <v>90</v>
      </c>
      <c r="D546" s="27" t="str">
        <f>IFERROR(VLOOKUP(C546,'Chart of Accounts'!$A$4:$F$30,2,FALSE),"")</f>
        <v>Cost of Goods Sold</v>
      </c>
      <c r="E546" s="27" t="str">
        <f>IFERROR(VLOOKUP(C546,'Chart of Accounts'!$A$4:$F$30,4,FALSE),"")</f>
        <v>COGS</v>
      </c>
      <c r="F546" s="27" t="str">
        <f>IFERROR(VLOOKUP(C546,'Chart of Accounts'!$A$4:$F$30,5,FALSE),"")</f>
        <v>PL</v>
      </c>
      <c r="G546" s="15">
        <v>30247.489755751125</v>
      </c>
      <c r="H546" s="15">
        <v>0</v>
      </c>
      <c r="I546" s="10">
        <f t="shared" si="24"/>
        <v>30247.489755751125</v>
      </c>
      <c r="J546" s="14" t="s">
        <v>601</v>
      </c>
      <c r="K546" s="14" t="s">
        <v>602</v>
      </c>
      <c r="L546" s="14" t="s">
        <v>140</v>
      </c>
      <c r="M546" s="8" t="str">
        <f t="shared" si="25"/>
        <v>2026-06</v>
      </c>
      <c r="N546" s="8" t="str">
        <f t="shared" si="26"/>
        <v>OK</v>
      </c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 spans="1:52">
      <c r="A547" s="14" t="s">
        <v>600</v>
      </c>
      <c r="B547" s="26">
        <v>46178</v>
      </c>
      <c r="C547" s="14" t="s">
        <v>63</v>
      </c>
      <c r="D547" s="27" t="str">
        <f>IFERROR(VLOOKUP(C547,'Chart of Accounts'!$A$4:$F$30,2,FALSE),"")</f>
        <v>Inventory</v>
      </c>
      <c r="E547" s="27" t="str">
        <f>IFERROR(VLOOKUP(C547,'Chart of Accounts'!$A$4:$F$30,4,FALSE),"")</f>
        <v>Inventory</v>
      </c>
      <c r="F547" s="27" t="str">
        <f>IFERROR(VLOOKUP(C547,'Chart of Accounts'!$A$4:$F$30,5,FALSE),"")</f>
        <v>BS</v>
      </c>
      <c r="G547" s="15">
        <v>0</v>
      </c>
      <c r="H547" s="15">
        <v>30247.489755751125</v>
      </c>
      <c r="I547" s="10">
        <f t="shared" si="24"/>
        <v>-30247.489755751125</v>
      </c>
      <c r="J547" s="14" t="s">
        <v>601</v>
      </c>
      <c r="K547" s="14" t="s">
        <v>602</v>
      </c>
      <c r="L547" s="14" t="s">
        <v>140</v>
      </c>
      <c r="M547" s="8" t="str">
        <f t="shared" si="25"/>
        <v>2026-06</v>
      </c>
      <c r="N547" s="8" t="str">
        <f t="shared" si="26"/>
        <v>OK</v>
      </c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 spans="1:52">
      <c r="A548" s="14" t="s">
        <v>603</v>
      </c>
      <c r="B548" s="26">
        <v>46184</v>
      </c>
      <c r="C548" s="14" t="s">
        <v>58</v>
      </c>
      <c r="D548" s="27" t="str">
        <f>IFERROR(VLOOKUP(C548,'Chart of Accounts'!$A$4:$F$30,2,FALSE),"")</f>
        <v>Trade Receivables</v>
      </c>
      <c r="E548" s="27" t="str">
        <f>IFERROR(VLOOKUP(C548,'Chart of Accounts'!$A$4:$F$30,4,FALSE),"")</f>
        <v>Trade Receivables</v>
      </c>
      <c r="F548" s="27" t="str">
        <f>IFERROR(VLOOKUP(C548,'Chart of Accounts'!$A$4:$F$30,5,FALSE),"")</f>
        <v>BS</v>
      </c>
      <c r="G548" s="15">
        <v>83681.556292725028</v>
      </c>
      <c r="H548" s="15">
        <v>0</v>
      </c>
      <c r="I548" s="10">
        <f t="shared" si="24"/>
        <v>83681.556292725028</v>
      </c>
      <c r="J548" s="14" t="s">
        <v>604</v>
      </c>
      <c r="K548" s="14" t="s">
        <v>167</v>
      </c>
      <c r="L548" s="14" t="s">
        <v>140</v>
      </c>
      <c r="M548" s="8" t="str">
        <f t="shared" si="25"/>
        <v>2026-06</v>
      </c>
      <c r="N548" s="8" t="str">
        <f t="shared" si="26"/>
        <v>OK</v>
      </c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 spans="1:52">
      <c r="A549" s="14" t="s">
        <v>603</v>
      </c>
      <c r="B549" s="26">
        <v>46184</v>
      </c>
      <c r="C549" s="14" t="s">
        <v>86</v>
      </c>
      <c r="D549" s="27" t="str">
        <f>IFERROR(VLOOKUP(C549,'Chart of Accounts'!$A$4:$F$30,2,FALSE),"")</f>
        <v>Product Sales</v>
      </c>
      <c r="E549" s="27" t="str">
        <f>IFERROR(VLOOKUP(C549,'Chart of Accounts'!$A$4:$F$30,4,FALSE),"")</f>
        <v>Revenue</v>
      </c>
      <c r="F549" s="27" t="str">
        <f>IFERROR(VLOOKUP(C549,'Chart of Accounts'!$A$4:$F$30,5,FALSE),"")</f>
        <v>PL</v>
      </c>
      <c r="G549" s="15">
        <v>0</v>
      </c>
      <c r="H549" s="15">
        <v>83681.556292725028</v>
      </c>
      <c r="I549" s="10">
        <f t="shared" si="24"/>
        <v>-83681.556292725028</v>
      </c>
      <c r="J549" s="14" t="s">
        <v>604</v>
      </c>
      <c r="K549" s="14" t="s">
        <v>167</v>
      </c>
      <c r="L549" s="14" t="s">
        <v>140</v>
      </c>
      <c r="M549" s="8" t="str">
        <f t="shared" si="25"/>
        <v>2026-06</v>
      </c>
      <c r="N549" s="8" t="str">
        <f t="shared" si="26"/>
        <v>OK</v>
      </c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 spans="1:52">
      <c r="A550" s="14" t="s">
        <v>603</v>
      </c>
      <c r="B550" s="26">
        <v>46184</v>
      </c>
      <c r="C550" s="14" t="s">
        <v>90</v>
      </c>
      <c r="D550" s="27" t="str">
        <f>IFERROR(VLOOKUP(C550,'Chart of Accounts'!$A$4:$F$30,2,FALSE),"")</f>
        <v>Cost of Goods Sold</v>
      </c>
      <c r="E550" s="27" t="str">
        <f>IFERROR(VLOOKUP(C550,'Chart of Accounts'!$A$4:$F$30,4,FALSE),"")</f>
        <v>COGS</v>
      </c>
      <c r="F550" s="27" t="str">
        <f>IFERROR(VLOOKUP(C550,'Chart of Accounts'!$A$4:$F$30,5,FALSE),"")</f>
        <v>PL</v>
      </c>
      <c r="G550" s="15">
        <v>45941.174404706035</v>
      </c>
      <c r="H550" s="15">
        <v>0</v>
      </c>
      <c r="I550" s="10">
        <f t="shared" si="24"/>
        <v>45941.174404706035</v>
      </c>
      <c r="J550" s="14" t="s">
        <v>604</v>
      </c>
      <c r="K550" s="14" t="s">
        <v>167</v>
      </c>
      <c r="L550" s="14" t="s">
        <v>140</v>
      </c>
      <c r="M550" s="8" t="str">
        <f t="shared" si="25"/>
        <v>2026-06</v>
      </c>
      <c r="N550" s="8" t="str">
        <f t="shared" si="26"/>
        <v>OK</v>
      </c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 spans="1:52">
      <c r="A551" s="14" t="s">
        <v>603</v>
      </c>
      <c r="B551" s="26">
        <v>46184</v>
      </c>
      <c r="C551" s="14" t="s">
        <v>63</v>
      </c>
      <c r="D551" s="27" t="str">
        <f>IFERROR(VLOOKUP(C551,'Chart of Accounts'!$A$4:$F$30,2,FALSE),"")</f>
        <v>Inventory</v>
      </c>
      <c r="E551" s="27" t="str">
        <f>IFERROR(VLOOKUP(C551,'Chart of Accounts'!$A$4:$F$30,4,FALSE),"")</f>
        <v>Inventory</v>
      </c>
      <c r="F551" s="27" t="str">
        <f>IFERROR(VLOOKUP(C551,'Chart of Accounts'!$A$4:$F$30,5,FALSE),"")</f>
        <v>BS</v>
      </c>
      <c r="G551" s="15">
        <v>0</v>
      </c>
      <c r="H551" s="15">
        <v>45941.174404706035</v>
      </c>
      <c r="I551" s="10">
        <f t="shared" si="24"/>
        <v>-45941.174404706035</v>
      </c>
      <c r="J551" s="14" t="s">
        <v>604</v>
      </c>
      <c r="K551" s="14" t="s">
        <v>167</v>
      </c>
      <c r="L551" s="14" t="s">
        <v>140</v>
      </c>
      <c r="M551" s="8" t="str">
        <f t="shared" si="25"/>
        <v>2026-06</v>
      </c>
      <c r="N551" s="8" t="str">
        <f t="shared" si="26"/>
        <v>OK</v>
      </c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 spans="1:52">
      <c r="A552" s="14" t="s">
        <v>605</v>
      </c>
      <c r="B552" s="26">
        <v>46188</v>
      </c>
      <c r="C552" s="14" t="s">
        <v>58</v>
      </c>
      <c r="D552" s="27" t="str">
        <f>IFERROR(VLOOKUP(C552,'Chart of Accounts'!$A$4:$F$30,2,FALSE),"")</f>
        <v>Trade Receivables</v>
      </c>
      <c r="E552" s="27" t="str">
        <f>IFERROR(VLOOKUP(C552,'Chart of Accounts'!$A$4:$F$30,4,FALSE),"")</f>
        <v>Trade Receivables</v>
      </c>
      <c r="F552" s="27" t="str">
        <f>IFERROR(VLOOKUP(C552,'Chart of Accounts'!$A$4:$F$30,5,FALSE),"")</f>
        <v>BS</v>
      </c>
      <c r="G552" s="15">
        <v>66514.62956934204</v>
      </c>
      <c r="H552" s="15">
        <v>0</v>
      </c>
      <c r="I552" s="10">
        <f t="shared" si="24"/>
        <v>66514.62956934204</v>
      </c>
      <c r="J552" s="14" t="s">
        <v>606</v>
      </c>
      <c r="K552" s="14" t="s">
        <v>146</v>
      </c>
      <c r="L552" s="14" t="s">
        <v>140</v>
      </c>
      <c r="M552" s="8" t="str">
        <f t="shared" si="25"/>
        <v>2026-06</v>
      </c>
      <c r="N552" s="8" t="str">
        <f t="shared" si="26"/>
        <v>OK</v>
      </c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 spans="1:52">
      <c r="A553" s="14" t="s">
        <v>605</v>
      </c>
      <c r="B553" s="26">
        <v>46188</v>
      </c>
      <c r="C553" s="14" t="s">
        <v>86</v>
      </c>
      <c r="D553" s="27" t="str">
        <f>IFERROR(VLOOKUP(C553,'Chart of Accounts'!$A$4:$F$30,2,FALSE),"")</f>
        <v>Product Sales</v>
      </c>
      <c r="E553" s="27" t="str">
        <f>IFERROR(VLOOKUP(C553,'Chart of Accounts'!$A$4:$F$30,4,FALSE),"")</f>
        <v>Revenue</v>
      </c>
      <c r="F553" s="27" t="str">
        <f>IFERROR(VLOOKUP(C553,'Chart of Accounts'!$A$4:$F$30,5,FALSE),"")</f>
        <v>PL</v>
      </c>
      <c r="G553" s="15">
        <v>0</v>
      </c>
      <c r="H553" s="15">
        <v>66514.62956934204</v>
      </c>
      <c r="I553" s="10">
        <f t="shared" si="24"/>
        <v>-66514.62956934204</v>
      </c>
      <c r="J553" s="14" t="s">
        <v>606</v>
      </c>
      <c r="K553" s="14" t="s">
        <v>146</v>
      </c>
      <c r="L553" s="14" t="s">
        <v>140</v>
      </c>
      <c r="M553" s="8" t="str">
        <f t="shared" si="25"/>
        <v>2026-06</v>
      </c>
      <c r="N553" s="8" t="str">
        <f t="shared" si="26"/>
        <v>OK</v>
      </c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 spans="1:52">
      <c r="A554" s="14" t="s">
        <v>605</v>
      </c>
      <c r="B554" s="26">
        <v>46188</v>
      </c>
      <c r="C554" s="14" t="s">
        <v>90</v>
      </c>
      <c r="D554" s="27" t="str">
        <f>IFERROR(VLOOKUP(C554,'Chart of Accounts'!$A$4:$F$30,2,FALSE),"")</f>
        <v>Cost of Goods Sold</v>
      </c>
      <c r="E554" s="27" t="str">
        <f>IFERROR(VLOOKUP(C554,'Chart of Accounts'!$A$4:$F$30,4,FALSE),"")</f>
        <v>COGS</v>
      </c>
      <c r="F554" s="27" t="str">
        <f>IFERROR(VLOOKUP(C554,'Chart of Accounts'!$A$4:$F$30,5,FALSE),"")</f>
        <v>PL</v>
      </c>
      <c r="G554" s="15">
        <v>36516.531633568775</v>
      </c>
      <c r="H554" s="15">
        <v>0</v>
      </c>
      <c r="I554" s="10">
        <f t="shared" si="24"/>
        <v>36516.531633568775</v>
      </c>
      <c r="J554" s="14" t="s">
        <v>606</v>
      </c>
      <c r="K554" s="14" t="s">
        <v>146</v>
      </c>
      <c r="L554" s="14" t="s">
        <v>140</v>
      </c>
      <c r="M554" s="8" t="str">
        <f t="shared" si="25"/>
        <v>2026-06</v>
      </c>
      <c r="N554" s="8" t="str">
        <f t="shared" si="26"/>
        <v>OK</v>
      </c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 spans="1:52">
      <c r="A555" s="14" t="s">
        <v>605</v>
      </c>
      <c r="B555" s="26">
        <v>46188</v>
      </c>
      <c r="C555" s="14" t="s">
        <v>63</v>
      </c>
      <c r="D555" s="27" t="str">
        <f>IFERROR(VLOOKUP(C555,'Chart of Accounts'!$A$4:$F$30,2,FALSE),"")</f>
        <v>Inventory</v>
      </c>
      <c r="E555" s="27" t="str">
        <f>IFERROR(VLOOKUP(C555,'Chart of Accounts'!$A$4:$F$30,4,FALSE),"")</f>
        <v>Inventory</v>
      </c>
      <c r="F555" s="27" t="str">
        <f>IFERROR(VLOOKUP(C555,'Chart of Accounts'!$A$4:$F$30,5,FALSE),"")</f>
        <v>BS</v>
      </c>
      <c r="G555" s="15">
        <v>0</v>
      </c>
      <c r="H555" s="15">
        <v>36516.531633568775</v>
      </c>
      <c r="I555" s="10">
        <f t="shared" si="24"/>
        <v>-36516.531633568775</v>
      </c>
      <c r="J555" s="14" t="s">
        <v>606</v>
      </c>
      <c r="K555" s="14" t="s">
        <v>146</v>
      </c>
      <c r="L555" s="14" t="s">
        <v>140</v>
      </c>
      <c r="M555" s="8" t="str">
        <f t="shared" si="25"/>
        <v>2026-06</v>
      </c>
      <c r="N555" s="8" t="str">
        <f t="shared" si="26"/>
        <v>OK</v>
      </c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 spans="1:52">
      <c r="A556" s="14" t="s">
        <v>607</v>
      </c>
      <c r="B556" s="26">
        <v>46195</v>
      </c>
      <c r="C556" s="14" t="s">
        <v>58</v>
      </c>
      <c r="D556" s="27" t="str">
        <f>IFERROR(VLOOKUP(C556,'Chart of Accounts'!$A$4:$F$30,2,FALSE),"")</f>
        <v>Trade Receivables</v>
      </c>
      <c r="E556" s="27" t="str">
        <f>IFERROR(VLOOKUP(C556,'Chart of Accounts'!$A$4:$F$30,4,FALSE),"")</f>
        <v>Trade Receivables</v>
      </c>
      <c r="F556" s="27" t="str">
        <f>IFERROR(VLOOKUP(C556,'Chart of Accounts'!$A$4:$F$30,5,FALSE),"")</f>
        <v>BS</v>
      </c>
      <c r="G556" s="15">
        <v>90933.031648965145</v>
      </c>
      <c r="H556" s="15">
        <v>0</v>
      </c>
      <c r="I556" s="10">
        <f t="shared" si="24"/>
        <v>90933.031648965145</v>
      </c>
      <c r="J556" s="14" t="s">
        <v>608</v>
      </c>
      <c r="K556" s="14" t="s">
        <v>442</v>
      </c>
      <c r="L556" s="14" t="s">
        <v>140</v>
      </c>
      <c r="M556" s="8" t="str">
        <f t="shared" si="25"/>
        <v>2026-06</v>
      </c>
      <c r="N556" s="8" t="str">
        <f t="shared" si="26"/>
        <v>OK</v>
      </c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 spans="1:52">
      <c r="A557" s="14" t="s">
        <v>607</v>
      </c>
      <c r="B557" s="26">
        <v>46195</v>
      </c>
      <c r="C557" s="14" t="s">
        <v>86</v>
      </c>
      <c r="D557" s="27" t="str">
        <f>IFERROR(VLOOKUP(C557,'Chart of Accounts'!$A$4:$F$30,2,FALSE),"")</f>
        <v>Product Sales</v>
      </c>
      <c r="E557" s="27" t="str">
        <f>IFERROR(VLOOKUP(C557,'Chart of Accounts'!$A$4:$F$30,4,FALSE),"")</f>
        <v>Revenue</v>
      </c>
      <c r="F557" s="27" t="str">
        <f>IFERROR(VLOOKUP(C557,'Chart of Accounts'!$A$4:$F$30,5,FALSE),"")</f>
        <v>PL</v>
      </c>
      <c r="G557" s="15">
        <v>0</v>
      </c>
      <c r="H557" s="15">
        <v>90933.031648965145</v>
      </c>
      <c r="I557" s="10">
        <f t="shared" si="24"/>
        <v>-90933.031648965145</v>
      </c>
      <c r="J557" s="14" t="s">
        <v>608</v>
      </c>
      <c r="K557" s="14" t="s">
        <v>442</v>
      </c>
      <c r="L557" s="14" t="s">
        <v>140</v>
      </c>
      <c r="M557" s="8" t="str">
        <f t="shared" si="25"/>
        <v>2026-06</v>
      </c>
      <c r="N557" s="8" t="str">
        <f t="shared" si="26"/>
        <v>OK</v>
      </c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 spans="1:52">
      <c r="A558" s="14" t="s">
        <v>607</v>
      </c>
      <c r="B558" s="26">
        <v>46195</v>
      </c>
      <c r="C558" s="14" t="s">
        <v>90</v>
      </c>
      <c r="D558" s="27" t="str">
        <f>IFERROR(VLOOKUP(C558,'Chart of Accounts'!$A$4:$F$30,2,FALSE),"")</f>
        <v>Cost of Goods Sold</v>
      </c>
      <c r="E558" s="27" t="str">
        <f>IFERROR(VLOOKUP(C558,'Chart of Accounts'!$A$4:$F$30,4,FALSE),"")</f>
        <v>COGS</v>
      </c>
      <c r="F558" s="27" t="str">
        <f>IFERROR(VLOOKUP(C558,'Chart of Accounts'!$A$4:$F$30,5,FALSE),"")</f>
        <v>PL</v>
      </c>
      <c r="G558" s="15">
        <v>49922.234375281849</v>
      </c>
      <c r="H558" s="15">
        <v>0</v>
      </c>
      <c r="I558" s="10">
        <f t="shared" si="24"/>
        <v>49922.234375281849</v>
      </c>
      <c r="J558" s="14" t="s">
        <v>608</v>
      </c>
      <c r="K558" s="14" t="s">
        <v>442</v>
      </c>
      <c r="L558" s="14" t="s">
        <v>140</v>
      </c>
      <c r="M558" s="8" t="str">
        <f t="shared" si="25"/>
        <v>2026-06</v>
      </c>
      <c r="N558" s="8" t="str">
        <f t="shared" si="26"/>
        <v>OK</v>
      </c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 spans="1:52">
      <c r="A559" s="14" t="s">
        <v>607</v>
      </c>
      <c r="B559" s="26">
        <v>46195</v>
      </c>
      <c r="C559" s="14" t="s">
        <v>63</v>
      </c>
      <c r="D559" s="27" t="str">
        <f>IFERROR(VLOOKUP(C559,'Chart of Accounts'!$A$4:$F$30,2,FALSE),"")</f>
        <v>Inventory</v>
      </c>
      <c r="E559" s="27" t="str">
        <f>IFERROR(VLOOKUP(C559,'Chart of Accounts'!$A$4:$F$30,4,FALSE),"")</f>
        <v>Inventory</v>
      </c>
      <c r="F559" s="27" t="str">
        <f>IFERROR(VLOOKUP(C559,'Chart of Accounts'!$A$4:$F$30,5,FALSE),"")</f>
        <v>BS</v>
      </c>
      <c r="G559" s="15">
        <v>0</v>
      </c>
      <c r="H559" s="15">
        <v>49922.234375281849</v>
      </c>
      <c r="I559" s="10">
        <f t="shared" si="24"/>
        <v>-49922.234375281849</v>
      </c>
      <c r="J559" s="14" t="s">
        <v>608</v>
      </c>
      <c r="K559" s="14" t="s">
        <v>442</v>
      </c>
      <c r="L559" s="14" t="s">
        <v>140</v>
      </c>
      <c r="M559" s="8" t="str">
        <f t="shared" si="25"/>
        <v>2026-06</v>
      </c>
      <c r="N559" s="8" t="str">
        <f t="shared" si="26"/>
        <v>OK</v>
      </c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 spans="1:52">
      <c r="A560" s="14" t="s">
        <v>609</v>
      </c>
      <c r="B560" s="26">
        <v>46192</v>
      </c>
      <c r="C560" s="14" t="s">
        <v>58</v>
      </c>
      <c r="D560" s="27" t="str">
        <f>IFERROR(VLOOKUP(C560,'Chart of Accounts'!$A$4:$F$30,2,FALSE),"")</f>
        <v>Trade Receivables</v>
      </c>
      <c r="E560" s="27" t="str">
        <f>IFERROR(VLOOKUP(C560,'Chart of Accounts'!$A$4:$F$30,4,FALSE),"")</f>
        <v>Trade Receivables</v>
      </c>
      <c r="F560" s="27" t="str">
        <f>IFERROR(VLOOKUP(C560,'Chart of Accounts'!$A$4:$F$30,5,FALSE),"")</f>
        <v>BS</v>
      </c>
      <c r="G560" s="15">
        <v>103717.05272417604</v>
      </c>
      <c r="H560" s="15">
        <v>0</v>
      </c>
      <c r="I560" s="10">
        <f t="shared" si="24"/>
        <v>103717.05272417604</v>
      </c>
      <c r="J560" s="14" t="s">
        <v>610</v>
      </c>
      <c r="K560" s="14" t="s">
        <v>347</v>
      </c>
      <c r="L560" s="14" t="s">
        <v>140</v>
      </c>
      <c r="M560" s="8" t="str">
        <f t="shared" si="25"/>
        <v>2026-06</v>
      </c>
      <c r="N560" s="8" t="str">
        <f t="shared" si="26"/>
        <v>OK</v>
      </c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 spans="1:52">
      <c r="A561" s="14" t="s">
        <v>609</v>
      </c>
      <c r="B561" s="26">
        <v>46192</v>
      </c>
      <c r="C561" s="14" t="s">
        <v>86</v>
      </c>
      <c r="D561" s="27" t="str">
        <f>IFERROR(VLOOKUP(C561,'Chart of Accounts'!$A$4:$F$30,2,FALSE),"")</f>
        <v>Product Sales</v>
      </c>
      <c r="E561" s="27" t="str">
        <f>IFERROR(VLOOKUP(C561,'Chart of Accounts'!$A$4:$F$30,4,FALSE),"")</f>
        <v>Revenue</v>
      </c>
      <c r="F561" s="27" t="str">
        <f>IFERROR(VLOOKUP(C561,'Chart of Accounts'!$A$4:$F$30,5,FALSE),"")</f>
        <v>PL</v>
      </c>
      <c r="G561" s="15">
        <v>0</v>
      </c>
      <c r="H561" s="15">
        <v>103717.05272417604</v>
      </c>
      <c r="I561" s="10">
        <f t="shared" si="24"/>
        <v>-103717.05272417604</v>
      </c>
      <c r="J561" s="14" t="s">
        <v>610</v>
      </c>
      <c r="K561" s="14" t="s">
        <v>347</v>
      </c>
      <c r="L561" s="14" t="s">
        <v>140</v>
      </c>
      <c r="M561" s="8" t="str">
        <f t="shared" si="25"/>
        <v>2026-06</v>
      </c>
      <c r="N561" s="8" t="str">
        <f t="shared" si="26"/>
        <v>OK</v>
      </c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 spans="1:52">
      <c r="A562" s="14" t="s">
        <v>609</v>
      </c>
      <c r="B562" s="26">
        <v>46192</v>
      </c>
      <c r="C562" s="14" t="s">
        <v>90</v>
      </c>
      <c r="D562" s="27" t="str">
        <f>IFERROR(VLOOKUP(C562,'Chart of Accounts'!$A$4:$F$30,2,FALSE),"")</f>
        <v>Cost of Goods Sold</v>
      </c>
      <c r="E562" s="27" t="str">
        <f>IFERROR(VLOOKUP(C562,'Chart of Accounts'!$A$4:$F$30,4,FALSE),"")</f>
        <v>COGS</v>
      </c>
      <c r="F562" s="27" t="str">
        <f>IFERROR(VLOOKUP(C562,'Chart of Accounts'!$A$4:$F$30,5,FALSE),"")</f>
        <v>PL</v>
      </c>
      <c r="G562" s="15">
        <v>56940.66194557264</v>
      </c>
      <c r="H562" s="15">
        <v>0</v>
      </c>
      <c r="I562" s="10">
        <f t="shared" si="24"/>
        <v>56940.66194557264</v>
      </c>
      <c r="J562" s="14" t="s">
        <v>610</v>
      </c>
      <c r="K562" s="14" t="s">
        <v>347</v>
      </c>
      <c r="L562" s="14" t="s">
        <v>140</v>
      </c>
      <c r="M562" s="8" t="str">
        <f t="shared" si="25"/>
        <v>2026-06</v>
      </c>
      <c r="N562" s="8" t="str">
        <f t="shared" si="26"/>
        <v>OK</v>
      </c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 spans="1:52">
      <c r="A563" s="14" t="s">
        <v>609</v>
      </c>
      <c r="B563" s="26">
        <v>46192</v>
      </c>
      <c r="C563" s="14" t="s">
        <v>63</v>
      </c>
      <c r="D563" s="27" t="str">
        <f>IFERROR(VLOOKUP(C563,'Chart of Accounts'!$A$4:$F$30,2,FALSE),"")</f>
        <v>Inventory</v>
      </c>
      <c r="E563" s="27" t="str">
        <f>IFERROR(VLOOKUP(C563,'Chart of Accounts'!$A$4:$F$30,4,FALSE),"")</f>
        <v>Inventory</v>
      </c>
      <c r="F563" s="27" t="str">
        <f>IFERROR(VLOOKUP(C563,'Chart of Accounts'!$A$4:$F$30,5,FALSE),"")</f>
        <v>BS</v>
      </c>
      <c r="G563" s="15">
        <v>0</v>
      </c>
      <c r="H563" s="15">
        <v>56940.66194557264</v>
      </c>
      <c r="I563" s="10">
        <f t="shared" si="24"/>
        <v>-56940.66194557264</v>
      </c>
      <c r="J563" s="14" t="s">
        <v>610</v>
      </c>
      <c r="K563" s="14" t="s">
        <v>347</v>
      </c>
      <c r="L563" s="14" t="s">
        <v>140</v>
      </c>
      <c r="M563" s="8" t="str">
        <f t="shared" si="25"/>
        <v>2026-06</v>
      </c>
      <c r="N563" s="8" t="str">
        <f t="shared" si="26"/>
        <v>OK</v>
      </c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 spans="1:52">
      <c r="A564" s="14" t="s">
        <v>611</v>
      </c>
      <c r="B564" s="26">
        <v>46180</v>
      </c>
      <c r="C564" s="14" t="s">
        <v>58</v>
      </c>
      <c r="D564" s="27" t="str">
        <f>IFERROR(VLOOKUP(C564,'Chart of Accounts'!$A$4:$F$30,2,FALSE),"")</f>
        <v>Trade Receivables</v>
      </c>
      <c r="E564" s="27" t="str">
        <f>IFERROR(VLOOKUP(C564,'Chart of Accounts'!$A$4:$F$30,4,FALSE),"")</f>
        <v>Trade Receivables</v>
      </c>
      <c r="F564" s="27" t="str">
        <f>IFERROR(VLOOKUP(C564,'Chart of Accounts'!$A$4:$F$30,5,FALSE),"")</f>
        <v>BS</v>
      </c>
      <c r="G564" s="15">
        <v>81763.343793107822</v>
      </c>
      <c r="H564" s="15">
        <v>0</v>
      </c>
      <c r="I564" s="10">
        <f t="shared" si="24"/>
        <v>81763.343793107822</v>
      </c>
      <c r="J564" s="14" t="s">
        <v>612</v>
      </c>
      <c r="K564" s="14" t="s">
        <v>277</v>
      </c>
      <c r="L564" s="14" t="s">
        <v>140</v>
      </c>
      <c r="M564" s="8" t="str">
        <f t="shared" si="25"/>
        <v>2026-06</v>
      </c>
      <c r="N564" s="8" t="str">
        <f t="shared" si="26"/>
        <v>OK</v>
      </c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 spans="1:52">
      <c r="A565" s="14" t="s">
        <v>611</v>
      </c>
      <c r="B565" s="26">
        <v>46180</v>
      </c>
      <c r="C565" s="14" t="s">
        <v>86</v>
      </c>
      <c r="D565" s="27" t="str">
        <f>IFERROR(VLOOKUP(C565,'Chart of Accounts'!$A$4:$F$30,2,FALSE),"")</f>
        <v>Product Sales</v>
      </c>
      <c r="E565" s="27" t="str">
        <f>IFERROR(VLOOKUP(C565,'Chart of Accounts'!$A$4:$F$30,4,FALSE),"")</f>
        <v>Revenue</v>
      </c>
      <c r="F565" s="27" t="str">
        <f>IFERROR(VLOOKUP(C565,'Chart of Accounts'!$A$4:$F$30,5,FALSE),"")</f>
        <v>PL</v>
      </c>
      <c r="G565" s="15">
        <v>0</v>
      </c>
      <c r="H565" s="15">
        <v>81763.343793107822</v>
      </c>
      <c r="I565" s="10">
        <f t="shared" si="24"/>
        <v>-81763.343793107822</v>
      </c>
      <c r="J565" s="14" t="s">
        <v>612</v>
      </c>
      <c r="K565" s="14" t="s">
        <v>277</v>
      </c>
      <c r="L565" s="14" t="s">
        <v>140</v>
      </c>
      <c r="M565" s="8" t="str">
        <f t="shared" si="25"/>
        <v>2026-06</v>
      </c>
      <c r="N565" s="8" t="str">
        <f t="shared" si="26"/>
        <v>OK</v>
      </c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 spans="1:52">
      <c r="A566" s="14" t="s">
        <v>611</v>
      </c>
      <c r="B566" s="26">
        <v>46180</v>
      </c>
      <c r="C566" s="14" t="s">
        <v>90</v>
      </c>
      <c r="D566" s="27" t="str">
        <f>IFERROR(VLOOKUP(C566,'Chart of Accounts'!$A$4:$F$30,2,FALSE),"")</f>
        <v>Cost of Goods Sold</v>
      </c>
      <c r="E566" s="27" t="str">
        <f>IFERROR(VLOOKUP(C566,'Chart of Accounts'!$A$4:$F$30,4,FALSE),"")</f>
        <v>COGS</v>
      </c>
      <c r="F566" s="27" t="str">
        <f>IFERROR(VLOOKUP(C566,'Chart of Accounts'!$A$4:$F$30,5,FALSE),"")</f>
        <v>PL</v>
      </c>
      <c r="G566" s="15">
        <v>44888.075742416193</v>
      </c>
      <c r="H566" s="15">
        <v>0</v>
      </c>
      <c r="I566" s="10">
        <f t="shared" si="24"/>
        <v>44888.075742416193</v>
      </c>
      <c r="J566" s="14" t="s">
        <v>612</v>
      </c>
      <c r="K566" s="14" t="s">
        <v>277</v>
      </c>
      <c r="L566" s="14" t="s">
        <v>140</v>
      </c>
      <c r="M566" s="8" t="str">
        <f t="shared" si="25"/>
        <v>2026-06</v>
      </c>
      <c r="N566" s="8" t="str">
        <f t="shared" si="26"/>
        <v>OK</v>
      </c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 spans="1:52">
      <c r="A567" s="14" t="s">
        <v>611</v>
      </c>
      <c r="B567" s="26">
        <v>46180</v>
      </c>
      <c r="C567" s="14" t="s">
        <v>63</v>
      </c>
      <c r="D567" s="27" t="str">
        <f>IFERROR(VLOOKUP(C567,'Chart of Accounts'!$A$4:$F$30,2,FALSE),"")</f>
        <v>Inventory</v>
      </c>
      <c r="E567" s="27" t="str">
        <f>IFERROR(VLOOKUP(C567,'Chart of Accounts'!$A$4:$F$30,4,FALSE),"")</f>
        <v>Inventory</v>
      </c>
      <c r="F567" s="27" t="str">
        <f>IFERROR(VLOOKUP(C567,'Chart of Accounts'!$A$4:$F$30,5,FALSE),"")</f>
        <v>BS</v>
      </c>
      <c r="G567" s="15">
        <v>0</v>
      </c>
      <c r="H567" s="15">
        <v>44888.075742416193</v>
      </c>
      <c r="I567" s="10">
        <f t="shared" si="24"/>
        <v>-44888.075742416193</v>
      </c>
      <c r="J567" s="14" t="s">
        <v>612</v>
      </c>
      <c r="K567" s="14" t="s">
        <v>277</v>
      </c>
      <c r="L567" s="14" t="s">
        <v>140</v>
      </c>
      <c r="M567" s="8" t="str">
        <f t="shared" si="25"/>
        <v>2026-06</v>
      </c>
      <c r="N567" s="8" t="str">
        <f t="shared" si="26"/>
        <v>OK</v>
      </c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 spans="1:52">
      <c r="A568" s="14" t="s">
        <v>613</v>
      </c>
      <c r="B568" s="26">
        <v>46194</v>
      </c>
      <c r="C568" s="14" t="s">
        <v>58</v>
      </c>
      <c r="D568" s="27" t="str">
        <f>IFERROR(VLOOKUP(C568,'Chart of Accounts'!$A$4:$F$30,2,FALSE),"")</f>
        <v>Trade Receivables</v>
      </c>
      <c r="E568" s="27" t="str">
        <f>IFERROR(VLOOKUP(C568,'Chart of Accounts'!$A$4:$F$30,4,FALSE),"")</f>
        <v>Trade Receivables</v>
      </c>
      <c r="F568" s="27" t="str">
        <f>IFERROR(VLOOKUP(C568,'Chart of Accounts'!$A$4:$F$30,5,FALSE),"")</f>
        <v>BS</v>
      </c>
      <c r="G568" s="15">
        <v>102401.08509131764</v>
      </c>
      <c r="H568" s="15">
        <v>0</v>
      </c>
      <c r="I568" s="10">
        <f t="shared" si="24"/>
        <v>102401.08509131764</v>
      </c>
      <c r="J568" s="14" t="s">
        <v>614</v>
      </c>
      <c r="K568" s="14" t="s">
        <v>450</v>
      </c>
      <c r="L568" s="14" t="s">
        <v>140</v>
      </c>
      <c r="M568" s="8" t="str">
        <f t="shared" si="25"/>
        <v>2026-06</v>
      </c>
      <c r="N568" s="8" t="str">
        <f t="shared" si="26"/>
        <v>OK</v>
      </c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 spans="1:52">
      <c r="A569" s="14" t="s">
        <v>613</v>
      </c>
      <c r="B569" s="26">
        <v>46194</v>
      </c>
      <c r="C569" s="14" t="s">
        <v>86</v>
      </c>
      <c r="D569" s="27" t="str">
        <f>IFERROR(VLOOKUP(C569,'Chart of Accounts'!$A$4:$F$30,2,FALSE),"")</f>
        <v>Product Sales</v>
      </c>
      <c r="E569" s="27" t="str">
        <f>IFERROR(VLOOKUP(C569,'Chart of Accounts'!$A$4:$F$30,4,FALSE),"")</f>
        <v>Revenue</v>
      </c>
      <c r="F569" s="27" t="str">
        <f>IFERROR(VLOOKUP(C569,'Chart of Accounts'!$A$4:$F$30,5,FALSE),"")</f>
        <v>PL</v>
      </c>
      <c r="G569" s="15">
        <v>0</v>
      </c>
      <c r="H569" s="15">
        <v>102401.08509131764</v>
      </c>
      <c r="I569" s="10">
        <f t="shared" si="24"/>
        <v>-102401.08509131764</v>
      </c>
      <c r="J569" s="14" t="s">
        <v>614</v>
      </c>
      <c r="K569" s="14" t="s">
        <v>450</v>
      </c>
      <c r="L569" s="14" t="s">
        <v>140</v>
      </c>
      <c r="M569" s="8" t="str">
        <f t="shared" si="25"/>
        <v>2026-06</v>
      </c>
      <c r="N569" s="8" t="str">
        <f t="shared" si="26"/>
        <v>OK</v>
      </c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 spans="1:52">
      <c r="A570" s="14" t="s">
        <v>613</v>
      </c>
      <c r="B570" s="26">
        <v>46194</v>
      </c>
      <c r="C570" s="14" t="s">
        <v>90</v>
      </c>
      <c r="D570" s="27" t="str">
        <f>IFERROR(VLOOKUP(C570,'Chart of Accounts'!$A$4:$F$30,2,FALSE),"")</f>
        <v>Cost of Goods Sold</v>
      </c>
      <c r="E570" s="27" t="str">
        <f>IFERROR(VLOOKUP(C570,'Chart of Accounts'!$A$4:$F$30,4,FALSE),"")</f>
        <v>COGS</v>
      </c>
      <c r="F570" s="27" t="str">
        <f>IFERROR(VLOOKUP(C570,'Chart of Accounts'!$A$4:$F$30,5,FALSE),"")</f>
        <v>PL</v>
      </c>
      <c r="G570" s="15">
        <v>56218.19571513337</v>
      </c>
      <c r="H570" s="15">
        <v>0</v>
      </c>
      <c r="I570" s="10">
        <f t="shared" si="24"/>
        <v>56218.19571513337</v>
      </c>
      <c r="J570" s="14" t="s">
        <v>614</v>
      </c>
      <c r="K570" s="14" t="s">
        <v>450</v>
      </c>
      <c r="L570" s="14" t="s">
        <v>140</v>
      </c>
      <c r="M570" s="8" t="str">
        <f t="shared" si="25"/>
        <v>2026-06</v>
      </c>
      <c r="N570" s="8" t="str">
        <f t="shared" si="26"/>
        <v>OK</v>
      </c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 spans="1:52">
      <c r="A571" s="14" t="s">
        <v>613</v>
      </c>
      <c r="B571" s="26">
        <v>46194</v>
      </c>
      <c r="C571" s="14" t="s">
        <v>63</v>
      </c>
      <c r="D571" s="27" t="str">
        <f>IFERROR(VLOOKUP(C571,'Chart of Accounts'!$A$4:$F$30,2,FALSE),"")</f>
        <v>Inventory</v>
      </c>
      <c r="E571" s="27" t="str">
        <f>IFERROR(VLOOKUP(C571,'Chart of Accounts'!$A$4:$F$30,4,FALSE),"")</f>
        <v>Inventory</v>
      </c>
      <c r="F571" s="27" t="str">
        <f>IFERROR(VLOOKUP(C571,'Chart of Accounts'!$A$4:$F$30,5,FALSE),"")</f>
        <v>BS</v>
      </c>
      <c r="G571" s="15">
        <v>0</v>
      </c>
      <c r="H571" s="15">
        <v>56218.19571513337</v>
      </c>
      <c r="I571" s="10">
        <f t="shared" si="24"/>
        <v>-56218.19571513337</v>
      </c>
      <c r="J571" s="14" t="s">
        <v>614</v>
      </c>
      <c r="K571" s="14" t="s">
        <v>450</v>
      </c>
      <c r="L571" s="14" t="s">
        <v>140</v>
      </c>
      <c r="M571" s="8" t="str">
        <f t="shared" si="25"/>
        <v>2026-06</v>
      </c>
      <c r="N571" s="8" t="str">
        <f t="shared" si="26"/>
        <v>OK</v>
      </c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 spans="1:52">
      <c r="A572" s="14" t="s">
        <v>615</v>
      </c>
      <c r="B572" s="26">
        <v>46184</v>
      </c>
      <c r="C572" s="14" t="s">
        <v>58</v>
      </c>
      <c r="D572" s="27" t="str">
        <f>IFERROR(VLOOKUP(C572,'Chart of Accounts'!$A$4:$F$30,2,FALSE),"")</f>
        <v>Trade Receivables</v>
      </c>
      <c r="E572" s="27" t="str">
        <f>IFERROR(VLOOKUP(C572,'Chart of Accounts'!$A$4:$F$30,4,FALSE),"")</f>
        <v>Trade Receivables</v>
      </c>
      <c r="F572" s="27" t="str">
        <f>IFERROR(VLOOKUP(C572,'Chart of Accounts'!$A$4:$F$30,5,FALSE),"")</f>
        <v>BS</v>
      </c>
      <c r="G572" s="15">
        <v>85168.981721253353</v>
      </c>
      <c r="H572" s="15">
        <v>0</v>
      </c>
      <c r="I572" s="10">
        <f t="shared" si="24"/>
        <v>85168.981721253353</v>
      </c>
      <c r="J572" s="14" t="s">
        <v>616</v>
      </c>
      <c r="K572" s="14" t="s">
        <v>152</v>
      </c>
      <c r="L572" s="14" t="s">
        <v>140</v>
      </c>
      <c r="M572" s="8" t="str">
        <f t="shared" si="25"/>
        <v>2026-06</v>
      </c>
      <c r="N572" s="8" t="str">
        <f t="shared" si="26"/>
        <v>OK</v>
      </c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 spans="1:52">
      <c r="A573" s="14" t="s">
        <v>615</v>
      </c>
      <c r="B573" s="26">
        <v>46184</v>
      </c>
      <c r="C573" s="14" t="s">
        <v>86</v>
      </c>
      <c r="D573" s="27" t="str">
        <f>IFERROR(VLOOKUP(C573,'Chart of Accounts'!$A$4:$F$30,2,FALSE),"")</f>
        <v>Product Sales</v>
      </c>
      <c r="E573" s="27" t="str">
        <f>IFERROR(VLOOKUP(C573,'Chart of Accounts'!$A$4:$F$30,4,FALSE),"")</f>
        <v>Revenue</v>
      </c>
      <c r="F573" s="27" t="str">
        <f>IFERROR(VLOOKUP(C573,'Chart of Accounts'!$A$4:$F$30,5,FALSE),"")</f>
        <v>PL</v>
      </c>
      <c r="G573" s="15">
        <v>0</v>
      </c>
      <c r="H573" s="15">
        <v>85168.981721253353</v>
      </c>
      <c r="I573" s="10">
        <f t="shared" si="24"/>
        <v>-85168.981721253353</v>
      </c>
      <c r="J573" s="14" t="s">
        <v>616</v>
      </c>
      <c r="K573" s="14" t="s">
        <v>152</v>
      </c>
      <c r="L573" s="14" t="s">
        <v>140</v>
      </c>
      <c r="M573" s="8" t="str">
        <f t="shared" si="25"/>
        <v>2026-06</v>
      </c>
      <c r="N573" s="8" t="str">
        <f t="shared" si="26"/>
        <v>OK</v>
      </c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 spans="1:52">
      <c r="A574" s="14" t="s">
        <v>615</v>
      </c>
      <c r="B574" s="26">
        <v>46184</v>
      </c>
      <c r="C574" s="14" t="s">
        <v>90</v>
      </c>
      <c r="D574" s="27" t="str">
        <f>IFERROR(VLOOKUP(C574,'Chart of Accounts'!$A$4:$F$30,2,FALSE),"")</f>
        <v>Cost of Goods Sold</v>
      </c>
      <c r="E574" s="27" t="str">
        <f>IFERROR(VLOOKUP(C574,'Chart of Accounts'!$A$4:$F$30,4,FALSE),"")</f>
        <v>COGS</v>
      </c>
      <c r="F574" s="27" t="str">
        <f>IFERROR(VLOOKUP(C574,'Chart of Accounts'!$A$4:$F$30,5,FALSE),"")</f>
        <v>PL</v>
      </c>
      <c r="G574" s="15">
        <v>46757.770964968076</v>
      </c>
      <c r="H574" s="15">
        <v>0</v>
      </c>
      <c r="I574" s="10">
        <f t="shared" si="24"/>
        <v>46757.770964968076</v>
      </c>
      <c r="J574" s="14" t="s">
        <v>616</v>
      </c>
      <c r="K574" s="14" t="s">
        <v>152</v>
      </c>
      <c r="L574" s="14" t="s">
        <v>140</v>
      </c>
      <c r="M574" s="8" t="str">
        <f t="shared" si="25"/>
        <v>2026-06</v>
      </c>
      <c r="N574" s="8" t="str">
        <f t="shared" si="26"/>
        <v>OK</v>
      </c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 spans="1:52">
      <c r="A575" s="14" t="s">
        <v>615</v>
      </c>
      <c r="B575" s="26">
        <v>46184</v>
      </c>
      <c r="C575" s="14" t="s">
        <v>63</v>
      </c>
      <c r="D575" s="27" t="str">
        <f>IFERROR(VLOOKUP(C575,'Chart of Accounts'!$A$4:$F$30,2,FALSE),"")</f>
        <v>Inventory</v>
      </c>
      <c r="E575" s="27" t="str">
        <f>IFERROR(VLOOKUP(C575,'Chart of Accounts'!$A$4:$F$30,4,FALSE),"")</f>
        <v>Inventory</v>
      </c>
      <c r="F575" s="27" t="str">
        <f>IFERROR(VLOOKUP(C575,'Chart of Accounts'!$A$4:$F$30,5,FALSE),"")</f>
        <v>BS</v>
      </c>
      <c r="G575" s="15">
        <v>0</v>
      </c>
      <c r="H575" s="15">
        <v>46757.770964968076</v>
      </c>
      <c r="I575" s="10">
        <f t="shared" si="24"/>
        <v>-46757.770964968076</v>
      </c>
      <c r="J575" s="14" t="s">
        <v>616</v>
      </c>
      <c r="K575" s="14" t="s">
        <v>152</v>
      </c>
      <c r="L575" s="14" t="s">
        <v>140</v>
      </c>
      <c r="M575" s="8" t="str">
        <f t="shared" si="25"/>
        <v>2026-06</v>
      </c>
      <c r="N575" s="8" t="str">
        <f t="shared" si="26"/>
        <v>OK</v>
      </c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 spans="1:52">
      <c r="A576" s="14" t="s">
        <v>617</v>
      </c>
      <c r="B576" s="26">
        <v>46195</v>
      </c>
      <c r="C576" s="14" t="s">
        <v>52</v>
      </c>
      <c r="D576" s="27" t="str">
        <f>IFERROR(VLOOKUP(C576,'Chart of Accounts'!$A$4:$F$30,2,FALSE),"")</f>
        <v>Bank</v>
      </c>
      <c r="E576" s="27" t="str">
        <f>IFERROR(VLOOKUP(C576,'Chart of Accounts'!$A$4:$F$30,4,FALSE),"")</f>
        <v>Cash</v>
      </c>
      <c r="F576" s="27" t="str">
        <f>IFERROR(VLOOKUP(C576,'Chart of Accounts'!$A$4:$F$30,5,FALSE),"")</f>
        <v>BS</v>
      </c>
      <c r="G576" s="15">
        <v>164734.16129632975</v>
      </c>
      <c r="H576" s="15">
        <v>0</v>
      </c>
      <c r="I576" s="10">
        <f t="shared" si="24"/>
        <v>164734.16129632975</v>
      </c>
      <c r="J576" s="14" t="s">
        <v>618</v>
      </c>
      <c r="K576" s="14" t="s">
        <v>175</v>
      </c>
      <c r="L576" s="14" t="s">
        <v>176</v>
      </c>
      <c r="M576" s="8" t="str">
        <f t="shared" si="25"/>
        <v>2026-06</v>
      </c>
      <c r="N576" s="8" t="str">
        <f t="shared" si="26"/>
        <v>OK</v>
      </c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 spans="1:52">
      <c r="A577" s="14" t="s">
        <v>617</v>
      </c>
      <c r="B577" s="26">
        <v>46195</v>
      </c>
      <c r="C577" s="14" t="s">
        <v>58</v>
      </c>
      <c r="D577" s="27" t="str">
        <f>IFERROR(VLOOKUP(C577,'Chart of Accounts'!$A$4:$F$30,2,FALSE),"")</f>
        <v>Trade Receivables</v>
      </c>
      <c r="E577" s="27" t="str">
        <f>IFERROR(VLOOKUP(C577,'Chart of Accounts'!$A$4:$F$30,4,FALSE),"")</f>
        <v>Trade Receivables</v>
      </c>
      <c r="F577" s="27" t="str">
        <f>IFERROR(VLOOKUP(C577,'Chart of Accounts'!$A$4:$F$30,5,FALSE),"")</f>
        <v>BS</v>
      </c>
      <c r="G577" s="15">
        <v>0</v>
      </c>
      <c r="H577" s="15">
        <v>164734.16129632975</v>
      </c>
      <c r="I577" s="10">
        <f t="shared" si="24"/>
        <v>-164734.16129632975</v>
      </c>
      <c r="J577" s="14" t="s">
        <v>618</v>
      </c>
      <c r="K577" s="14" t="s">
        <v>175</v>
      </c>
      <c r="L577" s="14" t="s">
        <v>176</v>
      </c>
      <c r="M577" s="8" t="str">
        <f t="shared" si="25"/>
        <v>2026-06</v>
      </c>
      <c r="N577" s="8" t="str">
        <f t="shared" si="26"/>
        <v>OK</v>
      </c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 spans="1:52">
      <c r="A578" s="14" t="s">
        <v>619</v>
      </c>
      <c r="B578" s="26">
        <v>46178</v>
      </c>
      <c r="C578" s="14" t="s">
        <v>52</v>
      </c>
      <c r="D578" s="27" t="str">
        <f>IFERROR(VLOOKUP(C578,'Chart of Accounts'!$A$4:$F$30,2,FALSE),"")</f>
        <v>Bank</v>
      </c>
      <c r="E578" s="27" t="str">
        <f>IFERROR(VLOOKUP(C578,'Chart of Accounts'!$A$4:$F$30,4,FALSE),"")</f>
        <v>Cash</v>
      </c>
      <c r="F578" s="27" t="str">
        <f>IFERROR(VLOOKUP(C578,'Chart of Accounts'!$A$4:$F$30,5,FALSE),"")</f>
        <v>BS</v>
      </c>
      <c r="G578" s="15">
        <v>156516.50133022701</v>
      </c>
      <c r="H578" s="15">
        <v>0</v>
      </c>
      <c r="I578" s="10">
        <f t="shared" si="24"/>
        <v>156516.50133022701</v>
      </c>
      <c r="J578" s="14" t="s">
        <v>620</v>
      </c>
      <c r="K578" s="14" t="s">
        <v>175</v>
      </c>
      <c r="L578" s="14" t="s">
        <v>176</v>
      </c>
      <c r="M578" s="8" t="str">
        <f t="shared" si="25"/>
        <v>2026-06</v>
      </c>
      <c r="N578" s="8" t="str">
        <f t="shared" si="26"/>
        <v>OK</v>
      </c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 spans="1:52">
      <c r="A579" s="14" t="s">
        <v>619</v>
      </c>
      <c r="B579" s="26">
        <v>46178</v>
      </c>
      <c r="C579" s="14" t="s">
        <v>58</v>
      </c>
      <c r="D579" s="27" t="str">
        <f>IFERROR(VLOOKUP(C579,'Chart of Accounts'!$A$4:$F$30,2,FALSE),"")</f>
        <v>Trade Receivables</v>
      </c>
      <c r="E579" s="27" t="str">
        <f>IFERROR(VLOOKUP(C579,'Chart of Accounts'!$A$4:$F$30,4,FALSE),"")</f>
        <v>Trade Receivables</v>
      </c>
      <c r="F579" s="27" t="str">
        <f>IFERROR(VLOOKUP(C579,'Chart of Accounts'!$A$4:$F$30,5,FALSE),"")</f>
        <v>BS</v>
      </c>
      <c r="G579" s="15">
        <v>0</v>
      </c>
      <c r="H579" s="15">
        <v>156516.50133022701</v>
      </c>
      <c r="I579" s="10">
        <f t="shared" si="24"/>
        <v>-156516.50133022701</v>
      </c>
      <c r="J579" s="14" t="s">
        <v>620</v>
      </c>
      <c r="K579" s="14" t="s">
        <v>175</v>
      </c>
      <c r="L579" s="14" t="s">
        <v>176</v>
      </c>
      <c r="M579" s="8" t="str">
        <f t="shared" si="25"/>
        <v>2026-06</v>
      </c>
      <c r="N579" s="8" t="str">
        <f t="shared" si="26"/>
        <v>OK</v>
      </c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 spans="1:52">
      <c r="A580" s="14" t="s">
        <v>621</v>
      </c>
      <c r="B580" s="26">
        <v>46197</v>
      </c>
      <c r="C580" s="14" t="s">
        <v>52</v>
      </c>
      <c r="D580" s="27" t="str">
        <f>IFERROR(VLOOKUP(C580,'Chart of Accounts'!$A$4:$F$30,2,FALSE),"")</f>
        <v>Bank</v>
      </c>
      <c r="E580" s="27" t="str">
        <f>IFERROR(VLOOKUP(C580,'Chart of Accounts'!$A$4:$F$30,4,FALSE),"")</f>
        <v>Cash</v>
      </c>
      <c r="F580" s="27" t="str">
        <f>IFERROR(VLOOKUP(C580,'Chart of Accounts'!$A$4:$F$30,5,FALSE),"")</f>
        <v>BS</v>
      </c>
      <c r="G580" s="15">
        <v>159521.48160687802</v>
      </c>
      <c r="H580" s="15">
        <v>0</v>
      </c>
      <c r="I580" s="10">
        <f t="shared" ref="I580:I643" si="27">G580-H580</f>
        <v>159521.48160687802</v>
      </c>
      <c r="J580" s="14" t="s">
        <v>622</v>
      </c>
      <c r="K580" s="14" t="s">
        <v>175</v>
      </c>
      <c r="L580" s="14" t="s">
        <v>176</v>
      </c>
      <c r="M580" s="8" t="str">
        <f t="shared" ref="M580:M643" si="28">TEXT(B580,"yyyy-mm")</f>
        <v>2026-06</v>
      </c>
      <c r="N580" s="8" t="str">
        <f t="shared" ref="N580:N643" si="29">"OK"</f>
        <v>OK</v>
      </c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 spans="1:52">
      <c r="A581" s="14" t="s">
        <v>621</v>
      </c>
      <c r="B581" s="26">
        <v>46197</v>
      </c>
      <c r="C581" s="14" t="s">
        <v>58</v>
      </c>
      <c r="D581" s="27" t="str">
        <f>IFERROR(VLOOKUP(C581,'Chart of Accounts'!$A$4:$F$30,2,FALSE),"")</f>
        <v>Trade Receivables</v>
      </c>
      <c r="E581" s="27" t="str">
        <f>IFERROR(VLOOKUP(C581,'Chart of Accounts'!$A$4:$F$30,4,FALSE),"")</f>
        <v>Trade Receivables</v>
      </c>
      <c r="F581" s="27" t="str">
        <f>IFERROR(VLOOKUP(C581,'Chart of Accounts'!$A$4:$F$30,5,FALSE),"")</f>
        <v>BS</v>
      </c>
      <c r="G581" s="15">
        <v>0</v>
      </c>
      <c r="H581" s="15">
        <v>159521.48160687802</v>
      </c>
      <c r="I581" s="10">
        <f t="shared" si="27"/>
        <v>-159521.48160687802</v>
      </c>
      <c r="J581" s="14" t="s">
        <v>622</v>
      </c>
      <c r="K581" s="14" t="s">
        <v>175</v>
      </c>
      <c r="L581" s="14" t="s">
        <v>176</v>
      </c>
      <c r="M581" s="8" t="str">
        <f t="shared" si="28"/>
        <v>2026-06</v>
      </c>
      <c r="N581" s="8" t="str">
        <f t="shared" si="29"/>
        <v>OK</v>
      </c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 spans="1:52">
      <c r="A582" s="14" t="s">
        <v>623</v>
      </c>
      <c r="B582" s="26">
        <v>46191</v>
      </c>
      <c r="C582" s="14" t="s">
        <v>52</v>
      </c>
      <c r="D582" s="27" t="str">
        <f>IFERROR(VLOOKUP(C582,'Chart of Accounts'!$A$4:$F$30,2,FALSE),"")</f>
        <v>Bank</v>
      </c>
      <c r="E582" s="27" t="str">
        <f>IFERROR(VLOOKUP(C582,'Chart of Accounts'!$A$4:$F$30,4,FALSE),"")</f>
        <v>Cash</v>
      </c>
      <c r="F582" s="27" t="str">
        <f>IFERROR(VLOOKUP(C582,'Chart of Accounts'!$A$4:$F$30,5,FALSE),"")</f>
        <v>BS</v>
      </c>
      <c r="G582" s="15">
        <v>190709.93920173548</v>
      </c>
      <c r="H582" s="15">
        <v>0</v>
      </c>
      <c r="I582" s="10">
        <f t="shared" si="27"/>
        <v>190709.93920173548</v>
      </c>
      <c r="J582" s="14" t="s">
        <v>624</v>
      </c>
      <c r="K582" s="14" t="s">
        <v>175</v>
      </c>
      <c r="L582" s="14" t="s">
        <v>176</v>
      </c>
      <c r="M582" s="8" t="str">
        <f t="shared" si="28"/>
        <v>2026-06</v>
      </c>
      <c r="N582" s="8" t="str">
        <f t="shared" si="29"/>
        <v>OK</v>
      </c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 spans="1:52">
      <c r="A583" s="14" t="s">
        <v>623</v>
      </c>
      <c r="B583" s="26">
        <v>46191</v>
      </c>
      <c r="C583" s="14" t="s">
        <v>58</v>
      </c>
      <c r="D583" s="27" t="str">
        <f>IFERROR(VLOOKUP(C583,'Chart of Accounts'!$A$4:$F$30,2,FALSE),"")</f>
        <v>Trade Receivables</v>
      </c>
      <c r="E583" s="27" t="str">
        <f>IFERROR(VLOOKUP(C583,'Chart of Accounts'!$A$4:$F$30,4,FALSE),"")</f>
        <v>Trade Receivables</v>
      </c>
      <c r="F583" s="27" t="str">
        <f>IFERROR(VLOOKUP(C583,'Chart of Accounts'!$A$4:$F$30,5,FALSE),"")</f>
        <v>BS</v>
      </c>
      <c r="G583" s="15">
        <v>0</v>
      </c>
      <c r="H583" s="15">
        <v>190709.93920173548</v>
      </c>
      <c r="I583" s="10">
        <f t="shared" si="27"/>
        <v>-190709.93920173548</v>
      </c>
      <c r="J583" s="14" t="s">
        <v>624</v>
      </c>
      <c r="K583" s="14" t="s">
        <v>175</v>
      </c>
      <c r="L583" s="14" t="s">
        <v>176</v>
      </c>
      <c r="M583" s="8" t="str">
        <f t="shared" si="28"/>
        <v>2026-06</v>
      </c>
      <c r="N583" s="8" t="str">
        <f t="shared" si="29"/>
        <v>OK</v>
      </c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 spans="1:52">
      <c r="A584" s="14" t="s">
        <v>625</v>
      </c>
      <c r="B584" s="26">
        <v>46195</v>
      </c>
      <c r="C584" s="14" t="s">
        <v>52</v>
      </c>
      <c r="D584" s="27" t="str">
        <f>IFERROR(VLOOKUP(C584,'Chart of Accounts'!$A$4:$F$30,2,FALSE),"")</f>
        <v>Bank</v>
      </c>
      <c r="E584" s="27" t="str">
        <f>IFERROR(VLOOKUP(C584,'Chart of Accounts'!$A$4:$F$30,4,FALSE),"")</f>
        <v>Cash</v>
      </c>
      <c r="F584" s="27" t="str">
        <f>IFERROR(VLOOKUP(C584,'Chart of Accounts'!$A$4:$F$30,5,FALSE),"")</f>
        <v>BS</v>
      </c>
      <c r="G584" s="15">
        <v>128363.92735781051</v>
      </c>
      <c r="H584" s="15">
        <v>0</v>
      </c>
      <c r="I584" s="10">
        <f t="shared" si="27"/>
        <v>128363.92735781051</v>
      </c>
      <c r="J584" s="14" t="s">
        <v>626</v>
      </c>
      <c r="K584" s="14" t="s">
        <v>175</v>
      </c>
      <c r="L584" s="14" t="s">
        <v>176</v>
      </c>
      <c r="M584" s="8" t="str">
        <f t="shared" si="28"/>
        <v>2026-06</v>
      </c>
      <c r="N584" s="8" t="str">
        <f t="shared" si="29"/>
        <v>OK</v>
      </c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 spans="1:52">
      <c r="A585" s="14" t="s">
        <v>625</v>
      </c>
      <c r="B585" s="26">
        <v>46195</v>
      </c>
      <c r="C585" s="14" t="s">
        <v>58</v>
      </c>
      <c r="D585" s="27" t="str">
        <f>IFERROR(VLOOKUP(C585,'Chart of Accounts'!$A$4:$F$30,2,FALSE),"")</f>
        <v>Trade Receivables</v>
      </c>
      <c r="E585" s="27" t="str">
        <f>IFERROR(VLOOKUP(C585,'Chart of Accounts'!$A$4:$F$30,4,FALSE),"")</f>
        <v>Trade Receivables</v>
      </c>
      <c r="F585" s="27" t="str">
        <f>IFERROR(VLOOKUP(C585,'Chart of Accounts'!$A$4:$F$30,5,FALSE),"")</f>
        <v>BS</v>
      </c>
      <c r="G585" s="15">
        <v>0</v>
      </c>
      <c r="H585" s="15">
        <v>128363.92735781051</v>
      </c>
      <c r="I585" s="10">
        <f t="shared" si="27"/>
        <v>-128363.92735781051</v>
      </c>
      <c r="J585" s="14" t="s">
        <v>626</v>
      </c>
      <c r="K585" s="14" t="s">
        <v>175</v>
      </c>
      <c r="L585" s="14" t="s">
        <v>176</v>
      </c>
      <c r="M585" s="8" t="str">
        <f t="shared" si="28"/>
        <v>2026-06</v>
      </c>
      <c r="N585" s="8" t="str">
        <f t="shared" si="29"/>
        <v>OK</v>
      </c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 spans="1:52">
      <c r="A586" s="14" t="s">
        <v>627</v>
      </c>
      <c r="B586" s="26">
        <v>46182</v>
      </c>
      <c r="C586" s="14" t="s">
        <v>52</v>
      </c>
      <c r="D586" s="27" t="str">
        <f>IFERROR(VLOOKUP(C586,'Chart of Accounts'!$A$4:$F$30,2,FALSE),"")</f>
        <v>Bank</v>
      </c>
      <c r="E586" s="27" t="str">
        <f>IFERROR(VLOOKUP(C586,'Chart of Accounts'!$A$4:$F$30,4,FALSE),"")</f>
        <v>Cash</v>
      </c>
      <c r="F586" s="27" t="str">
        <f>IFERROR(VLOOKUP(C586,'Chart of Accounts'!$A$4:$F$30,5,FALSE),"")</f>
        <v>BS</v>
      </c>
      <c r="G586" s="15">
        <v>115043.98920701919</v>
      </c>
      <c r="H586" s="15">
        <v>0</v>
      </c>
      <c r="I586" s="10">
        <f t="shared" si="27"/>
        <v>115043.98920701919</v>
      </c>
      <c r="J586" s="14" t="s">
        <v>628</v>
      </c>
      <c r="K586" s="14" t="s">
        <v>175</v>
      </c>
      <c r="L586" s="14" t="s">
        <v>176</v>
      </c>
      <c r="M586" s="8" t="str">
        <f t="shared" si="28"/>
        <v>2026-06</v>
      </c>
      <c r="N586" s="8" t="str">
        <f t="shared" si="29"/>
        <v>OK</v>
      </c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 spans="1:52">
      <c r="A587" s="14" t="s">
        <v>627</v>
      </c>
      <c r="B587" s="26">
        <v>46182</v>
      </c>
      <c r="C587" s="14" t="s">
        <v>58</v>
      </c>
      <c r="D587" s="27" t="str">
        <f>IFERROR(VLOOKUP(C587,'Chart of Accounts'!$A$4:$F$30,2,FALSE),"")</f>
        <v>Trade Receivables</v>
      </c>
      <c r="E587" s="27" t="str">
        <f>IFERROR(VLOOKUP(C587,'Chart of Accounts'!$A$4:$F$30,4,FALSE),"")</f>
        <v>Trade Receivables</v>
      </c>
      <c r="F587" s="27" t="str">
        <f>IFERROR(VLOOKUP(C587,'Chart of Accounts'!$A$4:$F$30,5,FALSE),"")</f>
        <v>BS</v>
      </c>
      <c r="G587" s="15">
        <v>0</v>
      </c>
      <c r="H587" s="15">
        <v>115043.98920701919</v>
      </c>
      <c r="I587" s="10">
        <f t="shared" si="27"/>
        <v>-115043.98920701919</v>
      </c>
      <c r="J587" s="14" t="s">
        <v>628</v>
      </c>
      <c r="K587" s="14" t="s">
        <v>175</v>
      </c>
      <c r="L587" s="14" t="s">
        <v>176</v>
      </c>
      <c r="M587" s="8" t="str">
        <f t="shared" si="28"/>
        <v>2026-06</v>
      </c>
      <c r="N587" s="8" t="str">
        <f t="shared" si="29"/>
        <v>OK</v>
      </c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 spans="1:52">
      <c r="A588" s="14" t="s">
        <v>629</v>
      </c>
      <c r="B588" s="26">
        <v>46188</v>
      </c>
      <c r="C588" s="14" t="s">
        <v>63</v>
      </c>
      <c r="D588" s="27" t="str">
        <f>IFERROR(VLOOKUP(C588,'Chart of Accounts'!$A$4:$F$30,2,FALSE),"")</f>
        <v>Inventory</v>
      </c>
      <c r="E588" s="27" t="str">
        <f>IFERROR(VLOOKUP(C588,'Chart of Accounts'!$A$4:$F$30,4,FALSE),"")</f>
        <v>Inventory</v>
      </c>
      <c r="F588" s="27" t="str">
        <f>IFERROR(VLOOKUP(C588,'Chart of Accounts'!$A$4:$F$30,5,FALSE),"")</f>
        <v>BS</v>
      </c>
      <c r="G588" s="15">
        <v>99930.903631452791</v>
      </c>
      <c r="H588" s="15">
        <v>0</v>
      </c>
      <c r="I588" s="10">
        <f t="shared" si="27"/>
        <v>99930.903631452791</v>
      </c>
      <c r="J588" s="14" t="s">
        <v>630</v>
      </c>
      <c r="K588" s="14" t="s">
        <v>389</v>
      </c>
      <c r="L588" s="14" t="s">
        <v>190</v>
      </c>
      <c r="M588" s="8" t="str">
        <f t="shared" si="28"/>
        <v>2026-06</v>
      </c>
      <c r="N588" s="8" t="str">
        <f t="shared" si="29"/>
        <v>OK</v>
      </c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 spans="1:52">
      <c r="A589" s="14" t="s">
        <v>629</v>
      </c>
      <c r="B589" s="26">
        <v>46188</v>
      </c>
      <c r="C589" s="14" t="s">
        <v>71</v>
      </c>
      <c r="D589" s="27" t="str">
        <f>IFERROR(VLOOKUP(C589,'Chart of Accounts'!$A$4:$F$30,2,FALSE),"")</f>
        <v>Trade Payables</v>
      </c>
      <c r="E589" s="27" t="str">
        <f>IFERROR(VLOOKUP(C589,'Chart of Accounts'!$A$4:$F$30,4,FALSE),"")</f>
        <v>Trade Payables</v>
      </c>
      <c r="F589" s="27" t="str">
        <f>IFERROR(VLOOKUP(C589,'Chart of Accounts'!$A$4:$F$30,5,FALSE),"")</f>
        <v>BS</v>
      </c>
      <c r="G589" s="15">
        <v>0</v>
      </c>
      <c r="H589" s="15">
        <v>99930.903631452791</v>
      </c>
      <c r="I589" s="10">
        <f t="shared" si="27"/>
        <v>-99930.903631452791</v>
      </c>
      <c r="J589" s="14" t="s">
        <v>630</v>
      </c>
      <c r="K589" s="14" t="s">
        <v>389</v>
      </c>
      <c r="L589" s="14" t="s">
        <v>190</v>
      </c>
      <c r="M589" s="8" t="str">
        <f t="shared" si="28"/>
        <v>2026-06</v>
      </c>
      <c r="N589" s="8" t="str">
        <f t="shared" si="29"/>
        <v>OK</v>
      </c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 spans="1:52">
      <c r="A590" s="14" t="s">
        <v>631</v>
      </c>
      <c r="B590" s="26">
        <v>46192</v>
      </c>
      <c r="C590" s="14" t="s">
        <v>63</v>
      </c>
      <c r="D590" s="27" t="str">
        <f>IFERROR(VLOOKUP(C590,'Chart of Accounts'!$A$4:$F$30,2,FALSE),"")</f>
        <v>Inventory</v>
      </c>
      <c r="E590" s="27" t="str">
        <f>IFERROR(VLOOKUP(C590,'Chart of Accounts'!$A$4:$F$30,4,FALSE),"")</f>
        <v>Inventory</v>
      </c>
      <c r="F590" s="27" t="str">
        <f>IFERROR(VLOOKUP(C590,'Chart of Accounts'!$A$4:$F$30,5,FALSE),"")</f>
        <v>BS</v>
      </c>
      <c r="G590" s="15">
        <v>86428.501951027254</v>
      </c>
      <c r="H590" s="15">
        <v>0</v>
      </c>
      <c r="I590" s="10">
        <f t="shared" si="27"/>
        <v>86428.501951027254</v>
      </c>
      <c r="J590" s="14" t="s">
        <v>632</v>
      </c>
      <c r="K590" s="14" t="s">
        <v>633</v>
      </c>
      <c r="L590" s="14" t="s">
        <v>190</v>
      </c>
      <c r="M590" s="8" t="str">
        <f t="shared" si="28"/>
        <v>2026-06</v>
      </c>
      <c r="N590" s="8" t="str">
        <f t="shared" si="29"/>
        <v>OK</v>
      </c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 spans="1:52">
      <c r="A591" s="14" t="s">
        <v>631</v>
      </c>
      <c r="B591" s="26">
        <v>46192</v>
      </c>
      <c r="C591" s="14" t="s">
        <v>71</v>
      </c>
      <c r="D591" s="27" t="str">
        <f>IFERROR(VLOOKUP(C591,'Chart of Accounts'!$A$4:$F$30,2,FALSE),"")</f>
        <v>Trade Payables</v>
      </c>
      <c r="E591" s="27" t="str">
        <f>IFERROR(VLOOKUP(C591,'Chart of Accounts'!$A$4:$F$30,4,FALSE),"")</f>
        <v>Trade Payables</v>
      </c>
      <c r="F591" s="27" t="str">
        <f>IFERROR(VLOOKUP(C591,'Chart of Accounts'!$A$4:$F$30,5,FALSE),"")</f>
        <v>BS</v>
      </c>
      <c r="G591" s="15">
        <v>0</v>
      </c>
      <c r="H591" s="15">
        <v>86428.501951027254</v>
      </c>
      <c r="I591" s="10">
        <f t="shared" si="27"/>
        <v>-86428.501951027254</v>
      </c>
      <c r="J591" s="14" t="s">
        <v>632</v>
      </c>
      <c r="K591" s="14" t="s">
        <v>633</v>
      </c>
      <c r="L591" s="14" t="s">
        <v>190</v>
      </c>
      <c r="M591" s="8" t="str">
        <f t="shared" si="28"/>
        <v>2026-06</v>
      </c>
      <c r="N591" s="8" t="str">
        <f t="shared" si="29"/>
        <v>OK</v>
      </c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 spans="1:52">
      <c r="A592" s="14" t="s">
        <v>634</v>
      </c>
      <c r="B592" s="26">
        <v>46175</v>
      </c>
      <c r="C592" s="14" t="s">
        <v>63</v>
      </c>
      <c r="D592" s="27" t="str">
        <f>IFERROR(VLOOKUP(C592,'Chart of Accounts'!$A$4:$F$30,2,FALSE),"")</f>
        <v>Inventory</v>
      </c>
      <c r="E592" s="27" t="str">
        <f>IFERROR(VLOOKUP(C592,'Chart of Accounts'!$A$4:$F$30,4,FALSE),"")</f>
        <v>Inventory</v>
      </c>
      <c r="F592" s="27" t="str">
        <f>IFERROR(VLOOKUP(C592,'Chart of Accounts'!$A$4:$F$30,5,FALSE),"")</f>
        <v>BS</v>
      </c>
      <c r="G592" s="15">
        <v>85877.741166405263</v>
      </c>
      <c r="H592" s="15">
        <v>0</v>
      </c>
      <c r="I592" s="10">
        <f t="shared" si="27"/>
        <v>85877.741166405263</v>
      </c>
      <c r="J592" s="14" t="s">
        <v>635</v>
      </c>
      <c r="K592" s="14" t="s">
        <v>193</v>
      </c>
      <c r="L592" s="14" t="s">
        <v>190</v>
      </c>
      <c r="M592" s="8" t="str">
        <f t="shared" si="28"/>
        <v>2026-06</v>
      </c>
      <c r="N592" s="8" t="str">
        <f t="shared" si="29"/>
        <v>OK</v>
      </c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 spans="1:52">
      <c r="A593" s="14" t="s">
        <v>634</v>
      </c>
      <c r="B593" s="26">
        <v>46175</v>
      </c>
      <c r="C593" s="14" t="s">
        <v>71</v>
      </c>
      <c r="D593" s="27" t="str">
        <f>IFERROR(VLOOKUP(C593,'Chart of Accounts'!$A$4:$F$30,2,FALSE),"")</f>
        <v>Trade Payables</v>
      </c>
      <c r="E593" s="27" t="str">
        <f>IFERROR(VLOOKUP(C593,'Chart of Accounts'!$A$4:$F$30,4,FALSE),"")</f>
        <v>Trade Payables</v>
      </c>
      <c r="F593" s="27" t="str">
        <f>IFERROR(VLOOKUP(C593,'Chart of Accounts'!$A$4:$F$30,5,FALSE),"")</f>
        <v>BS</v>
      </c>
      <c r="G593" s="15">
        <v>0</v>
      </c>
      <c r="H593" s="15">
        <v>85877.741166405263</v>
      </c>
      <c r="I593" s="10">
        <f t="shared" si="27"/>
        <v>-85877.741166405263</v>
      </c>
      <c r="J593" s="14" t="s">
        <v>635</v>
      </c>
      <c r="K593" s="14" t="s">
        <v>193</v>
      </c>
      <c r="L593" s="14" t="s">
        <v>190</v>
      </c>
      <c r="M593" s="8" t="str">
        <f t="shared" si="28"/>
        <v>2026-06</v>
      </c>
      <c r="N593" s="8" t="str">
        <f t="shared" si="29"/>
        <v>OK</v>
      </c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 spans="1:52">
      <c r="A594" s="14" t="s">
        <v>636</v>
      </c>
      <c r="B594" s="26">
        <v>46192</v>
      </c>
      <c r="C594" s="14" t="s">
        <v>63</v>
      </c>
      <c r="D594" s="27" t="str">
        <f>IFERROR(VLOOKUP(C594,'Chart of Accounts'!$A$4:$F$30,2,FALSE),"")</f>
        <v>Inventory</v>
      </c>
      <c r="E594" s="27" t="str">
        <f>IFERROR(VLOOKUP(C594,'Chart of Accounts'!$A$4:$F$30,4,FALSE),"")</f>
        <v>Inventory</v>
      </c>
      <c r="F594" s="27" t="str">
        <f>IFERROR(VLOOKUP(C594,'Chart of Accounts'!$A$4:$F$30,5,FALSE),"")</f>
        <v>BS</v>
      </c>
      <c r="G594" s="15">
        <v>109908.29605195321</v>
      </c>
      <c r="H594" s="15">
        <v>0</v>
      </c>
      <c r="I594" s="10">
        <f t="shared" si="27"/>
        <v>109908.29605195321</v>
      </c>
      <c r="J594" s="14" t="s">
        <v>637</v>
      </c>
      <c r="K594" s="14" t="s">
        <v>380</v>
      </c>
      <c r="L594" s="14" t="s">
        <v>190</v>
      </c>
      <c r="M594" s="8" t="str">
        <f t="shared" si="28"/>
        <v>2026-06</v>
      </c>
      <c r="N594" s="8" t="str">
        <f t="shared" si="29"/>
        <v>OK</v>
      </c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 spans="1:52">
      <c r="A595" s="14" t="s">
        <v>636</v>
      </c>
      <c r="B595" s="26">
        <v>46192</v>
      </c>
      <c r="C595" s="14" t="s">
        <v>71</v>
      </c>
      <c r="D595" s="27" t="str">
        <f>IFERROR(VLOOKUP(C595,'Chart of Accounts'!$A$4:$F$30,2,FALSE),"")</f>
        <v>Trade Payables</v>
      </c>
      <c r="E595" s="27" t="str">
        <f>IFERROR(VLOOKUP(C595,'Chart of Accounts'!$A$4:$F$30,4,FALSE),"")</f>
        <v>Trade Payables</v>
      </c>
      <c r="F595" s="27" t="str">
        <f>IFERROR(VLOOKUP(C595,'Chart of Accounts'!$A$4:$F$30,5,FALSE),"")</f>
        <v>BS</v>
      </c>
      <c r="G595" s="15">
        <v>0</v>
      </c>
      <c r="H595" s="15">
        <v>109908.29605195321</v>
      </c>
      <c r="I595" s="10">
        <f t="shared" si="27"/>
        <v>-109908.29605195321</v>
      </c>
      <c r="J595" s="14" t="s">
        <v>637</v>
      </c>
      <c r="K595" s="14" t="s">
        <v>380</v>
      </c>
      <c r="L595" s="14" t="s">
        <v>190</v>
      </c>
      <c r="M595" s="8" t="str">
        <f t="shared" si="28"/>
        <v>2026-06</v>
      </c>
      <c r="N595" s="8" t="str">
        <f t="shared" si="29"/>
        <v>OK</v>
      </c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 spans="1:52">
      <c r="A596" s="14" t="s">
        <v>638</v>
      </c>
      <c r="B596" s="26">
        <v>46192</v>
      </c>
      <c r="C596" s="14" t="s">
        <v>63</v>
      </c>
      <c r="D596" s="27" t="str">
        <f>IFERROR(VLOOKUP(C596,'Chart of Accounts'!$A$4:$F$30,2,FALSE),"")</f>
        <v>Inventory</v>
      </c>
      <c r="E596" s="27" t="str">
        <f>IFERROR(VLOOKUP(C596,'Chart of Accounts'!$A$4:$F$30,4,FALSE),"")</f>
        <v>Inventory</v>
      </c>
      <c r="F596" s="27" t="str">
        <f>IFERROR(VLOOKUP(C596,'Chart of Accounts'!$A$4:$F$30,5,FALSE),"")</f>
        <v>BS</v>
      </c>
      <c r="G596" s="15">
        <v>64209.464671674999</v>
      </c>
      <c r="H596" s="15">
        <v>0</v>
      </c>
      <c r="I596" s="10">
        <f t="shared" si="27"/>
        <v>64209.464671674999</v>
      </c>
      <c r="J596" s="14" t="s">
        <v>639</v>
      </c>
      <c r="K596" s="14" t="s">
        <v>304</v>
      </c>
      <c r="L596" s="14" t="s">
        <v>190</v>
      </c>
      <c r="M596" s="8" t="str">
        <f t="shared" si="28"/>
        <v>2026-06</v>
      </c>
      <c r="N596" s="8" t="str">
        <f t="shared" si="29"/>
        <v>OK</v>
      </c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 spans="1:52">
      <c r="A597" s="14" t="s">
        <v>638</v>
      </c>
      <c r="B597" s="26">
        <v>46192</v>
      </c>
      <c r="C597" s="14" t="s">
        <v>71</v>
      </c>
      <c r="D597" s="27" t="str">
        <f>IFERROR(VLOOKUP(C597,'Chart of Accounts'!$A$4:$F$30,2,FALSE),"")</f>
        <v>Trade Payables</v>
      </c>
      <c r="E597" s="27" t="str">
        <f>IFERROR(VLOOKUP(C597,'Chart of Accounts'!$A$4:$F$30,4,FALSE),"")</f>
        <v>Trade Payables</v>
      </c>
      <c r="F597" s="27" t="str">
        <f>IFERROR(VLOOKUP(C597,'Chart of Accounts'!$A$4:$F$30,5,FALSE),"")</f>
        <v>BS</v>
      </c>
      <c r="G597" s="15">
        <v>0</v>
      </c>
      <c r="H597" s="15">
        <v>64209.464671674999</v>
      </c>
      <c r="I597" s="10">
        <f t="shared" si="27"/>
        <v>-64209.464671674999</v>
      </c>
      <c r="J597" s="14" t="s">
        <v>639</v>
      </c>
      <c r="K597" s="14" t="s">
        <v>304</v>
      </c>
      <c r="L597" s="14" t="s">
        <v>190</v>
      </c>
      <c r="M597" s="8" t="str">
        <f t="shared" si="28"/>
        <v>2026-06</v>
      </c>
      <c r="N597" s="8" t="str">
        <f t="shared" si="29"/>
        <v>OK</v>
      </c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 spans="1:52">
      <c r="A598" s="14" t="s">
        <v>640</v>
      </c>
      <c r="B598" s="26">
        <v>46190</v>
      </c>
      <c r="C598" s="14" t="s">
        <v>63</v>
      </c>
      <c r="D598" s="27" t="str">
        <f>IFERROR(VLOOKUP(C598,'Chart of Accounts'!$A$4:$F$30,2,FALSE),"")</f>
        <v>Inventory</v>
      </c>
      <c r="E598" s="27" t="str">
        <f>IFERROR(VLOOKUP(C598,'Chart of Accounts'!$A$4:$F$30,4,FALSE),"")</f>
        <v>Inventory</v>
      </c>
      <c r="F598" s="27" t="str">
        <f>IFERROR(VLOOKUP(C598,'Chart of Accounts'!$A$4:$F$30,5,FALSE),"")</f>
        <v>BS</v>
      </c>
      <c r="G598" s="15">
        <v>72697.142527486343</v>
      </c>
      <c r="H598" s="15">
        <v>0</v>
      </c>
      <c r="I598" s="10">
        <f t="shared" si="27"/>
        <v>72697.142527486343</v>
      </c>
      <c r="J598" s="14" t="s">
        <v>641</v>
      </c>
      <c r="K598" s="14" t="s">
        <v>642</v>
      </c>
      <c r="L598" s="14" t="s">
        <v>190</v>
      </c>
      <c r="M598" s="8" t="str">
        <f t="shared" si="28"/>
        <v>2026-06</v>
      </c>
      <c r="N598" s="8" t="str">
        <f t="shared" si="29"/>
        <v>OK</v>
      </c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 spans="1:52">
      <c r="A599" s="14" t="s">
        <v>640</v>
      </c>
      <c r="B599" s="26">
        <v>46190</v>
      </c>
      <c r="C599" s="14" t="s">
        <v>71</v>
      </c>
      <c r="D599" s="27" t="str">
        <f>IFERROR(VLOOKUP(C599,'Chart of Accounts'!$A$4:$F$30,2,FALSE),"")</f>
        <v>Trade Payables</v>
      </c>
      <c r="E599" s="27" t="str">
        <f>IFERROR(VLOOKUP(C599,'Chart of Accounts'!$A$4:$F$30,4,FALSE),"")</f>
        <v>Trade Payables</v>
      </c>
      <c r="F599" s="27" t="str">
        <f>IFERROR(VLOOKUP(C599,'Chart of Accounts'!$A$4:$F$30,5,FALSE),"")</f>
        <v>BS</v>
      </c>
      <c r="G599" s="15">
        <v>0</v>
      </c>
      <c r="H599" s="15">
        <v>72697.142527486343</v>
      </c>
      <c r="I599" s="10">
        <f t="shared" si="27"/>
        <v>-72697.142527486343</v>
      </c>
      <c r="J599" s="14" t="s">
        <v>641</v>
      </c>
      <c r="K599" s="14" t="s">
        <v>642</v>
      </c>
      <c r="L599" s="14" t="s">
        <v>190</v>
      </c>
      <c r="M599" s="8" t="str">
        <f t="shared" si="28"/>
        <v>2026-06</v>
      </c>
      <c r="N599" s="8" t="str">
        <f t="shared" si="29"/>
        <v>OK</v>
      </c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 spans="1:52">
      <c r="A600" s="14" t="s">
        <v>643</v>
      </c>
      <c r="B600" s="26">
        <v>46187</v>
      </c>
      <c r="C600" s="14" t="s">
        <v>71</v>
      </c>
      <c r="D600" s="27" t="str">
        <f>IFERROR(VLOOKUP(C600,'Chart of Accounts'!$A$4:$F$30,2,FALSE),"")</f>
        <v>Trade Payables</v>
      </c>
      <c r="E600" s="27" t="str">
        <f>IFERROR(VLOOKUP(C600,'Chart of Accounts'!$A$4:$F$30,4,FALSE),"")</f>
        <v>Trade Payables</v>
      </c>
      <c r="F600" s="27" t="str">
        <f>IFERROR(VLOOKUP(C600,'Chart of Accounts'!$A$4:$F$30,5,FALSE),"")</f>
        <v>BS</v>
      </c>
      <c r="G600" s="15">
        <v>83672.190968638577</v>
      </c>
      <c r="H600" s="15">
        <v>0</v>
      </c>
      <c r="I600" s="10">
        <f t="shared" si="27"/>
        <v>83672.190968638577</v>
      </c>
      <c r="J600" s="14" t="s">
        <v>644</v>
      </c>
      <c r="K600" s="14" t="s">
        <v>207</v>
      </c>
      <c r="L600" s="14" t="s">
        <v>208</v>
      </c>
      <c r="M600" s="8" t="str">
        <f t="shared" si="28"/>
        <v>2026-06</v>
      </c>
      <c r="N600" s="8" t="str">
        <f t="shared" si="29"/>
        <v>OK</v>
      </c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 spans="1:52">
      <c r="A601" s="14" t="s">
        <v>643</v>
      </c>
      <c r="B601" s="26">
        <v>46187</v>
      </c>
      <c r="C601" s="14" t="s">
        <v>52</v>
      </c>
      <c r="D601" s="27" t="str">
        <f>IFERROR(VLOOKUP(C601,'Chart of Accounts'!$A$4:$F$30,2,FALSE),"")</f>
        <v>Bank</v>
      </c>
      <c r="E601" s="27" t="str">
        <f>IFERROR(VLOOKUP(C601,'Chart of Accounts'!$A$4:$F$30,4,FALSE),"")</f>
        <v>Cash</v>
      </c>
      <c r="F601" s="27" t="str">
        <f>IFERROR(VLOOKUP(C601,'Chart of Accounts'!$A$4:$F$30,5,FALSE),"")</f>
        <v>BS</v>
      </c>
      <c r="G601" s="15">
        <v>0</v>
      </c>
      <c r="H601" s="15">
        <v>83672.190968638577</v>
      </c>
      <c r="I601" s="10">
        <f t="shared" si="27"/>
        <v>-83672.190968638577</v>
      </c>
      <c r="J601" s="14" t="s">
        <v>644</v>
      </c>
      <c r="K601" s="14" t="s">
        <v>207</v>
      </c>
      <c r="L601" s="14" t="s">
        <v>208</v>
      </c>
      <c r="M601" s="8" t="str">
        <f t="shared" si="28"/>
        <v>2026-06</v>
      </c>
      <c r="N601" s="8" t="str">
        <f t="shared" si="29"/>
        <v>OK</v>
      </c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 spans="1:52">
      <c r="A602" s="14" t="s">
        <v>645</v>
      </c>
      <c r="B602" s="26">
        <v>46188</v>
      </c>
      <c r="C602" s="14" t="s">
        <v>71</v>
      </c>
      <c r="D602" s="27" t="str">
        <f>IFERROR(VLOOKUP(C602,'Chart of Accounts'!$A$4:$F$30,2,FALSE),"")</f>
        <v>Trade Payables</v>
      </c>
      <c r="E602" s="27" t="str">
        <f>IFERROR(VLOOKUP(C602,'Chart of Accounts'!$A$4:$F$30,4,FALSE),"")</f>
        <v>Trade Payables</v>
      </c>
      <c r="F602" s="27" t="str">
        <f>IFERROR(VLOOKUP(C602,'Chart of Accounts'!$A$4:$F$30,5,FALSE),"")</f>
        <v>BS</v>
      </c>
      <c r="G602" s="15">
        <v>99409.512330921978</v>
      </c>
      <c r="H602" s="15">
        <v>0</v>
      </c>
      <c r="I602" s="10">
        <f t="shared" si="27"/>
        <v>99409.512330921978</v>
      </c>
      <c r="J602" s="14" t="s">
        <v>646</v>
      </c>
      <c r="K602" s="14" t="s">
        <v>207</v>
      </c>
      <c r="L602" s="14" t="s">
        <v>208</v>
      </c>
      <c r="M602" s="8" t="str">
        <f t="shared" si="28"/>
        <v>2026-06</v>
      </c>
      <c r="N602" s="8" t="str">
        <f t="shared" si="29"/>
        <v>OK</v>
      </c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 spans="1:52">
      <c r="A603" s="14" t="s">
        <v>645</v>
      </c>
      <c r="B603" s="26">
        <v>46188</v>
      </c>
      <c r="C603" s="14" t="s">
        <v>52</v>
      </c>
      <c r="D603" s="27" t="str">
        <f>IFERROR(VLOOKUP(C603,'Chart of Accounts'!$A$4:$F$30,2,FALSE),"")</f>
        <v>Bank</v>
      </c>
      <c r="E603" s="27" t="str">
        <f>IFERROR(VLOOKUP(C603,'Chart of Accounts'!$A$4:$F$30,4,FALSE),"")</f>
        <v>Cash</v>
      </c>
      <c r="F603" s="27" t="str">
        <f>IFERROR(VLOOKUP(C603,'Chart of Accounts'!$A$4:$F$30,5,FALSE),"")</f>
        <v>BS</v>
      </c>
      <c r="G603" s="15">
        <v>0</v>
      </c>
      <c r="H603" s="15">
        <v>99409.512330921978</v>
      </c>
      <c r="I603" s="10">
        <f t="shared" si="27"/>
        <v>-99409.512330921978</v>
      </c>
      <c r="J603" s="14" t="s">
        <v>646</v>
      </c>
      <c r="K603" s="14" t="s">
        <v>207</v>
      </c>
      <c r="L603" s="14" t="s">
        <v>208</v>
      </c>
      <c r="M603" s="8" t="str">
        <f t="shared" si="28"/>
        <v>2026-06</v>
      </c>
      <c r="N603" s="8" t="str">
        <f t="shared" si="29"/>
        <v>OK</v>
      </c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 spans="1:52">
      <c r="A604" s="14" t="s">
        <v>647</v>
      </c>
      <c r="B604" s="26">
        <v>46193</v>
      </c>
      <c r="C604" s="14" t="s">
        <v>71</v>
      </c>
      <c r="D604" s="27" t="str">
        <f>IFERROR(VLOOKUP(C604,'Chart of Accounts'!$A$4:$F$30,2,FALSE),"")</f>
        <v>Trade Payables</v>
      </c>
      <c r="E604" s="27" t="str">
        <f>IFERROR(VLOOKUP(C604,'Chart of Accounts'!$A$4:$F$30,4,FALSE),"")</f>
        <v>Trade Payables</v>
      </c>
      <c r="F604" s="27" t="str">
        <f>IFERROR(VLOOKUP(C604,'Chart of Accounts'!$A$4:$F$30,5,FALSE),"")</f>
        <v>BS</v>
      </c>
      <c r="G604" s="15">
        <v>93418.889201558937</v>
      </c>
      <c r="H604" s="15">
        <v>0</v>
      </c>
      <c r="I604" s="10">
        <f t="shared" si="27"/>
        <v>93418.889201558937</v>
      </c>
      <c r="J604" s="14" t="s">
        <v>648</v>
      </c>
      <c r="K604" s="14" t="s">
        <v>207</v>
      </c>
      <c r="L604" s="14" t="s">
        <v>208</v>
      </c>
      <c r="M604" s="8" t="str">
        <f t="shared" si="28"/>
        <v>2026-06</v>
      </c>
      <c r="N604" s="8" t="str">
        <f t="shared" si="29"/>
        <v>OK</v>
      </c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 spans="1:52">
      <c r="A605" s="14" t="s">
        <v>647</v>
      </c>
      <c r="B605" s="26">
        <v>46193</v>
      </c>
      <c r="C605" s="14" t="s">
        <v>52</v>
      </c>
      <c r="D605" s="27" t="str">
        <f>IFERROR(VLOOKUP(C605,'Chart of Accounts'!$A$4:$F$30,2,FALSE),"")</f>
        <v>Bank</v>
      </c>
      <c r="E605" s="27" t="str">
        <f>IFERROR(VLOOKUP(C605,'Chart of Accounts'!$A$4:$F$30,4,FALSE),"")</f>
        <v>Cash</v>
      </c>
      <c r="F605" s="27" t="str">
        <f>IFERROR(VLOOKUP(C605,'Chart of Accounts'!$A$4:$F$30,5,FALSE),"")</f>
        <v>BS</v>
      </c>
      <c r="G605" s="15">
        <v>0</v>
      </c>
      <c r="H605" s="15">
        <v>93418.889201558937</v>
      </c>
      <c r="I605" s="10">
        <f t="shared" si="27"/>
        <v>-93418.889201558937</v>
      </c>
      <c r="J605" s="14" t="s">
        <v>648</v>
      </c>
      <c r="K605" s="14" t="s">
        <v>207</v>
      </c>
      <c r="L605" s="14" t="s">
        <v>208</v>
      </c>
      <c r="M605" s="8" t="str">
        <f t="shared" si="28"/>
        <v>2026-06</v>
      </c>
      <c r="N605" s="8" t="str">
        <f t="shared" si="29"/>
        <v>OK</v>
      </c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 spans="1:52">
      <c r="A606" s="14" t="s">
        <v>649</v>
      </c>
      <c r="B606" s="26">
        <v>46189</v>
      </c>
      <c r="C606" s="14" t="s">
        <v>71</v>
      </c>
      <c r="D606" s="27" t="str">
        <f>IFERROR(VLOOKUP(C606,'Chart of Accounts'!$A$4:$F$30,2,FALSE),"")</f>
        <v>Trade Payables</v>
      </c>
      <c r="E606" s="27" t="str">
        <f>IFERROR(VLOOKUP(C606,'Chart of Accounts'!$A$4:$F$30,4,FALSE),"")</f>
        <v>Trade Payables</v>
      </c>
      <c r="F606" s="27" t="str">
        <f>IFERROR(VLOOKUP(C606,'Chart of Accounts'!$A$4:$F$30,5,FALSE),"")</f>
        <v>BS</v>
      </c>
      <c r="G606" s="15">
        <v>111487.09833079499</v>
      </c>
      <c r="H606" s="15">
        <v>0</v>
      </c>
      <c r="I606" s="10">
        <f t="shared" si="27"/>
        <v>111487.09833079499</v>
      </c>
      <c r="J606" s="14" t="s">
        <v>650</v>
      </c>
      <c r="K606" s="14" t="s">
        <v>207</v>
      </c>
      <c r="L606" s="14" t="s">
        <v>208</v>
      </c>
      <c r="M606" s="8" t="str">
        <f t="shared" si="28"/>
        <v>2026-06</v>
      </c>
      <c r="N606" s="8" t="str">
        <f t="shared" si="29"/>
        <v>OK</v>
      </c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 spans="1:52">
      <c r="A607" s="14" t="s">
        <v>649</v>
      </c>
      <c r="B607" s="26">
        <v>46189</v>
      </c>
      <c r="C607" s="14" t="s">
        <v>52</v>
      </c>
      <c r="D607" s="27" t="str">
        <f>IFERROR(VLOOKUP(C607,'Chart of Accounts'!$A$4:$F$30,2,FALSE),"")</f>
        <v>Bank</v>
      </c>
      <c r="E607" s="27" t="str">
        <f>IFERROR(VLOOKUP(C607,'Chart of Accounts'!$A$4:$F$30,4,FALSE),"")</f>
        <v>Cash</v>
      </c>
      <c r="F607" s="27" t="str">
        <f>IFERROR(VLOOKUP(C607,'Chart of Accounts'!$A$4:$F$30,5,FALSE),"")</f>
        <v>BS</v>
      </c>
      <c r="G607" s="15">
        <v>0</v>
      </c>
      <c r="H607" s="15">
        <v>111487.09833079499</v>
      </c>
      <c r="I607" s="10">
        <f t="shared" si="27"/>
        <v>-111487.09833079499</v>
      </c>
      <c r="J607" s="14" t="s">
        <v>650</v>
      </c>
      <c r="K607" s="14" t="s">
        <v>207</v>
      </c>
      <c r="L607" s="14" t="s">
        <v>208</v>
      </c>
      <c r="M607" s="8" t="str">
        <f t="shared" si="28"/>
        <v>2026-06</v>
      </c>
      <c r="N607" s="8" t="str">
        <f t="shared" si="29"/>
        <v>OK</v>
      </c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 spans="1:52">
      <c r="A608" s="14" t="s">
        <v>651</v>
      </c>
      <c r="B608" s="26">
        <v>46196</v>
      </c>
      <c r="C608" s="14" t="s">
        <v>71</v>
      </c>
      <c r="D608" s="27" t="str">
        <f>IFERROR(VLOOKUP(C608,'Chart of Accounts'!$A$4:$F$30,2,FALSE),"")</f>
        <v>Trade Payables</v>
      </c>
      <c r="E608" s="27" t="str">
        <f>IFERROR(VLOOKUP(C608,'Chart of Accounts'!$A$4:$F$30,4,FALSE),"")</f>
        <v>Trade Payables</v>
      </c>
      <c r="F608" s="27" t="str">
        <f>IFERROR(VLOOKUP(C608,'Chart of Accounts'!$A$4:$F$30,5,FALSE),"")</f>
        <v>BS</v>
      </c>
      <c r="G608" s="15">
        <v>117049.95381808534</v>
      </c>
      <c r="H608" s="15">
        <v>0</v>
      </c>
      <c r="I608" s="10">
        <f t="shared" si="27"/>
        <v>117049.95381808534</v>
      </c>
      <c r="J608" s="14" t="s">
        <v>652</v>
      </c>
      <c r="K608" s="14" t="s">
        <v>207</v>
      </c>
      <c r="L608" s="14" t="s">
        <v>208</v>
      </c>
      <c r="M608" s="8" t="str">
        <f t="shared" si="28"/>
        <v>2026-06</v>
      </c>
      <c r="N608" s="8" t="str">
        <f t="shared" si="29"/>
        <v>OK</v>
      </c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 spans="1:52">
      <c r="A609" s="14" t="s">
        <v>651</v>
      </c>
      <c r="B609" s="26">
        <v>46196</v>
      </c>
      <c r="C609" s="14" t="s">
        <v>52</v>
      </c>
      <c r="D609" s="27" t="str">
        <f>IFERROR(VLOOKUP(C609,'Chart of Accounts'!$A$4:$F$30,2,FALSE),"")</f>
        <v>Bank</v>
      </c>
      <c r="E609" s="27" t="str">
        <f>IFERROR(VLOOKUP(C609,'Chart of Accounts'!$A$4:$F$30,4,FALSE),"")</f>
        <v>Cash</v>
      </c>
      <c r="F609" s="27" t="str">
        <f>IFERROR(VLOOKUP(C609,'Chart of Accounts'!$A$4:$F$30,5,FALSE),"")</f>
        <v>BS</v>
      </c>
      <c r="G609" s="15">
        <v>0</v>
      </c>
      <c r="H609" s="15">
        <v>117049.95381808534</v>
      </c>
      <c r="I609" s="10">
        <f t="shared" si="27"/>
        <v>-117049.95381808534</v>
      </c>
      <c r="J609" s="14" t="s">
        <v>652</v>
      </c>
      <c r="K609" s="14" t="s">
        <v>207</v>
      </c>
      <c r="L609" s="14" t="s">
        <v>208</v>
      </c>
      <c r="M609" s="8" t="str">
        <f t="shared" si="28"/>
        <v>2026-06</v>
      </c>
      <c r="N609" s="8" t="str">
        <f t="shared" si="29"/>
        <v>OK</v>
      </c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 spans="1:52">
      <c r="A610" s="14" t="s">
        <v>653</v>
      </c>
      <c r="B610" s="26">
        <v>46198</v>
      </c>
      <c r="C610" s="14" t="s">
        <v>94</v>
      </c>
      <c r="D610" s="27" t="str">
        <f>IFERROR(VLOOKUP(C610,'Chart of Accounts'!$A$4:$F$30,2,FALSE),"")</f>
        <v>Salaries &amp; Wages</v>
      </c>
      <c r="E610" s="27" t="str">
        <f>IFERROR(VLOOKUP(C610,'Chart of Accounts'!$A$4:$F$30,4,FALSE),"")</f>
        <v>Salaries</v>
      </c>
      <c r="F610" s="27" t="str">
        <f>IFERROR(VLOOKUP(C610,'Chart of Accounts'!$A$4:$F$30,5,FALSE),"")</f>
        <v>PL</v>
      </c>
      <c r="G610" s="15">
        <v>187666.59169103595</v>
      </c>
      <c r="H610" s="15">
        <v>0</v>
      </c>
      <c r="I610" s="10">
        <f t="shared" si="27"/>
        <v>187666.59169103595</v>
      </c>
      <c r="J610" s="14" t="s">
        <v>654</v>
      </c>
      <c r="K610" s="14" t="s">
        <v>219</v>
      </c>
      <c r="L610" s="14" t="s">
        <v>220</v>
      </c>
      <c r="M610" s="8" t="str">
        <f t="shared" si="28"/>
        <v>2026-06</v>
      </c>
      <c r="N610" s="8" t="str">
        <f t="shared" si="29"/>
        <v>OK</v>
      </c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 spans="1:52">
      <c r="A611" s="14" t="s">
        <v>653</v>
      </c>
      <c r="B611" s="26">
        <v>46198</v>
      </c>
      <c r="C611" s="14" t="s">
        <v>97</v>
      </c>
      <c r="D611" s="27" t="str">
        <f>IFERROR(VLOOKUP(C611,'Chart of Accounts'!$A$4:$F$30,2,FALSE),"")</f>
        <v>Employer NI &amp; Pension</v>
      </c>
      <c r="E611" s="27" t="str">
        <f>IFERROR(VLOOKUP(C611,'Chart of Accounts'!$A$4:$F$30,4,FALSE),"")</f>
        <v>Employer Costs</v>
      </c>
      <c r="F611" s="27" t="str">
        <f>IFERROR(VLOOKUP(C611,'Chart of Accounts'!$A$4:$F$30,5,FALSE),"")</f>
        <v>PL</v>
      </c>
      <c r="G611" s="15">
        <v>25334.989878289856</v>
      </c>
      <c r="H611" s="15">
        <v>0</v>
      </c>
      <c r="I611" s="10">
        <f t="shared" si="27"/>
        <v>25334.989878289856</v>
      </c>
      <c r="J611" s="14" t="s">
        <v>654</v>
      </c>
      <c r="K611" s="14" t="s">
        <v>219</v>
      </c>
      <c r="L611" s="14" t="s">
        <v>220</v>
      </c>
      <c r="M611" s="8" t="str">
        <f t="shared" si="28"/>
        <v>2026-06</v>
      </c>
      <c r="N611" s="8" t="str">
        <f t="shared" si="29"/>
        <v>OK</v>
      </c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 spans="1:52">
      <c r="A612" s="14" t="s">
        <v>653</v>
      </c>
      <c r="B612" s="26">
        <v>46198</v>
      </c>
      <c r="C612" s="14" t="s">
        <v>52</v>
      </c>
      <c r="D612" s="27" t="str">
        <f>IFERROR(VLOOKUP(C612,'Chart of Accounts'!$A$4:$F$30,2,FALSE),"")</f>
        <v>Bank</v>
      </c>
      <c r="E612" s="27" t="str">
        <f>IFERROR(VLOOKUP(C612,'Chart of Accounts'!$A$4:$F$30,4,FALSE),"")</f>
        <v>Cash</v>
      </c>
      <c r="F612" s="27" t="str">
        <f>IFERROR(VLOOKUP(C612,'Chart of Accounts'!$A$4:$F$30,5,FALSE),"")</f>
        <v>BS</v>
      </c>
      <c r="G612" s="15">
        <v>0</v>
      </c>
      <c r="H612" s="15">
        <v>198926.58719249812</v>
      </c>
      <c r="I612" s="10">
        <f t="shared" si="27"/>
        <v>-198926.58719249812</v>
      </c>
      <c r="J612" s="14" t="s">
        <v>654</v>
      </c>
      <c r="K612" s="14" t="s">
        <v>219</v>
      </c>
      <c r="L612" s="14" t="s">
        <v>220</v>
      </c>
      <c r="M612" s="8" t="str">
        <f t="shared" si="28"/>
        <v>2026-06</v>
      </c>
      <c r="N612" s="8" t="str">
        <f t="shared" si="29"/>
        <v>OK</v>
      </c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 spans="1:52">
      <c r="A613" s="14" t="s">
        <v>653</v>
      </c>
      <c r="B613" s="26">
        <v>46198</v>
      </c>
      <c r="C613" s="14" t="s">
        <v>76</v>
      </c>
      <c r="D613" s="27" t="str">
        <f>IFERROR(VLOOKUP(C613,'Chart of Accounts'!$A$4:$F$30,2,FALSE),"")</f>
        <v>Payroll Liabilities</v>
      </c>
      <c r="E613" s="27" t="str">
        <f>IFERROR(VLOOKUP(C613,'Chart of Accounts'!$A$4:$F$30,4,FALSE),"")</f>
        <v>Payroll Liabilities</v>
      </c>
      <c r="F613" s="27" t="str">
        <f>IFERROR(VLOOKUP(C613,'Chart of Accounts'!$A$4:$F$30,5,FALSE),"")</f>
        <v>BS</v>
      </c>
      <c r="G613" s="15">
        <v>0</v>
      </c>
      <c r="H613" s="15">
        <v>14074.994376827695</v>
      </c>
      <c r="I613" s="10">
        <f t="shared" si="27"/>
        <v>-14074.994376827695</v>
      </c>
      <c r="J613" s="14" t="s">
        <v>654</v>
      </c>
      <c r="K613" s="14" t="s">
        <v>219</v>
      </c>
      <c r="L613" s="14" t="s">
        <v>220</v>
      </c>
      <c r="M613" s="8" t="str">
        <f t="shared" si="28"/>
        <v>2026-06</v>
      </c>
      <c r="N613" s="8" t="str">
        <f t="shared" si="29"/>
        <v>OK</v>
      </c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 spans="1:52">
      <c r="A614" s="14" t="s">
        <v>655</v>
      </c>
      <c r="B614" s="26">
        <v>46201</v>
      </c>
      <c r="C614" s="14" t="s">
        <v>76</v>
      </c>
      <c r="D614" s="27" t="str">
        <f>IFERROR(VLOOKUP(C614,'Chart of Accounts'!$A$4:$F$30,2,FALSE),"")</f>
        <v>Payroll Liabilities</v>
      </c>
      <c r="E614" s="27" t="str">
        <f>IFERROR(VLOOKUP(C614,'Chart of Accounts'!$A$4:$F$30,4,FALSE),"")</f>
        <v>Payroll Liabilities</v>
      </c>
      <c r="F614" s="27" t="str">
        <f>IFERROR(VLOOKUP(C614,'Chart of Accounts'!$A$4:$F$30,5,FALSE),"")</f>
        <v>BS</v>
      </c>
      <c r="G614" s="15">
        <v>14074.994376827695</v>
      </c>
      <c r="H614" s="15">
        <v>0</v>
      </c>
      <c r="I614" s="10">
        <f t="shared" si="27"/>
        <v>14074.994376827695</v>
      </c>
      <c r="J614" s="14" t="s">
        <v>656</v>
      </c>
      <c r="K614" s="14" t="s">
        <v>223</v>
      </c>
      <c r="L614" s="14" t="s">
        <v>220</v>
      </c>
      <c r="M614" s="8" t="str">
        <f t="shared" si="28"/>
        <v>2026-06</v>
      </c>
      <c r="N614" s="8" t="str">
        <f t="shared" si="29"/>
        <v>OK</v>
      </c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 spans="1:52">
      <c r="A615" s="14" t="s">
        <v>655</v>
      </c>
      <c r="B615" s="26">
        <v>46201</v>
      </c>
      <c r="C615" s="14" t="s">
        <v>52</v>
      </c>
      <c r="D615" s="27" t="str">
        <f>IFERROR(VLOOKUP(C615,'Chart of Accounts'!$A$4:$F$30,2,FALSE),"")</f>
        <v>Bank</v>
      </c>
      <c r="E615" s="27" t="str">
        <f>IFERROR(VLOOKUP(C615,'Chart of Accounts'!$A$4:$F$30,4,FALSE),"")</f>
        <v>Cash</v>
      </c>
      <c r="F615" s="27" t="str">
        <f>IFERROR(VLOOKUP(C615,'Chart of Accounts'!$A$4:$F$30,5,FALSE),"")</f>
        <v>BS</v>
      </c>
      <c r="G615" s="15">
        <v>0</v>
      </c>
      <c r="H615" s="15">
        <v>14074.994376827695</v>
      </c>
      <c r="I615" s="10">
        <f t="shared" si="27"/>
        <v>-14074.994376827695</v>
      </c>
      <c r="J615" s="14" t="s">
        <v>656</v>
      </c>
      <c r="K615" s="14" t="s">
        <v>223</v>
      </c>
      <c r="L615" s="14" t="s">
        <v>220</v>
      </c>
      <c r="M615" s="8" t="str">
        <f t="shared" si="28"/>
        <v>2026-06</v>
      </c>
      <c r="N615" s="8" t="str">
        <f t="shared" si="29"/>
        <v>OK</v>
      </c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 spans="1:52">
      <c r="A616" s="14" t="s">
        <v>657</v>
      </c>
      <c r="B616" s="26">
        <v>46191</v>
      </c>
      <c r="C616" s="14" t="s">
        <v>100</v>
      </c>
      <c r="D616" s="27" t="str">
        <f>IFERROR(VLOOKUP(C616,'Chart of Accounts'!$A$4:$F$30,2,FALSE),"")</f>
        <v>Marketing</v>
      </c>
      <c r="E616" s="27" t="str">
        <f>IFERROR(VLOOKUP(C616,'Chart of Accounts'!$A$4:$F$30,4,FALSE),"")</f>
        <v>Marketing</v>
      </c>
      <c r="F616" s="27" t="str">
        <f>IFERROR(VLOOKUP(C616,'Chart of Accounts'!$A$4:$F$30,5,FALSE),"")</f>
        <v>PL</v>
      </c>
      <c r="G616" s="15">
        <v>74360.0513777655</v>
      </c>
      <c r="H616" s="15">
        <v>0</v>
      </c>
      <c r="I616" s="10">
        <f t="shared" si="27"/>
        <v>74360.0513777655</v>
      </c>
      <c r="J616" s="14" t="s">
        <v>658</v>
      </c>
      <c r="K616" s="14" t="s">
        <v>226</v>
      </c>
      <c r="L616" s="14" t="s">
        <v>190</v>
      </c>
      <c r="M616" s="8" t="str">
        <f t="shared" si="28"/>
        <v>2026-06</v>
      </c>
      <c r="N616" s="8" t="str">
        <f t="shared" si="29"/>
        <v>OK</v>
      </c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 spans="1:52">
      <c r="A617" s="14" t="s">
        <v>657</v>
      </c>
      <c r="B617" s="26">
        <v>46191</v>
      </c>
      <c r="C617" s="14" t="s">
        <v>71</v>
      </c>
      <c r="D617" s="27" t="str">
        <f>IFERROR(VLOOKUP(C617,'Chart of Accounts'!$A$4:$F$30,2,FALSE),"")</f>
        <v>Trade Payables</v>
      </c>
      <c r="E617" s="27" t="str">
        <f>IFERROR(VLOOKUP(C617,'Chart of Accounts'!$A$4:$F$30,4,FALSE),"")</f>
        <v>Trade Payables</v>
      </c>
      <c r="F617" s="27" t="str">
        <f>IFERROR(VLOOKUP(C617,'Chart of Accounts'!$A$4:$F$30,5,FALSE),"")</f>
        <v>BS</v>
      </c>
      <c r="G617" s="15">
        <v>0</v>
      </c>
      <c r="H617" s="15">
        <v>74360.0513777655</v>
      </c>
      <c r="I617" s="10">
        <f t="shared" si="27"/>
        <v>-74360.0513777655</v>
      </c>
      <c r="J617" s="14" t="s">
        <v>658</v>
      </c>
      <c r="K617" s="14" t="s">
        <v>226</v>
      </c>
      <c r="L617" s="14" t="s">
        <v>190</v>
      </c>
      <c r="M617" s="8" t="str">
        <f t="shared" si="28"/>
        <v>2026-06</v>
      </c>
      <c r="N617" s="8" t="str">
        <f t="shared" si="29"/>
        <v>OK</v>
      </c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 spans="1:52">
      <c r="A618" s="14" t="s">
        <v>659</v>
      </c>
      <c r="B618" s="26">
        <v>46174</v>
      </c>
      <c r="C618" s="14" t="s">
        <v>102</v>
      </c>
      <c r="D618" s="27" t="str">
        <f>IFERROR(VLOOKUP(C618,'Chart of Accounts'!$A$4:$F$30,2,FALSE),"")</f>
        <v>Rent</v>
      </c>
      <c r="E618" s="27" t="str">
        <f>IFERROR(VLOOKUP(C618,'Chart of Accounts'!$A$4:$F$30,4,FALSE),"")</f>
        <v>Rent</v>
      </c>
      <c r="F618" s="27" t="str">
        <f>IFERROR(VLOOKUP(C618,'Chart of Accounts'!$A$4:$F$30,5,FALSE),"")</f>
        <v>PL</v>
      </c>
      <c r="G618" s="15">
        <v>52000</v>
      </c>
      <c r="H618" s="15">
        <v>0</v>
      </c>
      <c r="I618" s="10">
        <f t="shared" si="27"/>
        <v>52000</v>
      </c>
      <c r="J618" s="14" t="s">
        <v>660</v>
      </c>
      <c r="K618" s="14" t="s">
        <v>229</v>
      </c>
      <c r="L618" s="14" t="s">
        <v>53</v>
      </c>
      <c r="M618" s="8" t="str">
        <f t="shared" si="28"/>
        <v>2026-06</v>
      </c>
      <c r="N618" s="8" t="str">
        <f t="shared" si="29"/>
        <v>OK</v>
      </c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 spans="1:52">
      <c r="A619" s="14" t="s">
        <v>659</v>
      </c>
      <c r="B619" s="26">
        <v>46174</v>
      </c>
      <c r="C619" s="14" t="s">
        <v>52</v>
      </c>
      <c r="D619" s="27" t="str">
        <f>IFERROR(VLOOKUP(C619,'Chart of Accounts'!$A$4:$F$30,2,FALSE),"")</f>
        <v>Bank</v>
      </c>
      <c r="E619" s="27" t="str">
        <f>IFERROR(VLOOKUP(C619,'Chart of Accounts'!$A$4:$F$30,4,FALSE),"")</f>
        <v>Cash</v>
      </c>
      <c r="F619" s="27" t="str">
        <f>IFERROR(VLOOKUP(C619,'Chart of Accounts'!$A$4:$F$30,5,FALSE),"")</f>
        <v>BS</v>
      </c>
      <c r="G619" s="15">
        <v>0</v>
      </c>
      <c r="H619" s="15">
        <v>52000</v>
      </c>
      <c r="I619" s="10">
        <f t="shared" si="27"/>
        <v>-52000</v>
      </c>
      <c r="J619" s="14" t="s">
        <v>660</v>
      </c>
      <c r="K619" s="14" t="s">
        <v>229</v>
      </c>
      <c r="L619" s="14" t="s">
        <v>53</v>
      </c>
      <c r="M619" s="8" t="str">
        <f t="shared" si="28"/>
        <v>2026-06</v>
      </c>
      <c r="N619" s="8" t="str">
        <f t="shared" si="29"/>
        <v>OK</v>
      </c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 spans="1:52">
      <c r="A620" s="14" t="s">
        <v>661</v>
      </c>
      <c r="B620" s="26">
        <v>46193</v>
      </c>
      <c r="C620" s="14" t="s">
        <v>104</v>
      </c>
      <c r="D620" s="27" t="str">
        <f>IFERROR(VLOOKUP(C620,'Chart of Accounts'!$A$4:$F$30,2,FALSE),"")</f>
        <v>Utilities</v>
      </c>
      <c r="E620" s="27" t="str">
        <f>IFERROR(VLOOKUP(C620,'Chart of Accounts'!$A$4:$F$30,4,FALSE),"")</f>
        <v>Utilities</v>
      </c>
      <c r="F620" s="27" t="str">
        <f>IFERROR(VLOOKUP(C620,'Chart of Accounts'!$A$4:$F$30,5,FALSE),"")</f>
        <v>PL</v>
      </c>
      <c r="G620" s="15">
        <v>21369.876782151143</v>
      </c>
      <c r="H620" s="15">
        <v>0</v>
      </c>
      <c r="I620" s="10">
        <f t="shared" si="27"/>
        <v>21369.876782151143</v>
      </c>
      <c r="J620" s="14" t="s">
        <v>662</v>
      </c>
      <c r="K620" s="14" t="s">
        <v>232</v>
      </c>
      <c r="L620" s="14" t="s">
        <v>190</v>
      </c>
      <c r="M620" s="8" t="str">
        <f t="shared" si="28"/>
        <v>2026-06</v>
      </c>
      <c r="N620" s="8" t="str">
        <f t="shared" si="29"/>
        <v>OK</v>
      </c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 spans="1:52">
      <c r="A621" s="14" t="s">
        <v>661</v>
      </c>
      <c r="B621" s="26">
        <v>46193</v>
      </c>
      <c r="C621" s="14" t="s">
        <v>71</v>
      </c>
      <c r="D621" s="27" t="str">
        <f>IFERROR(VLOOKUP(C621,'Chart of Accounts'!$A$4:$F$30,2,FALSE),"")</f>
        <v>Trade Payables</v>
      </c>
      <c r="E621" s="27" t="str">
        <f>IFERROR(VLOOKUP(C621,'Chart of Accounts'!$A$4:$F$30,4,FALSE),"")</f>
        <v>Trade Payables</v>
      </c>
      <c r="F621" s="27" t="str">
        <f>IFERROR(VLOOKUP(C621,'Chart of Accounts'!$A$4:$F$30,5,FALSE),"")</f>
        <v>BS</v>
      </c>
      <c r="G621" s="15">
        <v>0</v>
      </c>
      <c r="H621" s="15">
        <v>21369.876782151143</v>
      </c>
      <c r="I621" s="10">
        <f t="shared" si="27"/>
        <v>-21369.876782151143</v>
      </c>
      <c r="J621" s="14" t="s">
        <v>662</v>
      </c>
      <c r="K621" s="14" t="s">
        <v>232</v>
      </c>
      <c r="L621" s="14" t="s">
        <v>190</v>
      </c>
      <c r="M621" s="8" t="str">
        <f t="shared" si="28"/>
        <v>2026-06</v>
      </c>
      <c r="N621" s="8" t="str">
        <f t="shared" si="29"/>
        <v>OK</v>
      </c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 spans="1:52">
      <c r="A622" s="14" t="s">
        <v>663</v>
      </c>
      <c r="B622" s="26">
        <v>46189</v>
      </c>
      <c r="C622" s="14" t="s">
        <v>106</v>
      </c>
      <c r="D622" s="27" t="str">
        <f>IFERROR(VLOOKUP(C622,'Chart of Accounts'!$A$4:$F$30,2,FALSE),"")</f>
        <v>Professional Fees</v>
      </c>
      <c r="E622" s="27" t="str">
        <f>IFERROR(VLOOKUP(C622,'Chart of Accounts'!$A$4:$F$30,4,FALSE),"")</f>
        <v>Professional Fees</v>
      </c>
      <c r="F622" s="27" t="str">
        <f>IFERROR(VLOOKUP(C622,'Chart of Accounts'!$A$4:$F$30,5,FALSE),"")</f>
        <v>PL</v>
      </c>
      <c r="G622" s="15">
        <v>16639.71673522257</v>
      </c>
      <c r="H622" s="15">
        <v>0</v>
      </c>
      <c r="I622" s="10">
        <f t="shared" si="27"/>
        <v>16639.71673522257</v>
      </c>
      <c r="J622" s="14" t="s">
        <v>664</v>
      </c>
      <c r="K622" s="14" t="s">
        <v>235</v>
      </c>
      <c r="L622" s="14" t="s">
        <v>190</v>
      </c>
      <c r="M622" s="8" t="str">
        <f t="shared" si="28"/>
        <v>2026-06</v>
      </c>
      <c r="N622" s="8" t="str">
        <f t="shared" si="29"/>
        <v>OK</v>
      </c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 spans="1:52">
      <c r="A623" s="14" t="s">
        <v>663</v>
      </c>
      <c r="B623" s="26">
        <v>46189</v>
      </c>
      <c r="C623" s="14" t="s">
        <v>71</v>
      </c>
      <c r="D623" s="27" t="str">
        <f>IFERROR(VLOOKUP(C623,'Chart of Accounts'!$A$4:$F$30,2,FALSE),"")</f>
        <v>Trade Payables</v>
      </c>
      <c r="E623" s="27" t="str">
        <f>IFERROR(VLOOKUP(C623,'Chart of Accounts'!$A$4:$F$30,4,FALSE),"")</f>
        <v>Trade Payables</v>
      </c>
      <c r="F623" s="27" t="str">
        <f>IFERROR(VLOOKUP(C623,'Chart of Accounts'!$A$4:$F$30,5,FALSE),"")</f>
        <v>BS</v>
      </c>
      <c r="G623" s="15">
        <v>0</v>
      </c>
      <c r="H623" s="15">
        <v>16639.71673522257</v>
      </c>
      <c r="I623" s="10">
        <f t="shared" si="27"/>
        <v>-16639.71673522257</v>
      </c>
      <c r="J623" s="14" t="s">
        <v>664</v>
      </c>
      <c r="K623" s="14" t="s">
        <v>235</v>
      </c>
      <c r="L623" s="14" t="s">
        <v>190</v>
      </c>
      <c r="M623" s="8" t="str">
        <f t="shared" si="28"/>
        <v>2026-06</v>
      </c>
      <c r="N623" s="8" t="str">
        <f t="shared" si="29"/>
        <v>OK</v>
      </c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 spans="1:52">
      <c r="A624" s="14" t="s">
        <v>665</v>
      </c>
      <c r="B624" s="26">
        <v>46178</v>
      </c>
      <c r="C624" s="14" t="s">
        <v>110</v>
      </c>
      <c r="D624" s="27" t="str">
        <f>IFERROR(VLOOKUP(C624,'Chart of Accounts'!$A$4:$F$30,2,FALSE),"")</f>
        <v>Software &amp; IT</v>
      </c>
      <c r="E624" s="27" t="str">
        <f>IFERROR(VLOOKUP(C624,'Chart of Accounts'!$A$4:$F$30,4,FALSE),"")</f>
        <v>Software &amp; IT</v>
      </c>
      <c r="F624" s="27" t="str">
        <f>IFERROR(VLOOKUP(C624,'Chart of Accounts'!$A$4:$F$30,5,FALSE),"")</f>
        <v>PL</v>
      </c>
      <c r="G624" s="15">
        <v>22000</v>
      </c>
      <c r="H624" s="15">
        <v>0</v>
      </c>
      <c r="I624" s="10">
        <f t="shared" si="27"/>
        <v>22000</v>
      </c>
      <c r="J624" s="14" t="s">
        <v>666</v>
      </c>
      <c r="K624" s="14" t="s">
        <v>238</v>
      </c>
      <c r="L624" s="14" t="s">
        <v>53</v>
      </c>
      <c r="M624" s="8" t="str">
        <f t="shared" si="28"/>
        <v>2026-06</v>
      </c>
      <c r="N624" s="8" t="str">
        <f t="shared" si="29"/>
        <v>OK</v>
      </c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 spans="1:52">
      <c r="A625" s="14" t="s">
        <v>665</v>
      </c>
      <c r="B625" s="26">
        <v>46178</v>
      </c>
      <c r="C625" s="14" t="s">
        <v>52</v>
      </c>
      <c r="D625" s="27" t="str">
        <f>IFERROR(VLOOKUP(C625,'Chart of Accounts'!$A$4:$F$30,2,FALSE),"")</f>
        <v>Bank</v>
      </c>
      <c r="E625" s="27" t="str">
        <f>IFERROR(VLOOKUP(C625,'Chart of Accounts'!$A$4:$F$30,4,FALSE),"")</f>
        <v>Cash</v>
      </c>
      <c r="F625" s="27" t="str">
        <f>IFERROR(VLOOKUP(C625,'Chart of Accounts'!$A$4:$F$30,5,FALSE),"")</f>
        <v>BS</v>
      </c>
      <c r="G625" s="15">
        <v>0</v>
      </c>
      <c r="H625" s="15">
        <v>22000</v>
      </c>
      <c r="I625" s="10">
        <f t="shared" si="27"/>
        <v>-22000</v>
      </c>
      <c r="J625" s="14" t="s">
        <v>666</v>
      </c>
      <c r="K625" s="14" t="s">
        <v>238</v>
      </c>
      <c r="L625" s="14" t="s">
        <v>53</v>
      </c>
      <c r="M625" s="8" t="str">
        <f t="shared" si="28"/>
        <v>2026-06</v>
      </c>
      <c r="N625" s="8" t="str">
        <f t="shared" si="29"/>
        <v>OK</v>
      </c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 spans="1:52">
      <c r="A626" s="14" t="s">
        <v>667</v>
      </c>
      <c r="B626" s="26">
        <v>46195</v>
      </c>
      <c r="C626" s="14" t="s">
        <v>112</v>
      </c>
      <c r="D626" s="27" t="str">
        <f>IFERROR(VLOOKUP(C626,'Chart of Accounts'!$A$4:$F$30,2,FALSE),"")</f>
        <v>Travel &amp; Entertainment</v>
      </c>
      <c r="E626" s="27" t="str">
        <f>IFERROR(VLOOKUP(C626,'Chart of Accounts'!$A$4:$F$30,4,FALSE),"")</f>
        <v>Travel</v>
      </c>
      <c r="F626" s="27" t="str">
        <f>IFERROR(VLOOKUP(C626,'Chart of Accounts'!$A$4:$F$30,5,FALSE),"")</f>
        <v>PL</v>
      </c>
      <c r="G626" s="15">
        <v>10261.46675591014</v>
      </c>
      <c r="H626" s="15">
        <v>0</v>
      </c>
      <c r="I626" s="10">
        <f t="shared" si="27"/>
        <v>10261.46675591014</v>
      </c>
      <c r="J626" s="14" t="s">
        <v>668</v>
      </c>
      <c r="K626" s="14" t="s">
        <v>241</v>
      </c>
      <c r="L626" s="14" t="s">
        <v>53</v>
      </c>
      <c r="M626" s="8" t="str">
        <f t="shared" si="28"/>
        <v>2026-06</v>
      </c>
      <c r="N626" s="8" t="str">
        <f t="shared" si="29"/>
        <v>OK</v>
      </c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 spans="1:52">
      <c r="A627" s="14" t="s">
        <v>667</v>
      </c>
      <c r="B627" s="26">
        <v>46195</v>
      </c>
      <c r="C627" s="14" t="s">
        <v>52</v>
      </c>
      <c r="D627" s="27" t="str">
        <f>IFERROR(VLOOKUP(C627,'Chart of Accounts'!$A$4:$F$30,2,FALSE),"")</f>
        <v>Bank</v>
      </c>
      <c r="E627" s="27" t="str">
        <f>IFERROR(VLOOKUP(C627,'Chart of Accounts'!$A$4:$F$30,4,FALSE),"")</f>
        <v>Cash</v>
      </c>
      <c r="F627" s="27" t="str">
        <f>IFERROR(VLOOKUP(C627,'Chart of Accounts'!$A$4:$F$30,5,FALSE),"")</f>
        <v>BS</v>
      </c>
      <c r="G627" s="15">
        <v>0</v>
      </c>
      <c r="H627" s="15">
        <v>10261.46675591014</v>
      </c>
      <c r="I627" s="10">
        <f t="shared" si="27"/>
        <v>-10261.46675591014</v>
      </c>
      <c r="J627" s="14" t="s">
        <v>668</v>
      </c>
      <c r="K627" s="14" t="s">
        <v>241</v>
      </c>
      <c r="L627" s="14" t="s">
        <v>53</v>
      </c>
      <c r="M627" s="8" t="str">
        <f t="shared" si="28"/>
        <v>2026-06</v>
      </c>
      <c r="N627" s="8" t="str">
        <f t="shared" si="29"/>
        <v>OK</v>
      </c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 spans="1:52">
      <c r="A628" s="14" t="s">
        <v>669</v>
      </c>
      <c r="B628" s="26">
        <v>46200</v>
      </c>
      <c r="C628" s="14" t="s">
        <v>120</v>
      </c>
      <c r="D628" s="27" t="str">
        <f>IFERROR(VLOOKUP(C628,'Chart of Accounts'!$A$4:$F$30,2,FALSE),"")</f>
        <v>Interest Expense</v>
      </c>
      <c r="E628" s="27" t="str">
        <f>IFERROR(VLOOKUP(C628,'Chart of Accounts'!$A$4:$F$30,4,FALSE),"")</f>
        <v>Interest</v>
      </c>
      <c r="F628" s="27" t="str">
        <f>IFERROR(VLOOKUP(C628,'Chart of Accounts'!$A$4:$F$30,5,FALSE),"")</f>
        <v>PL</v>
      </c>
      <c r="G628" s="15">
        <v>5500</v>
      </c>
      <c r="H628" s="15">
        <v>0</v>
      </c>
      <c r="I628" s="10">
        <f t="shared" si="27"/>
        <v>5500</v>
      </c>
      <c r="J628" s="14" t="s">
        <v>670</v>
      </c>
      <c r="K628" s="14" t="s">
        <v>244</v>
      </c>
      <c r="L628" s="14" t="s">
        <v>53</v>
      </c>
      <c r="M628" s="8" t="str">
        <f t="shared" si="28"/>
        <v>2026-06</v>
      </c>
      <c r="N628" s="8" t="str">
        <f t="shared" si="29"/>
        <v>OK</v>
      </c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 spans="1:52">
      <c r="A629" s="14" t="s">
        <v>669</v>
      </c>
      <c r="B629" s="26">
        <v>46200</v>
      </c>
      <c r="C629" s="14" t="s">
        <v>52</v>
      </c>
      <c r="D629" s="27" t="str">
        <f>IFERROR(VLOOKUP(C629,'Chart of Accounts'!$A$4:$F$30,2,FALSE),"")</f>
        <v>Bank</v>
      </c>
      <c r="E629" s="27" t="str">
        <f>IFERROR(VLOOKUP(C629,'Chart of Accounts'!$A$4:$F$30,4,FALSE),"")</f>
        <v>Cash</v>
      </c>
      <c r="F629" s="27" t="str">
        <f>IFERROR(VLOOKUP(C629,'Chart of Accounts'!$A$4:$F$30,5,FALSE),"")</f>
        <v>BS</v>
      </c>
      <c r="G629" s="15">
        <v>0</v>
      </c>
      <c r="H629" s="15">
        <v>5500</v>
      </c>
      <c r="I629" s="10">
        <f t="shared" si="27"/>
        <v>-5500</v>
      </c>
      <c r="J629" s="14" t="s">
        <v>670</v>
      </c>
      <c r="K629" s="14" t="s">
        <v>244</v>
      </c>
      <c r="L629" s="14" t="s">
        <v>53</v>
      </c>
      <c r="M629" s="8" t="str">
        <f t="shared" si="28"/>
        <v>2026-06</v>
      </c>
      <c r="N629" s="8" t="str">
        <f t="shared" si="29"/>
        <v>OK</v>
      </c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 spans="1:52">
      <c r="A630" s="14" t="s">
        <v>671</v>
      </c>
      <c r="B630" s="26">
        <v>46201</v>
      </c>
      <c r="C630" s="14" t="s">
        <v>115</v>
      </c>
      <c r="D630" s="27" t="str">
        <f>IFERROR(VLOOKUP(C630,'Chart of Accounts'!$A$4:$F$30,2,FALSE),"")</f>
        <v>Depreciation</v>
      </c>
      <c r="E630" s="27" t="str">
        <f>IFERROR(VLOOKUP(C630,'Chart of Accounts'!$A$4:$F$30,4,FALSE),"")</f>
        <v>Depreciation</v>
      </c>
      <c r="F630" s="27" t="str">
        <f>IFERROR(VLOOKUP(C630,'Chart of Accounts'!$A$4:$F$30,5,FALSE),"")</f>
        <v>PL</v>
      </c>
      <c r="G630" s="15">
        <v>15000</v>
      </c>
      <c r="H630" s="15">
        <v>0</v>
      </c>
      <c r="I630" s="10">
        <f t="shared" si="27"/>
        <v>15000</v>
      </c>
      <c r="J630" s="14" t="s">
        <v>672</v>
      </c>
      <c r="K630" s="14" t="s">
        <v>247</v>
      </c>
      <c r="L630" s="14" t="s">
        <v>248</v>
      </c>
      <c r="M630" s="8" t="str">
        <f t="shared" si="28"/>
        <v>2026-06</v>
      </c>
      <c r="N630" s="8" t="str">
        <f t="shared" si="29"/>
        <v>OK</v>
      </c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 spans="1:52">
      <c r="A631" s="14" t="s">
        <v>671</v>
      </c>
      <c r="B631" s="26">
        <v>46201</v>
      </c>
      <c r="C631" s="14" t="s">
        <v>69</v>
      </c>
      <c r="D631" s="27" t="str">
        <f>IFERROR(VLOOKUP(C631,'Chart of Accounts'!$A$4:$F$30,2,FALSE),"")</f>
        <v>Accumulated Depreciation</v>
      </c>
      <c r="E631" s="27" t="str">
        <f>IFERROR(VLOOKUP(C631,'Chart of Accounts'!$A$4:$F$30,4,FALSE),"")</f>
        <v>Accumulated Depreciation</v>
      </c>
      <c r="F631" s="27" t="str">
        <f>IFERROR(VLOOKUP(C631,'Chart of Accounts'!$A$4:$F$30,5,FALSE),"")</f>
        <v>BS</v>
      </c>
      <c r="G631" s="15">
        <v>0</v>
      </c>
      <c r="H631" s="15">
        <v>15000</v>
      </c>
      <c r="I631" s="10">
        <f t="shared" si="27"/>
        <v>-15000</v>
      </c>
      <c r="J631" s="14" t="s">
        <v>672</v>
      </c>
      <c r="K631" s="14" t="s">
        <v>247</v>
      </c>
      <c r="L631" s="14" t="s">
        <v>248</v>
      </c>
      <c r="M631" s="8" t="str">
        <f t="shared" si="28"/>
        <v>2026-06</v>
      </c>
      <c r="N631" s="8" t="str">
        <f t="shared" si="29"/>
        <v>OK</v>
      </c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 spans="1:52">
      <c r="A632" s="14" t="s">
        <v>673</v>
      </c>
      <c r="B632" s="26">
        <v>46208</v>
      </c>
      <c r="C632" s="14" t="s">
        <v>58</v>
      </c>
      <c r="D632" s="27" t="str">
        <f>IFERROR(VLOOKUP(C632,'Chart of Accounts'!$A$4:$F$30,2,FALSE),"")</f>
        <v>Trade Receivables</v>
      </c>
      <c r="E632" s="27" t="str">
        <f>IFERROR(VLOOKUP(C632,'Chart of Accounts'!$A$4:$F$30,4,FALSE),"")</f>
        <v>Trade Receivables</v>
      </c>
      <c r="F632" s="27" t="str">
        <f>IFERROR(VLOOKUP(C632,'Chart of Accounts'!$A$4:$F$30,5,FALSE),"")</f>
        <v>BS</v>
      </c>
      <c r="G632" s="15">
        <v>67665.677143025503</v>
      </c>
      <c r="H632" s="15">
        <v>0</v>
      </c>
      <c r="I632" s="10">
        <f t="shared" si="27"/>
        <v>67665.677143025503</v>
      </c>
      <c r="J632" s="14" t="s">
        <v>674</v>
      </c>
      <c r="K632" s="14" t="s">
        <v>428</v>
      </c>
      <c r="L632" s="14" t="s">
        <v>140</v>
      </c>
      <c r="M632" s="8" t="str">
        <f t="shared" si="28"/>
        <v>2026-07</v>
      </c>
      <c r="N632" s="8" t="str">
        <f t="shared" si="29"/>
        <v>OK</v>
      </c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 spans="1:52">
      <c r="A633" s="14" t="s">
        <v>673</v>
      </c>
      <c r="B633" s="26">
        <v>46208</v>
      </c>
      <c r="C633" s="14" t="s">
        <v>86</v>
      </c>
      <c r="D633" s="27" t="str">
        <f>IFERROR(VLOOKUP(C633,'Chart of Accounts'!$A$4:$F$30,2,FALSE),"")</f>
        <v>Product Sales</v>
      </c>
      <c r="E633" s="27" t="str">
        <f>IFERROR(VLOOKUP(C633,'Chart of Accounts'!$A$4:$F$30,4,FALSE),"")</f>
        <v>Revenue</v>
      </c>
      <c r="F633" s="27" t="str">
        <f>IFERROR(VLOOKUP(C633,'Chart of Accounts'!$A$4:$F$30,5,FALSE),"")</f>
        <v>PL</v>
      </c>
      <c r="G633" s="15">
        <v>0</v>
      </c>
      <c r="H633" s="15">
        <v>67665.677143025503</v>
      </c>
      <c r="I633" s="10">
        <f t="shared" si="27"/>
        <v>-67665.677143025503</v>
      </c>
      <c r="J633" s="14" t="s">
        <v>674</v>
      </c>
      <c r="K633" s="14" t="s">
        <v>428</v>
      </c>
      <c r="L633" s="14" t="s">
        <v>140</v>
      </c>
      <c r="M633" s="8" t="str">
        <f t="shared" si="28"/>
        <v>2026-07</v>
      </c>
      <c r="N633" s="8" t="str">
        <f t="shared" si="29"/>
        <v>OK</v>
      </c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 spans="1:52">
      <c r="A634" s="14" t="s">
        <v>673</v>
      </c>
      <c r="B634" s="26">
        <v>46208</v>
      </c>
      <c r="C634" s="14" t="s">
        <v>90</v>
      </c>
      <c r="D634" s="27" t="str">
        <f>IFERROR(VLOOKUP(C634,'Chart of Accounts'!$A$4:$F$30,2,FALSE),"")</f>
        <v>Cost of Goods Sold</v>
      </c>
      <c r="E634" s="27" t="str">
        <f>IFERROR(VLOOKUP(C634,'Chart of Accounts'!$A$4:$F$30,4,FALSE),"")</f>
        <v>COGS</v>
      </c>
      <c r="F634" s="27" t="str">
        <f>IFERROR(VLOOKUP(C634,'Chart of Accounts'!$A$4:$F$30,5,FALSE),"")</f>
        <v>PL</v>
      </c>
      <c r="G634" s="15">
        <v>37013.125397234944</v>
      </c>
      <c r="H634" s="15">
        <v>0</v>
      </c>
      <c r="I634" s="10">
        <f t="shared" si="27"/>
        <v>37013.125397234944</v>
      </c>
      <c r="J634" s="14" t="s">
        <v>674</v>
      </c>
      <c r="K634" s="14" t="s">
        <v>428</v>
      </c>
      <c r="L634" s="14" t="s">
        <v>140</v>
      </c>
      <c r="M634" s="8" t="str">
        <f t="shared" si="28"/>
        <v>2026-07</v>
      </c>
      <c r="N634" s="8" t="str">
        <f t="shared" si="29"/>
        <v>OK</v>
      </c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 spans="1:52">
      <c r="A635" s="14" t="s">
        <v>673</v>
      </c>
      <c r="B635" s="26">
        <v>46208</v>
      </c>
      <c r="C635" s="14" t="s">
        <v>63</v>
      </c>
      <c r="D635" s="27" t="str">
        <f>IFERROR(VLOOKUP(C635,'Chart of Accounts'!$A$4:$F$30,2,FALSE),"")</f>
        <v>Inventory</v>
      </c>
      <c r="E635" s="27" t="str">
        <f>IFERROR(VLOOKUP(C635,'Chart of Accounts'!$A$4:$F$30,4,FALSE),"")</f>
        <v>Inventory</v>
      </c>
      <c r="F635" s="27" t="str">
        <f>IFERROR(VLOOKUP(C635,'Chart of Accounts'!$A$4:$F$30,5,FALSE),"")</f>
        <v>BS</v>
      </c>
      <c r="G635" s="15">
        <v>0</v>
      </c>
      <c r="H635" s="15">
        <v>37013.125397234944</v>
      </c>
      <c r="I635" s="10">
        <f t="shared" si="27"/>
        <v>-37013.125397234944</v>
      </c>
      <c r="J635" s="14" t="s">
        <v>674</v>
      </c>
      <c r="K635" s="14" t="s">
        <v>428</v>
      </c>
      <c r="L635" s="14" t="s">
        <v>140</v>
      </c>
      <c r="M635" s="8" t="str">
        <f t="shared" si="28"/>
        <v>2026-07</v>
      </c>
      <c r="N635" s="8" t="str">
        <f t="shared" si="29"/>
        <v>OK</v>
      </c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 spans="1:52">
      <c r="A636" s="14" t="s">
        <v>675</v>
      </c>
      <c r="B636" s="26">
        <v>46208</v>
      </c>
      <c r="C636" s="14" t="s">
        <v>58</v>
      </c>
      <c r="D636" s="27" t="str">
        <f>IFERROR(VLOOKUP(C636,'Chart of Accounts'!$A$4:$F$30,2,FALSE),"")</f>
        <v>Trade Receivables</v>
      </c>
      <c r="E636" s="27" t="str">
        <f>IFERROR(VLOOKUP(C636,'Chart of Accounts'!$A$4:$F$30,4,FALSE),"")</f>
        <v>Trade Receivables</v>
      </c>
      <c r="F636" s="27" t="str">
        <f>IFERROR(VLOOKUP(C636,'Chart of Accounts'!$A$4:$F$30,5,FALSE),"")</f>
        <v>BS</v>
      </c>
      <c r="G636" s="15">
        <v>81090.941303826752</v>
      </c>
      <c r="H636" s="15">
        <v>0</v>
      </c>
      <c r="I636" s="10">
        <f t="shared" si="27"/>
        <v>81090.941303826752</v>
      </c>
      <c r="J636" s="14" t="s">
        <v>676</v>
      </c>
      <c r="K636" s="14" t="s">
        <v>447</v>
      </c>
      <c r="L636" s="14" t="s">
        <v>140</v>
      </c>
      <c r="M636" s="8" t="str">
        <f t="shared" si="28"/>
        <v>2026-07</v>
      </c>
      <c r="N636" s="8" t="str">
        <f t="shared" si="29"/>
        <v>OK</v>
      </c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 spans="1:52">
      <c r="A637" s="14" t="s">
        <v>675</v>
      </c>
      <c r="B637" s="26">
        <v>46208</v>
      </c>
      <c r="C637" s="14" t="s">
        <v>86</v>
      </c>
      <c r="D637" s="27" t="str">
        <f>IFERROR(VLOOKUP(C637,'Chart of Accounts'!$A$4:$F$30,2,FALSE),"")</f>
        <v>Product Sales</v>
      </c>
      <c r="E637" s="27" t="str">
        <f>IFERROR(VLOOKUP(C637,'Chart of Accounts'!$A$4:$F$30,4,FALSE),"")</f>
        <v>Revenue</v>
      </c>
      <c r="F637" s="27" t="str">
        <f>IFERROR(VLOOKUP(C637,'Chart of Accounts'!$A$4:$F$30,5,FALSE),"")</f>
        <v>PL</v>
      </c>
      <c r="G637" s="15">
        <v>0</v>
      </c>
      <c r="H637" s="15">
        <v>81090.941303826752</v>
      </c>
      <c r="I637" s="10">
        <f t="shared" si="27"/>
        <v>-81090.941303826752</v>
      </c>
      <c r="J637" s="14" t="s">
        <v>676</v>
      </c>
      <c r="K637" s="14" t="s">
        <v>447</v>
      </c>
      <c r="L637" s="14" t="s">
        <v>140</v>
      </c>
      <c r="M637" s="8" t="str">
        <f t="shared" si="28"/>
        <v>2026-07</v>
      </c>
      <c r="N637" s="8" t="str">
        <f t="shared" si="29"/>
        <v>OK</v>
      </c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 spans="1:52">
      <c r="A638" s="14" t="s">
        <v>675</v>
      </c>
      <c r="B638" s="26">
        <v>46208</v>
      </c>
      <c r="C638" s="14" t="s">
        <v>90</v>
      </c>
      <c r="D638" s="27" t="str">
        <f>IFERROR(VLOOKUP(C638,'Chart of Accounts'!$A$4:$F$30,2,FALSE),"")</f>
        <v>Cost of Goods Sold</v>
      </c>
      <c r="E638" s="27" t="str">
        <f>IFERROR(VLOOKUP(C638,'Chart of Accounts'!$A$4:$F$30,4,FALSE),"")</f>
        <v>COGS</v>
      </c>
      <c r="F638" s="27" t="str">
        <f>IFERROR(VLOOKUP(C638,'Chart of Accounts'!$A$4:$F$30,5,FALSE),"")</f>
        <v>PL</v>
      </c>
      <c r="G638" s="15">
        <v>44356.74489319323</v>
      </c>
      <c r="H638" s="15">
        <v>0</v>
      </c>
      <c r="I638" s="10">
        <f t="shared" si="27"/>
        <v>44356.74489319323</v>
      </c>
      <c r="J638" s="14" t="s">
        <v>676</v>
      </c>
      <c r="K638" s="14" t="s">
        <v>447</v>
      </c>
      <c r="L638" s="14" t="s">
        <v>140</v>
      </c>
      <c r="M638" s="8" t="str">
        <f t="shared" si="28"/>
        <v>2026-07</v>
      </c>
      <c r="N638" s="8" t="str">
        <f t="shared" si="29"/>
        <v>OK</v>
      </c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 spans="1:52">
      <c r="A639" s="14" t="s">
        <v>675</v>
      </c>
      <c r="B639" s="26">
        <v>46208</v>
      </c>
      <c r="C639" s="14" t="s">
        <v>63</v>
      </c>
      <c r="D639" s="27" t="str">
        <f>IFERROR(VLOOKUP(C639,'Chart of Accounts'!$A$4:$F$30,2,FALSE),"")</f>
        <v>Inventory</v>
      </c>
      <c r="E639" s="27" t="str">
        <f>IFERROR(VLOOKUP(C639,'Chart of Accounts'!$A$4:$F$30,4,FALSE),"")</f>
        <v>Inventory</v>
      </c>
      <c r="F639" s="27" t="str">
        <f>IFERROR(VLOOKUP(C639,'Chart of Accounts'!$A$4:$F$30,5,FALSE),"")</f>
        <v>BS</v>
      </c>
      <c r="G639" s="15">
        <v>0</v>
      </c>
      <c r="H639" s="15">
        <v>44356.74489319323</v>
      </c>
      <c r="I639" s="10">
        <f t="shared" si="27"/>
        <v>-44356.74489319323</v>
      </c>
      <c r="J639" s="14" t="s">
        <v>676</v>
      </c>
      <c r="K639" s="14" t="s">
        <v>447</v>
      </c>
      <c r="L639" s="14" t="s">
        <v>140</v>
      </c>
      <c r="M639" s="8" t="str">
        <f t="shared" si="28"/>
        <v>2026-07</v>
      </c>
      <c r="N639" s="8" t="str">
        <f t="shared" si="29"/>
        <v>OK</v>
      </c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 spans="1:52">
      <c r="A640" s="14" t="s">
        <v>677</v>
      </c>
      <c r="B640" s="26">
        <v>46219</v>
      </c>
      <c r="C640" s="14" t="s">
        <v>58</v>
      </c>
      <c r="D640" s="27" t="str">
        <f>IFERROR(VLOOKUP(C640,'Chart of Accounts'!$A$4:$F$30,2,FALSE),"")</f>
        <v>Trade Receivables</v>
      </c>
      <c r="E640" s="27" t="str">
        <f>IFERROR(VLOOKUP(C640,'Chart of Accounts'!$A$4:$F$30,4,FALSE),"")</f>
        <v>Trade Receivables</v>
      </c>
      <c r="F640" s="27" t="str">
        <f>IFERROR(VLOOKUP(C640,'Chart of Accounts'!$A$4:$F$30,5,FALSE),"")</f>
        <v>BS</v>
      </c>
      <c r="G640" s="15">
        <v>84689.03977266248</v>
      </c>
      <c r="H640" s="15">
        <v>0</v>
      </c>
      <c r="I640" s="10">
        <f t="shared" si="27"/>
        <v>84689.03977266248</v>
      </c>
      <c r="J640" s="14" t="s">
        <v>678</v>
      </c>
      <c r="K640" s="14" t="s">
        <v>161</v>
      </c>
      <c r="L640" s="14" t="s">
        <v>140</v>
      </c>
      <c r="M640" s="8" t="str">
        <f t="shared" si="28"/>
        <v>2026-07</v>
      </c>
      <c r="N640" s="8" t="str">
        <f t="shared" si="29"/>
        <v>OK</v>
      </c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 spans="1:52">
      <c r="A641" s="14" t="s">
        <v>677</v>
      </c>
      <c r="B641" s="26">
        <v>46219</v>
      </c>
      <c r="C641" s="14" t="s">
        <v>86</v>
      </c>
      <c r="D641" s="27" t="str">
        <f>IFERROR(VLOOKUP(C641,'Chart of Accounts'!$A$4:$F$30,2,FALSE),"")</f>
        <v>Product Sales</v>
      </c>
      <c r="E641" s="27" t="str">
        <f>IFERROR(VLOOKUP(C641,'Chart of Accounts'!$A$4:$F$30,4,FALSE),"")</f>
        <v>Revenue</v>
      </c>
      <c r="F641" s="27" t="str">
        <f>IFERROR(VLOOKUP(C641,'Chart of Accounts'!$A$4:$F$30,5,FALSE),"")</f>
        <v>PL</v>
      </c>
      <c r="G641" s="15">
        <v>0</v>
      </c>
      <c r="H641" s="15">
        <v>84689.03977266248</v>
      </c>
      <c r="I641" s="10">
        <f t="shared" si="27"/>
        <v>-84689.03977266248</v>
      </c>
      <c r="J641" s="14" t="s">
        <v>678</v>
      </c>
      <c r="K641" s="14" t="s">
        <v>161</v>
      </c>
      <c r="L641" s="14" t="s">
        <v>140</v>
      </c>
      <c r="M641" s="8" t="str">
        <f t="shared" si="28"/>
        <v>2026-07</v>
      </c>
      <c r="N641" s="8" t="str">
        <f t="shared" si="29"/>
        <v>OK</v>
      </c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 spans="1:52">
      <c r="A642" s="14" t="s">
        <v>677</v>
      </c>
      <c r="B642" s="26">
        <v>46219</v>
      </c>
      <c r="C642" s="14" t="s">
        <v>90</v>
      </c>
      <c r="D642" s="27" t="str">
        <f>IFERROR(VLOOKUP(C642,'Chart of Accounts'!$A$4:$F$30,2,FALSE),"")</f>
        <v>Cost of Goods Sold</v>
      </c>
      <c r="E642" s="27" t="str">
        <f>IFERROR(VLOOKUP(C642,'Chart of Accounts'!$A$4:$F$30,4,FALSE),"")</f>
        <v>COGS</v>
      </c>
      <c r="F642" s="27" t="str">
        <f>IFERROR(VLOOKUP(C642,'Chart of Accounts'!$A$4:$F$30,5,FALSE),"")</f>
        <v>PL</v>
      </c>
      <c r="G642" s="15">
        <v>46324.904755646363</v>
      </c>
      <c r="H642" s="15">
        <v>0</v>
      </c>
      <c r="I642" s="10">
        <f t="shared" si="27"/>
        <v>46324.904755646363</v>
      </c>
      <c r="J642" s="14" t="s">
        <v>678</v>
      </c>
      <c r="K642" s="14" t="s">
        <v>161</v>
      </c>
      <c r="L642" s="14" t="s">
        <v>140</v>
      </c>
      <c r="M642" s="8" t="str">
        <f t="shared" si="28"/>
        <v>2026-07</v>
      </c>
      <c r="N642" s="8" t="str">
        <f t="shared" si="29"/>
        <v>OK</v>
      </c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 spans="1:52">
      <c r="A643" s="14" t="s">
        <v>677</v>
      </c>
      <c r="B643" s="26">
        <v>46219</v>
      </c>
      <c r="C643" s="14" t="s">
        <v>63</v>
      </c>
      <c r="D643" s="27" t="str">
        <f>IFERROR(VLOOKUP(C643,'Chart of Accounts'!$A$4:$F$30,2,FALSE),"")</f>
        <v>Inventory</v>
      </c>
      <c r="E643" s="27" t="str">
        <f>IFERROR(VLOOKUP(C643,'Chart of Accounts'!$A$4:$F$30,4,FALSE),"")</f>
        <v>Inventory</v>
      </c>
      <c r="F643" s="27" t="str">
        <f>IFERROR(VLOOKUP(C643,'Chart of Accounts'!$A$4:$F$30,5,FALSE),"")</f>
        <v>BS</v>
      </c>
      <c r="G643" s="15">
        <v>0</v>
      </c>
      <c r="H643" s="15">
        <v>46324.904755646363</v>
      </c>
      <c r="I643" s="10">
        <f t="shared" si="27"/>
        <v>-46324.904755646363</v>
      </c>
      <c r="J643" s="14" t="s">
        <v>678</v>
      </c>
      <c r="K643" s="14" t="s">
        <v>161</v>
      </c>
      <c r="L643" s="14" t="s">
        <v>140</v>
      </c>
      <c r="M643" s="8" t="str">
        <f t="shared" si="28"/>
        <v>2026-07</v>
      </c>
      <c r="N643" s="8" t="str">
        <f t="shared" si="29"/>
        <v>OK</v>
      </c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 spans="1:52">
      <c r="A644" s="14" t="s">
        <v>679</v>
      </c>
      <c r="B644" s="26">
        <v>46223</v>
      </c>
      <c r="C644" s="14" t="s">
        <v>58</v>
      </c>
      <c r="D644" s="27" t="str">
        <f>IFERROR(VLOOKUP(C644,'Chart of Accounts'!$A$4:$F$30,2,FALSE),"")</f>
        <v>Trade Receivables</v>
      </c>
      <c r="E644" s="27" t="str">
        <f>IFERROR(VLOOKUP(C644,'Chart of Accounts'!$A$4:$F$30,4,FALSE),"")</f>
        <v>Trade Receivables</v>
      </c>
      <c r="F644" s="27" t="str">
        <f>IFERROR(VLOOKUP(C644,'Chart of Accounts'!$A$4:$F$30,5,FALSE),"")</f>
        <v>BS</v>
      </c>
      <c r="G644" s="15">
        <v>85989.917827614467</v>
      </c>
      <c r="H644" s="15">
        <v>0</v>
      </c>
      <c r="I644" s="10">
        <f t="shared" ref="I644:I707" si="30">G644-H644</f>
        <v>85989.917827614467</v>
      </c>
      <c r="J644" s="14" t="s">
        <v>680</v>
      </c>
      <c r="K644" s="14" t="s">
        <v>681</v>
      </c>
      <c r="L644" s="14" t="s">
        <v>140</v>
      </c>
      <c r="M644" s="8" t="str">
        <f t="shared" ref="M644:M707" si="31">TEXT(B644,"yyyy-mm")</f>
        <v>2026-07</v>
      </c>
      <c r="N644" s="8" t="str">
        <f t="shared" ref="N644:N707" si="32">"OK"</f>
        <v>OK</v>
      </c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 spans="1:52">
      <c r="A645" s="14" t="s">
        <v>679</v>
      </c>
      <c r="B645" s="26">
        <v>46223</v>
      </c>
      <c r="C645" s="14" t="s">
        <v>86</v>
      </c>
      <c r="D645" s="27" t="str">
        <f>IFERROR(VLOOKUP(C645,'Chart of Accounts'!$A$4:$F$30,2,FALSE),"")</f>
        <v>Product Sales</v>
      </c>
      <c r="E645" s="27" t="str">
        <f>IFERROR(VLOOKUP(C645,'Chart of Accounts'!$A$4:$F$30,4,FALSE),"")</f>
        <v>Revenue</v>
      </c>
      <c r="F645" s="27" t="str">
        <f>IFERROR(VLOOKUP(C645,'Chart of Accounts'!$A$4:$F$30,5,FALSE),"")</f>
        <v>PL</v>
      </c>
      <c r="G645" s="15">
        <v>0</v>
      </c>
      <c r="H645" s="15">
        <v>85989.917827614467</v>
      </c>
      <c r="I645" s="10">
        <f t="shared" si="30"/>
        <v>-85989.917827614467</v>
      </c>
      <c r="J645" s="14" t="s">
        <v>680</v>
      </c>
      <c r="K645" s="14" t="s">
        <v>681</v>
      </c>
      <c r="L645" s="14" t="s">
        <v>140</v>
      </c>
      <c r="M645" s="8" t="str">
        <f t="shared" si="31"/>
        <v>2026-07</v>
      </c>
      <c r="N645" s="8" t="str">
        <f t="shared" si="32"/>
        <v>OK</v>
      </c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 spans="1:52">
      <c r="A646" s="14" t="s">
        <v>679</v>
      </c>
      <c r="B646" s="26">
        <v>46223</v>
      </c>
      <c r="C646" s="14" t="s">
        <v>90</v>
      </c>
      <c r="D646" s="27" t="str">
        <f>IFERROR(VLOOKUP(C646,'Chart of Accounts'!$A$4:$F$30,2,FALSE),"")</f>
        <v>Cost of Goods Sold</v>
      </c>
      <c r="E646" s="27" t="str">
        <f>IFERROR(VLOOKUP(C646,'Chart of Accounts'!$A$4:$F$30,4,FALSE),"")</f>
        <v>COGS</v>
      </c>
      <c r="F646" s="27" t="str">
        <f>IFERROR(VLOOKUP(C646,'Chart of Accounts'!$A$4:$F$30,5,FALSE),"")</f>
        <v>PL</v>
      </c>
      <c r="G646" s="15">
        <v>47036.485051705102</v>
      </c>
      <c r="H646" s="15">
        <v>0</v>
      </c>
      <c r="I646" s="10">
        <f t="shared" si="30"/>
        <v>47036.485051705102</v>
      </c>
      <c r="J646" s="14" t="s">
        <v>680</v>
      </c>
      <c r="K646" s="14" t="s">
        <v>681</v>
      </c>
      <c r="L646" s="14" t="s">
        <v>140</v>
      </c>
      <c r="M646" s="8" t="str">
        <f t="shared" si="31"/>
        <v>2026-07</v>
      </c>
      <c r="N646" s="8" t="str">
        <f t="shared" si="32"/>
        <v>OK</v>
      </c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 spans="1:52">
      <c r="A647" s="14" t="s">
        <v>679</v>
      </c>
      <c r="B647" s="26">
        <v>46223</v>
      </c>
      <c r="C647" s="14" t="s">
        <v>63</v>
      </c>
      <c r="D647" s="27" t="str">
        <f>IFERROR(VLOOKUP(C647,'Chart of Accounts'!$A$4:$F$30,2,FALSE),"")</f>
        <v>Inventory</v>
      </c>
      <c r="E647" s="27" t="str">
        <f>IFERROR(VLOOKUP(C647,'Chart of Accounts'!$A$4:$F$30,4,FALSE),"")</f>
        <v>Inventory</v>
      </c>
      <c r="F647" s="27" t="str">
        <f>IFERROR(VLOOKUP(C647,'Chart of Accounts'!$A$4:$F$30,5,FALSE),"")</f>
        <v>BS</v>
      </c>
      <c r="G647" s="15">
        <v>0</v>
      </c>
      <c r="H647" s="15">
        <v>47036.485051705102</v>
      </c>
      <c r="I647" s="10">
        <f t="shared" si="30"/>
        <v>-47036.485051705102</v>
      </c>
      <c r="J647" s="14" t="s">
        <v>680</v>
      </c>
      <c r="K647" s="14" t="s">
        <v>681</v>
      </c>
      <c r="L647" s="14" t="s">
        <v>140</v>
      </c>
      <c r="M647" s="8" t="str">
        <f t="shared" si="31"/>
        <v>2026-07</v>
      </c>
      <c r="N647" s="8" t="str">
        <f t="shared" si="32"/>
        <v>OK</v>
      </c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 spans="1:52">
      <c r="A648" s="14" t="s">
        <v>682</v>
      </c>
      <c r="B648" s="26">
        <v>46227</v>
      </c>
      <c r="C648" s="14" t="s">
        <v>58</v>
      </c>
      <c r="D648" s="27" t="str">
        <f>IFERROR(VLOOKUP(C648,'Chart of Accounts'!$A$4:$F$30,2,FALSE),"")</f>
        <v>Trade Receivables</v>
      </c>
      <c r="E648" s="27" t="str">
        <f>IFERROR(VLOOKUP(C648,'Chart of Accounts'!$A$4:$F$30,4,FALSE),"")</f>
        <v>Trade Receivables</v>
      </c>
      <c r="F648" s="27" t="str">
        <f>IFERROR(VLOOKUP(C648,'Chart of Accounts'!$A$4:$F$30,5,FALSE),"")</f>
        <v>BS</v>
      </c>
      <c r="G648" s="15">
        <v>88399.41572721336</v>
      </c>
      <c r="H648" s="15">
        <v>0</v>
      </c>
      <c r="I648" s="10">
        <f t="shared" si="30"/>
        <v>88399.41572721336</v>
      </c>
      <c r="J648" s="14" t="s">
        <v>683</v>
      </c>
      <c r="K648" s="14" t="s">
        <v>602</v>
      </c>
      <c r="L648" s="14" t="s">
        <v>140</v>
      </c>
      <c r="M648" s="8" t="str">
        <f t="shared" si="31"/>
        <v>2026-07</v>
      </c>
      <c r="N648" s="8" t="str">
        <f t="shared" si="32"/>
        <v>OK</v>
      </c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 spans="1:52">
      <c r="A649" s="14" t="s">
        <v>682</v>
      </c>
      <c r="B649" s="26">
        <v>46227</v>
      </c>
      <c r="C649" s="14" t="s">
        <v>86</v>
      </c>
      <c r="D649" s="27" t="str">
        <f>IFERROR(VLOOKUP(C649,'Chart of Accounts'!$A$4:$F$30,2,FALSE),"")</f>
        <v>Product Sales</v>
      </c>
      <c r="E649" s="27" t="str">
        <f>IFERROR(VLOOKUP(C649,'Chart of Accounts'!$A$4:$F$30,4,FALSE),"")</f>
        <v>Revenue</v>
      </c>
      <c r="F649" s="27" t="str">
        <f>IFERROR(VLOOKUP(C649,'Chart of Accounts'!$A$4:$F$30,5,FALSE),"")</f>
        <v>PL</v>
      </c>
      <c r="G649" s="15">
        <v>0</v>
      </c>
      <c r="H649" s="15">
        <v>88399.41572721336</v>
      </c>
      <c r="I649" s="10">
        <f t="shared" si="30"/>
        <v>-88399.41572721336</v>
      </c>
      <c r="J649" s="14" t="s">
        <v>683</v>
      </c>
      <c r="K649" s="14" t="s">
        <v>602</v>
      </c>
      <c r="L649" s="14" t="s">
        <v>140</v>
      </c>
      <c r="M649" s="8" t="str">
        <f t="shared" si="31"/>
        <v>2026-07</v>
      </c>
      <c r="N649" s="8" t="str">
        <f t="shared" si="32"/>
        <v>OK</v>
      </c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 spans="1:52">
      <c r="A650" s="14" t="s">
        <v>682</v>
      </c>
      <c r="B650" s="26">
        <v>46227</v>
      </c>
      <c r="C650" s="14" t="s">
        <v>90</v>
      </c>
      <c r="D650" s="27" t="str">
        <f>IFERROR(VLOOKUP(C650,'Chart of Accounts'!$A$4:$F$30,2,FALSE),"")</f>
        <v>Cost of Goods Sold</v>
      </c>
      <c r="E650" s="27" t="str">
        <f>IFERROR(VLOOKUP(C650,'Chart of Accounts'!$A$4:$F$30,4,FALSE),"")</f>
        <v>COGS</v>
      </c>
      <c r="F650" s="27" t="str">
        <f>IFERROR(VLOOKUP(C650,'Chart of Accounts'!$A$4:$F$30,5,FALSE),"")</f>
        <v>PL</v>
      </c>
      <c r="G650" s="15">
        <v>48354.480402785695</v>
      </c>
      <c r="H650" s="15">
        <v>0</v>
      </c>
      <c r="I650" s="10">
        <f t="shared" si="30"/>
        <v>48354.480402785695</v>
      </c>
      <c r="J650" s="14" t="s">
        <v>683</v>
      </c>
      <c r="K650" s="14" t="s">
        <v>602</v>
      </c>
      <c r="L650" s="14" t="s">
        <v>140</v>
      </c>
      <c r="M650" s="8" t="str">
        <f t="shared" si="31"/>
        <v>2026-07</v>
      </c>
      <c r="N650" s="8" t="str">
        <f t="shared" si="32"/>
        <v>OK</v>
      </c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 spans="1:52">
      <c r="A651" s="14" t="s">
        <v>682</v>
      </c>
      <c r="B651" s="26">
        <v>46227</v>
      </c>
      <c r="C651" s="14" t="s">
        <v>63</v>
      </c>
      <c r="D651" s="27" t="str">
        <f>IFERROR(VLOOKUP(C651,'Chart of Accounts'!$A$4:$F$30,2,FALSE),"")</f>
        <v>Inventory</v>
      </c>
      <c r="E651" s="27" t="str">
        <f>IFERROR(VLOOKUP(C651,'Chart of Accounts'!$A$4:$F$30,4,FALSE),"")</f>
        <v>Inventory</v>
      </c>
      <c r="F651" s="27" t="str">
        <f>IFERROR(VLOOKUP(C651,'Chart of Accounts'!$A$4:$F$30,5,FALSE),"")</f>
        <v>BS</v>
      </c>
      <c r="G651" s="15">
        <v>0</v>
      </c>
      <c r="H651" s="15">
        <v>48354.480402785695</v>
      </c>
      <c r="I651" s="10">
        <f t="shared" si="30"/>
        <v>-48354.480402785695</v>
      </c>
      <c r="J651" s="14" t="s">
        <v>683</v>
      </c>
      <c r="K651" s="14" t="s">
        <v>602</v>
      </c>
      <c r="L651" s="14" t="s">
        <v>140</v>
      </c>
      <c r="M651" s="8" t="str">
        <f t="shared" si="31"/>
        <v>2026-07</v>
      </c>
      <c r="N651" s="8" t="str">
        <f t="shared" si="32"/>
        <v>OK</v>
      </c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 spans="1:52">
      <c r="A652" s="14" t="s">
        <v>684</v>
      </c>
      <c r="B652" s="26">
        <v>46217</v>
      </c>
      <c r="C652" s="14" t="s">
        <v>58</v>
      </c>
      <c r="D652" s="27" t="str">
        <f>IFERROR(VLOOKUP(C652,'Chart of Accounts'!$A$4:$F$30,2,FALSE),"")</f>
        <v>Trade Receivables</v>
      </c>
      <c r="E652" s="27" t="str">
        <f>IFERROR(VLOOKUP(C652,'Chart of Accounts'!$A$4:$F$30,4,FALSE),"")</f>
        <v>Trade Receivables</v>
      </c>
      <c r="F652" s="27" t="str">
        <f>IFERROR(VLOOKUP(C652,'Chart of Accounts'!$A$4:$F$30,5,FALSE),"")</f>
        <v>BS</v>
      </c>
      <c r="G652" s="15">
        <v>72287.214189381993</v>
      </c>
      <c r="H652" s="15">
        <v>0</v>
      </c>
      <c r="I652" s="10">
        <f t="shared" si="30"/>
        <v>72287.214189381993</v>
      </c>
      <c r="J652" s="14" t="s">
        <v>685</v>
      </c>
      <c r="K652" s="14" t="s">
        <v>172</v>
      </c>
      <c r="L652" s="14" t="s">
        <v>140</v>
      </c>
      <c r="M652" s="8" t="str">
        <f t="shared" si="31"/>
        <v>2026-07</v>
      </c>
      <c r="N652" s="8" t="str">
        <f t="shared" si="32"/>
        <v>OK</v>
      </c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 spans="1:52">
      <c r="A653" s="14" t="s">
        <v>684</v>
      </c>
      <c r="B653" s="26">
        <v>46217</v>
      </c>
      <c r="C653" s="14" t="s">
        <v>86</v>
      </c>
      <c r="D653" s="27" t="str">
        <f>IFERROR(VLOOKUP(C653,'Chart of Accounts'!$A$4:$F$30,2,FALSE),"")</f>
        <v>Product Sales</v>
      </c>
      <c r="E653" s="27" t="str">
        <f>IFERROR(VLOOKUP(C653,'Chart of Accounts'!$A$4:$F$30,4,FALSE),"")</f>
        <v>Revenue</v>
      </c>
      <c r="F653" s="27" t="str">
        <f>IFERROR(VLOOKUP(C653,'Chart of Accounts'!$A$4:$F$30,5,FALSE),"")</f>
        <v>PL</v>
      </c>
      <c r="G653" s="15">
        <v>0</v>
      </c>
      <c r="H653" s="15">
        <v>72287.214189381993</v>
      </c>
      <c r="I653" s="10">
        <f t="shared" si="30"/>
        <v>-72287.214189381993</v>
      </c>
      <c r="J653" s="14" t="s">
        <v>685</v>
      </c>
      <c r="K653" s="14" t="s">
        <v>172</v>
      </c>
      <c r="L653" s="14" t="s">
        <v>140</v>
      </c>
      <c r="M653" s="8" t="str">
        <f t="shared" si="31"/>
        <v>2026-07</v>
      </c>
      <c r="N653" s="8" t="str">
        <f t="shared" si="32"/>
        <v>OK</v>
      </c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 spans="1:52">
      <c r="A654" s="14" t="s">
        <v>684</v>
      </c>
      <c r="B654" s="26">
        <v>46217</v>
      </c>
      <c r="C654" s="14" t="s">
        <v>90</v>
      </c>
      <c r="D654" s="27" t="str">
        <f>IFERROR(VLOOKUP(C654,'Chart of Accounts'!$A$4:$F$30,2,FALSE),"")</f>
        <v>Cost of Goods Sold</v>
      </c>
      <c r="E654" s="27" t="str">
        <f>IFERROR(VLOOKUP(C654,'Chart of Accounts'!$A$4:$F$30,4,FALSE),"")</f>
        <v>COGS</v>
      </c>
      <c r="F654" s="27" t="str">
        <f>IFERROR(VLOOKUP(C654,'Chart of Accounts'!$A$4:$F$30,5,FALSE),"")</f>
        <v>PL</v>
      </c>
      <c r="G654" s="15">
        <v>39541.106161591946</v>
      </c>
      <c r="H654" s="15">
        <v>0</v>
      </c>
      <c r="I654" s="10">
        <f t="shared" si="30"/>
        <v>39541.106161591946</v>
      </c>
      <c r="J654" s="14" t="s">
        <v>685</v>
      </c>
      <c r="K654" s="14" t="s">
        <v>172</v>
      </c>
      <c r="L654" s="14" t="s">
        <v>140</v>
      </c>
      <c r="M654" s="8" t="str">
        <f t="shared" si="31"/>
        <v>2026-07</v>
      </c>
      <c r="N654" s="8" t="str">
        <f t="shared" si="32"/>
        <v>OK</v>
      </c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 spans="1:52">
      <c r="A655" s="14" t="s">
        <v>684</v>
      </c>
      <c r="B655" s="26">
        <v>46217</v>
      </c>
      <c r="C655" s="14" t="s">
        <v>63</v>
      </c>
      <c r="D655" s="27" t="str">
        <f>IFERROR(VLOOKUP(C655,'Chart of Accounts'!$A$4:$F$30,2,FALSE),"")</f>
        <v>Inventory</v>
      </c>
      <c r="E655" s="27" t="str">
        <f>IFERROR(VLOOKUP(C655,'Chart of Accounts'!$A$4:$F$30,4,FALSE),"")</f>
        <v>Inventory</v>
      </c>
      <c r="F655" s="27" t="str">
        <f>IFERROR(VLOOKUP(C655,'Chart of Accounts'!$A$4:$F$30,5,FALSE),"")</f>
        <v>BS</v>
      </c>
      <c r="G655" s="15">
        <v>0</v>
      </c>
      <c r="H655" s="15">
        <v>39541.106161591946</v>
      </c>
      <c r="I655" s="10">
        <f t="shared" si="30"/>
        <v>-39541.106161591946</v>
      </c>
      <c r="J655" s="14" t="s">
        <v>685</v>
      </c>
      <c r="K655" s="14" t="s">
        <v>172</v>
      </c>
      <c r="L655" s="14" t="s">
        <v>140</v>
      </c>
      <c r="M655" s="8" t="str">
        <f t="shared" si="31"/>
        <v>2026-07</v>
      </c>
      <c r="N655" s="8" t="str">
        <f t="shared" si="32"/>
        <v>OK</v>
      </c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 spans="1:52">
      <c r="A656" s="14" t="s">
        <v>686</v>
      </c>
      <c r="B656" s="26">
        <v>46214</v>
      </c>
      <c r="C656" s="14" t="s">
        <v>58</v>
      </c>
      <c r="D656" s="27" t="str">
        <f>IFERROR(VLOOKUP(C656,'Chart of Accounts'!$A$4:$F$30,2,FALSE),"")</f>
        <v>Trade Receivables</v>
      </c>
      <c r="E656" s="27" t="str">
        <f>IFERROR(VLOOKUP(C656,'Chart of Accounts'!$A$4:$F$30,4,FALSE),"")</f>
        <v>Trade Receivables</v>
      </c>
      <c r="F656" s="27" t="str">
        <f>IFERROR(VLOOKUP(C656,'Chart of Accounts'!$A$4:$F$30,5,FALSE),"")</f>
        <v>BS</v>
      </c>
      <c r="G656" s="15">
        <v>92888.567671656492</v>
      </c>
      <c r="H656" s="15">
        <v>0</v>
      </c>
      <c r="I656" s="10">
        <f t="shared" si="30"/>
        <v>92888.567671656492</v>
      </c>
      <c r="J656" s="14" t="s">
        <v>687</v>
      </c>
      <c r="K656" s="14" t="s">
        <v>439</v>
      </c>
      <c r="L656" s="14" t="s">
        <v>140</v>
      </c>
      <c r="M656" s="8" t="str">
        <f t="shared" si="31"/>
        <v>2026-07</v>
      </c>
      <c r="N656" s="8" t="str">
        <f t="shared" si="32"/>
        <v>OK</v>
      </c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 spans="1:52">
      <c r="A657" s="14" t="s">
        <v>686</v>
      </c>
      <c r="B657" s="26">
        <v>46214</v>
      </c>
      <c r="C657" s="14" t="s">
        <v>86</v>
      </c>
      <c r="D657" s="27" t="str">
        <f>IFERROR(VLOOKUP(C657,'Chart of Accounts'!$A$4:$F$30,2,FALSE),"")</f>
        <v>Product Sales</v>
      </c>
      <c r="E657" s="27" t="str">
        <f>IFERROR(VLOOKUP(C657,'Chart of Accounts'!$A$4:$F$30,4,FALSE),"")</f>
        <v>Revenue</v>
      </c>
      <c r="F657" s="27" t="str">
        <f>IFERROR(VLOOKUP(C657,'Chart of Accounts'!$A$4:$F$30,5,FALSE),"")</f>
        <v>PL</v>
      </c>
      <c r="G657" s="15">
        <v>0</v>
      </c>
      <c r="H657" s="15">
        <v>92888.567671656492</v>
      </c>
      <c r="I657" s="10">
        <f t="shared" si="30"/>
        <v>-92888.567671656492</v>
      </c>
      <c r="J657" s="14" t="s">
        <v>687</v>
      </c>
      <c r="K657" s="14" t="s">
        <v>439</v>
      </c>
      <c r="L657" s="14" t="s">
        <v>140</v>
      </c>
      <c r="M657" s="8" t="str">
        <f t="shared" si="31"/>
        <v>2026-07</v>
      </c>
      <c r="N657" s="8" t="str">
        <f t="shared" si="32"/>
        <v>OK</v>
      </c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 spans="1:52">
      <c r="A658" s="14" t="s">
        <v>686</v>
      </c>
      <c r="B658" s="26">
        <v>46214</v>
      </c>
      <c r="C658" s="14" t="s">
        <v>90</v>
      </c>
      <c r="D658" s="27" t="str">
        <f>IFERROR(VLOOKUP(C658,'Chart of Accounts'!$A$4:$F$30,2,FALSE),"")</f>
        <v>Cost of Goods Sold</v>
      </c>
      <c r="E658" s="27" t="str">
        <f>IFERROR(VLOOKUP(C658,'Chart of Accounts'!$A$4:$F$30,4,FALSE),"")</f>
        <v>COGS</v>
      </c>
      <c r="F658" s="27" t="str">
        <f>IFERROR(VLOOKUP(C658,'Chart of Accounts'!$A$4:$F$30,5,FALSE),"")</f>
        <v>PL</v>
      </c>
      <c r="G658" s="15">
        <v>50810.046516396091</v>
      </c>
      <c r="H658" s="15">
        <v>0</v>
      </c>
      <c r="I658" s="10">
        <f t="shared" si="30"/>
        <v>50810.046516396091</v>
      </c>
      <c r="J658" s="14" t="s">
        <v>687</v>
      </c>
      <c r="K658" s="14" t="s">
        <v>439</v>
      </c>
      <c r="L658" s="14" t="s">
        <v>140</v>
      </c>
      <c r="M658" s="8" t="str">
        <f t="shared" si="31"/>
        <v>2026-07</v>
      </c>
      <c r="N658" s="8" t="str">
        <f t="shared" si="32"/>
        <v>OK</v>
      </c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 spans="1:52">
      <c r="A659" s="14" t="s">
        <v>686</v>
      </c>
      <c r="B659" s="26">
        <v>46214</v>
      </c>
      <c r="C659" s="14" t="s">
        <v>63</v>
      </c>
      <c r="D659" s="27" t="str">
        <f>IFERROR(VLOOKUP(C659,'Chart of Accounts'!$A$4:$F$30,2,FALSE),"")</f>
        <v>Inventory</v>
      </c>
      <c r="E659" s="27" t="str">
        <f>IFERROR(VLOOKUP(C659,'Chart of Accounts'!$A$4:$F$30,4,FALSE),"")</f>
        <v>Inventory</v>
      </c>
      <c r="F659" s="27" t="str">
        <f>IFERROR(VLOOKUP(C659,'Chart of Accounts'!$A$4:$F$30,5,FALSE),"")</f>
        <v>BS</v>
      </c>
      <c r="G659" s="15">
        <v>0</v>
      </c>
      <c r="H659" s="15">
        <v>50810.046516396091</v>
      </c>
      <c r="I659" s="10">
        <f t="shared" si="30"/>
        <v>-50810.046516396091</v>
      </c>
      <c r="J659" s="14" t="s">
        <v>687</v>
      </c>
      <c r="K659" s="14" t="s">
        <v>439</v>
      </c>
      <c r="L659" s="14" t="s">
        <v>140</v>
      </c>
      <c r="M659" s="8" t="str">
        <f t="shared" si="31"/>
        <v>2026-07</v>
      </c>
      <c r="N659" s="8" t="str">
        <f t="shared" si="32"/>
        <v>OK</v>
      </c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 spans="1:52">
      <c r="A660" s="14" t="s">
        <v>688</v>
      </c>
      <c r="B660" s="26">
        <v>46227</v>
      </c>
      <c r="C660" s="14" t="s">
        <v>58</v>
      </c>
      <c r="D660" s="27" t="str">
        <f>IFERROR(VLOOKUP(C660,'Chart of Accounts'!$A$4:$F$30,2,FALSE),"")</f>
        <v>Trade Receivables</v>
      </c>
      <c r="E660" s="27" t="str">
        <f>IFERROR(VLOOKUP(C660,'Chart of Accounts'!$A$4:$F$30,4,FALSE),"")</f>
        <v>Trade Receivables</v>
      </c>
      <c r="F660" s="27" t="str">
        <f>IFERROR(VLOOKUP(C660,'Chart of Accounts'!$A$4:$F$30,5,FALSE),"")</f>
        <v>BS</v>
      </c>
      <c r="G660" s="15">
        <v>61957.193722914679</v>
      </c>
      <c r="H660" s="15">
        <v>0</v>
      </c>
      <c r="I660" s="10">
        <f t="shared" si="30"/>
        <v>61957.193722914679</v>
      </c>
      <c r="J660" s="14" t="s">
        <v>689</v>
      </c>
      <c r="K660" s="14" t="s">
        <v>522</v>
      </c>
      <c r="L660" s="14" t="s">
        <v>140</v>
      </c>
      <c r="M660" s="8" t="str">
        <f t="shared" si="31"/>
        <v>2026-07</v>
      </c>
      <c r="N660" s="8" t="str">
        <f t="shared" si="32"/>
        <v>OK</v>
      </c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 spans="1:52">
      <c r="A661" s="14" t="s">
        <v>688</v>
      </c>
      <c r="B661" s="26">
        <v>46227</v>
      </c>
      <c r="C661" s="14" t="s">
        <v>86</v>
      </c>
      <c r="D661" s="27" t="str">
        <f>IFERROR(VLOOKUP(C661,'Chart of Accounts'!$A$4:$F$30,2,FALSE),"")</f>
        <v>Product Sales</v>
      </c>
      <c r="E661" s="27" t="str">
        <f>IFERROR(VLOOKUP(C661,'Chart of Accounts'!$A$4:$F$30,4,FALSE),"")</f>
        <v>Revenue</v>
      </c>
      <c r="F661" s="27" t="str">
        <f>IFERROR(VLOOKUP(C661,'Chart of Accounts'!$A$4:$F$30,5,FALSE),"")</f>
        <v>PL</v>
      </c>
      <c r="G661" s="15">
        <v>0</v>
      </c>
      <c r="H661" s="15">
        <v>61957.193722914679</v>
      </c>
      <c r="I661" s="10">
        <f t="shared" si="30"/>
        <v>-61957.193722914679</v>
      </c>
      <c r="J661" s="14" t="s">
        <v>689</v>
      </c>
      <c r="K661" s="14" t="s">
        <v>522</v>
      </c>
      <c r="L661" s="14" t="s">
        <v>140</v>
      </c>
      <c r="M661" s="8" t="str">
        <f t="shared" si="31"/>
        <v>2026-07</v>
      </c>
      <c r="N661" s="8" t="str">
        <f t="shared" si="32"/>
        <v>OK</v>
      </c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 spans="1:52">
      <c r="A662" s="14" t="s">
        <v>688</v>
      </c>
      <c r="B662" s="26">
        <v>46227</v>
      </c>
      <c r="C662" s="14" t="s">
        <v>90</v>
      </c>
      <c r="D662" s="27" t="str">
        <f>IFERROR(VLOOKUP(C662,'Chart of Accounts'!$A$4:$F$30,2,FALSE),"")</f>
        <v>Cost of Goods Sold</v>
      </c>
      <c r="E662" s="27" t="str">
        <f>IFERROR(VLOOKUP(C662,'Chart of Accounts'!$A$4:$F$30,4,FALSE),"")</f>
        <v>COGS</v>
      </c>
      <c r="F662" s="27" t="str">
        <f>IFERROR(VLOOKUP(C662,'Chart of Accounts'!$A$4:$F$30,5,FALSE),"")</f>
        <v>PL</v>
      </c>
      <c r="G662" s="15">
        <v>33890.584966434319</v>
      </c>
      <c r="H662" s="15">
        <v>0</v>
      </c>
      <c r="I662" s="10">
        <f t="shared" si="30"/>
        <v>33890.584966434319</v>
      </c>
      <c r="J662" s="14" t="s">
        <v>689</v>
      </c>
      <c r="K662" s="14" t="s">
        <v>522</v>
      </c>
      <c r="L662" s="14" t="s">
        <v>140</v>
      </c>
      <c r="M662" s="8" t="str">
        <f t="shared" si="31"/>
        <v>2026-07</v>
      </c>
      <c r="N662" s="8" t="str">
        <f t="shared" si="32"/>
        <v>OK</v>
      </c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 spans="1:52">
      <c r="A663" s="14" t="s">
        <v>688</v>
      </c>
      <c r="B663" s="26">
        <v>46227</v>
      </c>
      <c r="C663" s="14" t="s">
        <v>63</v>
      </c>
      <c r="D663" s="27" t="str">
        <f>IFERROR(VLOOKUP(C663,'Chart of Accounts'!$A$4:$F$30,2,FALSE),"")</f>
        <v>Inventory</v>
      </c>
      <c r="E663" s="27" t="str">
        <f>IFERROR(VLOOKUP(C663,'Chart of Accounts'!$A$4:$F$30,4,FALSE),"")</f>
        <v>Inventory</v>
      </c>
      <c r="F663" s="27" t="str">
        <f>IFERROR(VLOOKUP(C663,'Chart of Accounts'!$A$4:$F$30,5,FALSE),"")</f>
        <v>BS</v>
      </c>
      <c r="G663" s="15">
        <v>0</v>
      </c>
      <c r="H663" s="15">
        <v>33890.584966434319</v>
      </c>
      <c r="I663" s="10">
        <f t="shared" si="30"/>
        <v>-33890.584966434319</v>
      </c>
      <c r="J663" s="14" t="s">
        <v>689</v>
      </c>
      <c r="K663" s="14" t="s">
        <v>522</v>
      </c>
      <c r="L663" s="14" t="s">
        <v>140</v>
      </c>
      <c r="M663" s="8" t="str">
        <f t="shared" si="31"/>
        <v>2026-07</v>
      </c>
      <c r="N663" s="8" t="str">
        <f t="shared" si="32"/>
        <v>OK</v>
      </c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 spans="1:52">
      <c r="A664" s="14" t="s">
        <v>690</v>
      </c>
      <c r="B664" s="26">
        <v>46219</v>
      </c>
      <c r="C664" s="14" t="s">
        <v>58</v>
      </c>
      <c r="D664" s="27" t="str">
        <f>IFERROR(VLOOKUP(C664,'Chart of Accounts'!$A$4:$F$30,2,FALSE),"")</f>
        <v>Trade Receivables</v>
      </c>
      <c r="E664" s="27" t="str">
        <f>IFERROR(VLOOKUP(C664,'Chart of Accounts'!$A$4:$F$30,4,FALSE),"")</f>
        <v>Trade Receivables</v>
      </c>
      <c r="F664" s="27" t="str">
        <f>IFERROR(VLOOKUP(C664,'Chart of Accounts'!$A$4:$F$30,5,FALSE),"")</f>
        <v>BS</v>
      </c>
      <c r="G664" s="15">
        <v>85207.188647197312</v>
      </c>
      <c r="H664" s="15">
        <v>0</v>
      </c>
      <c r="I664" s="10">
        <f t="shared" si="30"/>
        <v>85207.188647197312</v>
      </c>
      <c r="J664" s="14" t="s">
        <v>691</v>
      </c>
      <c r="K664" s="14" t="s">
        <v>277</v>
      </c>
      <c r="L664" s="14" t="s">
        <v>140</v>
      </c>
      <c r="M664" s="8" t="str">
        <f t="shared" si="31"/>
        <v>2026-07</v>
      </c>
      <c r="N664" s="8" t="str">
        <f t="shared" si="32"/>
        <v>OK</v>
      </c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 spans="1:52">
      <c r="A665" s="14" t="s">
        <v>690</v>
      </c>
      <c r="B665" s="26">
        <v>46219</v>
      </c>
      <c r="C665" s="14" t="s">
        <v>86</v>
      </c>
      <c r="D665" s="27" t="str">
        <f>IFERROR(VLOOKUP(C665,'Chart of Accounts'!$A$4:$F$30,2,FALSE),"")</f>
        <v>Product Sales</v>
      </c>
      <c r="E665" s="27" t="str">
        <f>IFERROR(VLOOKUP(C665,'Chart of Accounts'!$A$4:$F$30,4,FALSE),"")</f>
        <v>Revenue</v>
      </c>
      <c r="F665" s="27" t="str">
        <f>IFERROR(VLOOKUP(C665,'Chart of Accounts'!$A$4:$F$30,5,FALSE),"")</f>
        <v>PL</v>
      </c>
      <c r="G665" s="15">
        <v>0</v>
      </c>
      <c r="H665" s="15">
        <v>85207.188647197312</v>
      </c>
      <c r="I665" s="10">
        <f t="shared" si="30"/>
        <v>-85207.188647197312</v>
      </c>
      <c r="J665" s="14" t="s">
        <v>691</v>
      </c>
      <c r="K665" s="14" t="s">
        <v>277</v>
      </c>
      <c r="L665" s="14" t="s">
        <v>140</v>
      </c>
      <c r="M665" s="8" t="str">
        <f t="shared" si="31"/>
        <v>2026-07</v>
      </c>
      <c r="N665" s="8" t="str">
        <f t="shared" si="32"/>
        <v>OK</v>
      </c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 spans="1:52">
      <c r="A666" s="14" t="s">
        <v>690</v>
      </c>
      <c r="B666" s="26">
        <v>46219</v>
      </c>
      <c r="C666" s="14" t="s">
        <v>90</v>
      </c>
      <c r="D666" s="27" t="str">
        <f>IFERROR(VLOOKUP(C666,'Chart of Accounts'!$A$4:$F$30,2,FALSE),"")</f>
        <v>Cost of Goods Sold</v>
      </c>
      <c r="E666" s="27" t="str">
        <f>IFERROR(VLOOKUP(C666,'Chart of Accounts'!$A$4:$F$30,4,FALSE),"")</f>
        <v>COGS</v>
      </c>
      <c r="F666" s="27" t="str">
        <f>IFERROR(VLOOKUP(C666,'Chart of Accounts'!$A$4:$F$30,5,FALSE),"")</f>
        <v>PL</v>
      </c>
      <c r="G666" s="15">
        <v>46608.332190016918</v>
      </c>
      <c r="H666" s="15">
        <v>0</v>
      </c>
      <c r="I666" s="10">
        <f t="shared" si="30"/>
        <v>46608.332190016918</v>
      </c>
      <c r="J666" s="14" t="s">
        <v>691</v>
      </c>
      <c r="K666" s="14" t="s">
        <v>277</v>
      </c>
      <c r="L666" s="14" t="s">
        <v>140</v>
      </c>
      <c r="M666" s="8" t="str">
        <f t="shared" si="31"/>
        <v>2026-07</v>
      </c>
      <c r="N666" s="8" t="str">
        <f t="shared" si="32"/>
        <v>OK</v>
      </c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 spans="1:52">
      <c r="A667" s="14" t="s">
        <v>690</v>
      </c>
      <c r="B667" s="26">
        <v>46219</v>
      </c>
      <c r="C667" s="14" t="s">
        <v>63</v>
      </c>
      <c r="D667" s="27" t="str">
        <f>IFERROR(VLOOKUP(C667,'Chart of Accounts'!$A$4:$F$30,2,FALSE),"")</f>
        <v>Inventory</v>
      </c>
      <c r="E667" s="27" t="str">
        <f>IFERROR(VLOOKUP(C667,'Chart of Accounts'!$A$4:$F$30,4,FALSE),"")</f>
        <v>Inventory</v>
      </c>
      <c r="F667" s="27" t="str">
        <f>IFERROR(VLOOKUP(C667,'Chart of Accounts'!$A$4:$F$30,5,FALSE),"")</f>
        <v>BS</v>
      </c>
      <c r="G667" s="15">
        <v>0</v>
      </c>
      <c r="H667" s="15">
        <v>46608.332190016918</v>
      </c>
      <c r="I667" s="10">
        <f t="shared" si="30"/>
        <v>-46608.332190016918</v>
      </c>
      <c r="J667" s="14" t="s">
        <v>691</v>
      </c>
      <c r="K667" s="14" t="s">
        <v>277</v>
      </c>
      <c r="L667" s="14" t="s">
        <v>140</v>
      </c>
      <c r="M667" s="8" t="str">
        <f t="shared" si="31"/>
        <v>2026-07</v>
      </c>
      <c r="N667" s="8" t="str">
        <f t="shared" si="32"/>
        <v>OK</v>
      </c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 spans="1:52">
      <c r="A668" s="14" t="s">
        <v>692</v>
      </c>
      <c r="B668" s="26">
        <v>46216</v>
      </c>
      <c r="C668" s="14" t="s">
        <v>58</v>
      </c>
      <c r="D668" s="27" t="str">
        <f>IFERROR(VLOOKUP(C668,'Chart of Accounts'!$A$4:$F$30,2,FALSE),"")</f>
        <v>Trade Receivables</v>
      </c>
      <c r="E668" s="27" t="str">
        <f>IFERROR(VLOOKUP(C668,'Chart of Accounts'!$A$4:$F$30,4,FALSE),"")</f>
        <v>Trade Receivables</v>
      </c>
      <c r="F668" s="27" t="str">
        <f>IFERROR(VLOOKUP(C668,'Chart of Accounts'!$A$4:$F$30,5,FALSE),"")</f>
        <v>BS</v>
      </c>
      <c r="G668" s="15">
        <v>79494.106245661693</v>
      </c>
      <c r="H668" s="15">
        <v>0</v>
      </c>
      <c r="I668" s="10">
        <f t="shared" si="30"/>
        <v>79494.106245661693</v>
      </c>
      <c r="J668" s="14" t="s">
        <v>693</v>
      </c>
      <c r="K668" s="14" t="s">
        <v>681</v>
      </c>
      <c r="L668" s="14" t="s">
        <v>140</v>
      </c>
      <c r="M668" s="8" t="str">
        <f t="shared" si="31"/>
        <v>2026-07</v>
      </c>
      <c r="N668" s="8" t="str">
        <f t="shared" si="32"/>
        <v>OK</v>
      </c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 spans="1:52">
      <c r="A669" s="14" t="s">
        <v>692</v>
      </c>
      <c r="B669" s="26">
        <v>46216</v>
      </c>
      <c r="C669" s="14" t="s">
        <v>86</v>
      </c>
      <c r="D669" s="27" t="str">
        <f>IFERROR(VLOOKUP(C669,'Chart of Accounts'!$A$4:$F$30,2,FALSE),"")</f>
        <v>Product Sales</v>
      </c>
      <c r="E669" s="27" t="str">
        <f>IFERROR(VLOOKUP(C669,'Chart of Accounts'!$A$4:$F$30,4,FALSE),"")</f>
        <v>Revenue</v>
      </c>
      <c r="F669" s="27" t="str">
        <f>IFERROR(VLOOKUP(C669,'Chart of Accounts'!$A$4:$F$30,5,FALSE),"")</f>
        <v>PL</v>
      </c>
      <c r="G669" s="15">
        <v>0</v>
      </c>
      <c r="H669" s="15">
        <v>79494.106245661693</v>
      </c>
      <c r="I669" s="10">
        <f t="shared" si="30"/>
        <v>-79494.106245661693</v>
      </c>
      <c r="J669" s="14" t="s">
        <v>693</v>
      </c>
      <c r="K669" s="14" t="s">
        <v>681</v>
      </c>
      <c r="L669" s="14" t="s">
        <v>140</v>
      </c>
      <c r="M669" s="8" t="str">
        <f t="shared" si="31"/>
        <v>2026-07</v>
      </c>
      <c r="N669" s="8" t="str">
        <f t="shared" si="32"/>
        <v>OK</v>
      </c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 spans="1:52">
      <c r="A670" s="14" t="s">
        <v>692</v>
      </c>
      <c r="B670" s="26">
        <v>46216</v>
      </c>
      <c r="C670" s="14" t="s">
        <v>90</v>
      </c>
      <c r="D670" s="27" t="str">
        <f>IFERROR(VLOOKUP(C670,'Chart of Accounts'!$A$4:$F$30,2,FALSE),"")</f>
        <v>Cost of Goods Sold</v>
      </c>
      <c r="E670" s="27" t="str">
        <f>IFERROR(VLOOKUP(C670,'Chart of Accounts'!$A$4:$F$30,4,FALSE),"")</f>
        <v>COGS</v>
      </c>
      <c r="F670" s="27" t="str">
        <f>IFERROR(VLOOKUP(C670,'Chart of Accounts'!$A$4:$F$30,5,FALSE),"")</f>
        <v>PL</v>
      </c>
      <c r="G670" s="15">
        <v>43483.276116376939</v>
      </c>
      <c r="H670" s="15">
        <v>0</v>
      </c>
      <c r="I670" s="10">
        <f t="shared" si="30"/>
        <v>43483.276116376939</v>
      </c>
      <c r="J670" s="14" t="s">
        <v>693</v>
      </c>
      <c r="K670" s="14" t="s">
        <v>681</v>
      </c>
      <c r="L670" s="14" t="s">
        <v>140</v>
      </c>
      <c r="M670" s="8" t="str">
        <f t="shared" si="31"/>
        <v>2026-07</v>
      </c>
      <c r="N670" s="8" t="str">
        <f t="shared" si="32"/>
        <v>OK</v>
      </c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 spans="1:52">
      <c r="A671" s="14" t="s">
        <v>692</v>
      </c>
      <c r="B671" s="26">
        <v>46216</v>
      </c>
      <c r="C671" s="14" t="s">
        <v>63</v>
      </c>
      <c r="D671" s="27" t="str">
        <f>IFERROR(VLOOKUP(C671,'Chart of Accounts'!$A$4:$F$30,2,FALSE),"")</f>
        <v>Inventory</v>
      </c>
      <c r="E671" s="27" t="str">
        <f>IFERROR(VLOOKUP(C671,'Chart of Accounts'!$A$4:$F$30,4,FALSE),"")</f>
        <v>Inventory</v>
      </c>
      <c r="F671" s="27" t="str">
        <f>IFERROR(VLOOKUP(C671,'Chart of Accounts'!$A$4:$F$30,5,FALSE),"")</f>
        <v>BS</v>
      </c>
      <c r="G671" s="15">
        <v>0</v>
      </c>
      <c r="H671" s="15">
        <v>43483.276116376939</v>
      </c>
      <c r="I671" s="10">
        <f t="shared" si="30"/>
        <v>-43483.276116376939</v>
      </c>
      <c r="J671" s="14" t="s">
        <v>693</v>
      </c>
      <c r="K671" s="14" t="s">
        <v>681</v>
      </c>
      <c r="L671" s="14" t="s">
        <v>140</v>
      </c>
      <c r="M671" s="8" t="str">
        <f t="shared" si="31"/>
        <v>2026-07</v>
      </c>
      <c r="N671" s="8" t="str">
        <f t="shared" si="32"/>
        <v>OK</v>
      </c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 spans="1:52">
      <c r="A672" s="14" t="s">
        <v>694</v>
      </c>
      <c r="B672" s="26">
        <v>46215</v>
      </c>
      <c r="C672" s="14" t="s">
        <v>58</v>
      </c>
      <c r="D672" s="27" t="str">
        <f>IFERROR(VLOOKUP(C672,'Chart of Accounts'!$A$4:$F$30,2,FALSE),"")</f>
        <v>Trade Receivables</v>
      </c>
      <c r="E672" s="27" t="str">
        <f>IFERROR(VLOOKUP(C672,'Chart of Accounts'!$A$4:$F$30,4,FALSE),"")</f>
        <v>Trade Receivables</v>
      </c>
      <c r="F672" s="27" t="str">
        <f>IFERROR(VLOOKUP(C672,'Chart of Accounts'!$A$4:$F$30,5,FALSE),"")</f>
        <v>BS</v>
      </c>
      <c r="G672" s="15">
        <v>60456.04906836788</v>
      </c>
      <c r="H672" s="15">
        <v>0</v>
      </c>
      <c r="I672" s="10">
        <f t="shared" si="30"/>
        <v>60456.04906836788</v>
      </c>
      <c r="J672" s="14" t="s">
        <v>695</v>
      </c>
      <c r="K672" s="14" t="s">
        <v>439</v>
      </c>
      <c r="L672" s="14" t="s">
        <v>140</v>
      </c>
      <c r="M672" s="8" t="str">
        <f t="shared" si="31"/>
        <v>2026-07</v>
      </c>
      <c r="N672" s="8" t="str">
        <f t="shared" si="32"/>
        <v>OK</v>
      </c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 spans="1:52">
      <c r="A673" s="14" t="s">
        <v>694</v>
      </c>
      <c r="B673" s="26">
        <v>46215</v>
      </c>
      <c r="C673" s="14" t="s">
        <v>86</v>
      </c>
      <c r="D673" s="27" t="str">
        <f>IFERROR(VLOOKUP(C673,'Chart of Accounts'!$A$4:$F$30,2,FALSE),"")</f>
        <v>Product Sales</v>
      </c>
      <c r="E673" s="27" t="str">
        <f>IFERROR(VLOOKUP(C673,'Chart of Accounts'!$A$4:$F$30,4,FALSE),"")</f>
        <v>Revenue</v>
      </c>
      <c r="F673" s="27" t="str">
        <f>IFERROR(VLOOKUP(C673,'Chart of Accounts'!$A$4:$F$30,5,FALSE),"")</f>
        <v>PL</v>
      </c>
      <c r="G673" s="15">
        <v>0</v>
      </c>
      <c r="H673" s="15">
        <v>60456.04906836788</v>
      </c>
      <c r="I673" s="10">
        <f t="shared" si="30"/>
        <v>-60456.04906836788</v>
      </c>
      <c r="J673" s="14" t="s">
        <v>695</v>
      </c>
      <c r="K673" s="14" t="s">
        <v>439</v>
      </c>
      <c r="L673" s="14" t="s">
        <v>140</v>
      </c>
      <c r="M673" s="8" t="str">
        <f t="shared" si="31"/>
        <v>2026-07</v>
      </c>
      <c r="N673" s="8" t="str">
        <f t="shared" si="32"/>
        <v>OK</v>
      </c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 spans="1:52">
      <c r="A674" s="14" t="s">
        <v>694</v>
      </c>
      <c r="B674" s="26">
        <v>46215</v>
      </c>
      <c r="C674" s="14" t="s">
        <v>90</v>
      </c>
      <c r="D674" s="27" t="str">
        <f>IFERROR(VLOOKUP(C674,'Chart of Accounts'!$A$4:$F$30,2,FALSE),"")</f>
        <v>Cost of Goods Sold</v>
      </c>
      <c r="E674" s="27" t="str">
        <f>IFERROR(VLOOKUP(C674,'Chart of Accounts'!$A$4:$F$30,4,FALSE),"")</f>
        <v>COGS</v>
      </c>
      <c r="F674" s="27" t="str">
        <f>IFERROR(VLOOKUP(C674,'Chart of Accounts'!$A$4:$F$30,5,FALSE),"")</f>
        <v>PL</v>
      </c>
      <c r="G674" s="15">
        <v>33069.458840397223</v>
      </c>
      <c r="H674" s="15">
        <v>0</v>
      </c>
      <c r="I674" s="10">
        <f t="shared" si="30"/>
        <v>33069.458840397223</v>
      </c>
      <c r="J674" s="14" t="s">
        <v>695</v>
      </c>
      <c r="K674" s="14" t="s">
        <v>439</v>
      </c>
      <c r="L674" s="14" t="s">
        <v>140</v>
      </c>
      <c r="M674" s="8" t="str">
        <f t="shared" si="31"/>
        <v>2026-07</v>
      </c>
      <c r="N674" s="8" t="str">
        <f t="shared" si="32"/>
        <v>OK</v>
      </c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 spans="1:52">
      <c r="A675" s="14" t="s">
        <v>694</v>
      </c>
      <c r="B675" s="26">
        <v>46215</v>
      </c>
      <c r="C675" s="14" t="s">
        <v>63</v>
      </c>
      <c r="D675" s="27" t="str">
        <f>IFERROR(VLOOKUP(C675,'Chart of Accounts'!$A$4:$F$30,2,FALSE),"")</f>
        <v>Inventory</v>
      </c>
      <c r="E675" s="27" t="str">
        <f>IFERROR(VLOOKUP(C675,'Chart of Accounts'!$A$4:$F$30,4,FALSE),"")</f>
        <v>Inventory</v>
      </c>
      <c r="F675" s="27" t="str">
        <f>IFERROR(VLOOKUP(C675,'Chart of Accounts'!$A$4:$F$30,5,FALSE),"")</f>
        <v>BS</v>
      </c>
      <c r="G675" s="15">
        <v>0</v>
      </c>
      <c r="H675" s="15">
        <v>33069.458840397223</v>
      </c>
      <c r="I675" s="10">
        <f t="shared" si="30"/>
        <v>-33069.458840397223</v>
      </c>
      <c r="J675" s="14" t="s">
        <v>695</v>
      </c>
      <c r="K675" s="14" t="s">
        <v>439</v>
      </c>
      <c r="L675" s="14" t="s">
        <v>140</v>
      </c>
      <c r="M675" s="8" t="str">
        <f t="shared" si="31"/>
        <v>2026-07</v>
      </c>
      <c r="N675" s="8" t="str">
        <f t="shared" si="32"/>
        <v>OK</v>
      </c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 spans="1:52">
      <c r="A676" s="14" t="s">
        <v>696</v>
      </c>
      <c r="B676" s="26">
        <v>46206</v>
      </c>
      <c r="C676" s="14" t="s">
        <v>58</v>
      </c>
      <c r="D676" s="27" t="str">
        <f>IFERROR(VLOOKUP(C676,'Chart of Accounts'!$A$4:$F$30,2,FALSE),"")</f>
        <v>Trade Receivables</v>
      </c>
      <c r="E676" s="27" t="str">
        <f>IFERROR(VLOOKUP(C676,'Chart of Accounts'!$A$4:$F$30,4,FALSE),"")</f>
        <v>Trade Receivables</v>
      </c>
      <c r="F676" s="27" t="str">
        <f>IFERROR(VLOOKUP(C676,'Chart of Accounts'!$A$4:$F$30,5,FALSE),"")</f>
        <v>BS</v>
      </c>
      <c r="G676" s="15">
        <v>109874.68868047732</v>
      </c>
      <c r="H676" s="15">
        <v>0</v>
      </c>
      <c r="I676" s="10">
        <f t="shared" si="30"/>
        <v>109874.68868047732</v>
      </c>
      <c r="J676" s="14" t="s">
        <v>697</v>
      </c>
      <c r="K676" s="14" t="s">
        <v>158</v>
      </c>
      <c r="L676" s="14" t="s">
        <v>140</v>
      </c>
      <c r="M676" s="8" t="str">
        <f t="shared" si="31"/>
        <v>2026-07</v>
      </c>
      <c r="N676" s="8" t="str">
        <f t="shared" si="32"/>
        <v>OK</v>
      </c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 spans="1:52">
      <c r="A677" s="14" t="s">
        <v>696</v>
      </c>
      <c r="B677" s="26">
        <v>46206</v>
      </c>
      <c r="C677" s="14" t="s">
        <v>86</v>
      </c>
      <c r="D677" s="27" t="str">
        <f>IFERROR(VLOOKUP(C677,'Chart of Accounts'!$A$4:$F$30,2,FALSE),"")</f>
        <v>Product Sales</v>
      </c>
      <c r="E677" s="27" t="str">
        <f>IFERROR(VLOOKUP(C677,'Chart of Accounts'!$A$4:$F$30,4,FALSE),"")</f>
        <v>Revenue</v>
      </c>
      <c r="F677" s="27" t="str">
        <f>IFERROR(VLOOKUP(C677,'Chart of Accounts'!$A$4:$F$30,5,FALSE),"")</f>
        <v>PL</v>
      </c>
      <c r="G677" s="15">
        <v>0</v>
      </c>
      <c r="H677" s="15">
        <v>109874.68868047732</v>
      </c>
      <c r="I677" s="10">
        <f t="shared" si="30"/>
        <v>-109874.68868047732</v>
      </c>
      <c r="J677" s="14" t="s">
        <v>697</v>
      </c>
      <c r="K677" s="14" t="s">
        <v>158</v>
      </c>
      <c r="L677" s="14" t="s">
        <v>140</v>
      </c>
      <c r="M677" s="8" t="str">
        <f t="shared" si="31"/>
        <v>2026-07</v>
      </c>
      <c r="N677" s="8" t="str">
        <f t="shared" si="32"/>
        <v>OK</v>
      </c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 spans="1:52">
      <c r="A678" s="14" t="s">
        <v>696</v>
      </c>
      <c r="B678" s="26">
        <v>46206</v>
      </c>
      <c r="C678" s="14" t="s">
        <v>90</v>
      </c>
      <c r="D678" s="27" t="str">
        <f>IFERROR(VLOOKUP(C678,'Chart of Accounts'!$A$4:$F$30,2,FALSE),"")</f>
        <v>Cost of Goods Sold</v>
      </c>
      <c r="E678" s="27" t="str">
        <f>IFERROR(VLOOKUP(C678,'Chart of Accounts'!$A$4:$F$30,4,FALSE),"")</f>
        <v>COGS</v>
      </c>
      <c r="F678" s="27" t="str">
        <f>IFERROR(VLOOKUP(C678,'Chart of Accounts'!$A$4:$F$30,5,FALSE),"")</f>
        <v>PL</v>
      </c>
      <c r="G678" s="15">
        <v>60101.454708221085</v>
      </c>
      <c r="H678" s="15">
        <v>0</v>
      </c>
      <c r="I678" s="10">
        <f t="shared" si="30"/>
        <v>60101.454708221085</v>
      </c>
      <c r="J678" s="14" t="s">
        <v>697</v>
      </c>
      <c r="K678" s="14" t="s">
        <v>158</v>
      </c>
      <c r="L678" s="14" t="s">
        <v>140</v>
      </c>
      <c r="M678" s="8" t="str">
        <f t="shared" si="31"/>
        <v>2026-07</v>
      </c>
      <c r="N678" s="8" t="str">
        <f t="shared" si="32"/>
        <v>OK</v>
      </c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 spans="1:52">
      <c r="A679" s="14" t="s">
        <v>696</v>
      </c>
      <c r="B679" s="26">
        <v>46206</v>
      </c>
      <c r="C679" s="14" t="s">
        <v>63</v>
      </c>
      <c r="D679" s="27" t="str">
        <f>IFERROR(VLOOKUP(C679,'Chart of Accounts'!$A$4:$F$30,2,FALSE),"")</f>
        <v>Inventory</v>
      </c>
      <c r="E679" s="27" t="str">
        <f>IFERROR(VLOOKUP(C679,'Chart of Accounts'!$A$4:$F$30,4,FALSE),"")</f>
        <v>Inventory</v>
      </c>
      <c r="F679" s="27" t="str">
        <f>IFERROR(VLOOKUP(C679,'Chart of Accounts'!$A$4:$F$30,5,FALSE),"")</f>
        <v>BS</v>
      </c>
      <c r="G679" s="15">
        <v>0</v>
      </c>
      <c r="H679" s="15">
        <v>60101.454708221085</v>
      </c>
      <c r="I679" s="10">
        <f t="shared" si="30"/>
        <v>-60101.454708221085</v>
      </c>
      <c r="J679" s="14" t="s">
        <v>697</v>
      </c>
      <c r="K679" s="14" t="s">
        <v>158</v>
      </c>
      <c r="L679" s="14" t="s">
        <v>140</v>
      </c>
      <c r="M679" s="8" t="str">
        <f t="shared" si="31"/>
        <v>2026-07</v>
      </c>
      <c r="N679" s="8" t="str">
        <f t="shared" si="32"/>
        <v>OK</v>
      </c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 spans="1:52">
      <c r="A680" s="14" t="s">
        <v>698</v>
      </c>
      <c r="B680" s="26">
        <v>46228</v>
      </c>
      <c r="C680" s="14" t="s">
        <v>52</v>
      </c>
      <c r="D680" s="27" t="str">
        <f>IFERROR(VLOOKUP(C680,'Chart of Accounts'!$A$4:$F$30,2,FALSE),"")</f>
        <v>Bank</v>
      </c>
      <c r="E680" s="27" t="str">
        <f>IFERROR(VLOOKUP(C680,'Chart of Accounts'!$A$4:$F$30,4,FALSE),"")</f>
        <v>Cash</v>
      </c>
      <c r="F680" s="27" t="str">
        <f>IFERROR(VLOOKUP(C680,'Chart of Accounts'!$A$4:$F$30,5,FALSE),"")</f>
        <v>BS</v>
      </c>
      <c r="G680" s="15">
        <v>124659.09971955726</v>
      </c>
      <c r="H680" s="15">
        <v>0</v>
      </c>
      <c r="I680" s="10">
        <f t="shared" si="30"/>
        <v>124659.09971955726</v>
      </c>
      <c r="J680" s="14" t="s">
        <v>699</v>
      </c>
      <c r="K680" s="14" t="s">
        <v>175</v>
      </c>
      <c r="L680" s="14" t="s">
        <v>176</v>
      </c>
      <c r="M680" s="8" t="str">
        <f t="shared" si="31"/>
        <v>2026-07</v>
      </c>
      <c r="N680" s="8" t="str">
        <f t="shared" si="32"/>
        <v>OK</v>
      </c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 spans="1:52">
      <c r="A681" s="14" t="s">
        <v>698</v>
      </c>
      <c r="B681" s="26">
        <v>46228</v>
      </c>
      <c r="C681" s="14" t="s">
        <v>58</v>
      </c>
      <c r="D681" s="27" t="str">
        <f>IFERROR(VLOOKUP(C681,'Chart of Accounts'!$A$4:$F$30,2,FALSE),"")</f>
        <v>Trade Receivables</v>
      </c>
      <c r="E681" s="27" t="str">
        <f>IFERROR(VLOOKUP(C681,'Chart of Accounts'!$A$4:$F$30,4,FALSE),"")</f>
        <v>Trade Receivables</v>
      </c>
      <c r="F681" s="27" t="str">
        <f>IFERROR(VLOOKUP(C681,'Chart of Accounts'!$A$4:$F$30,5,FALSE),"")</f>
        <v>BS</v>
      </c>
      <c r="G681" s="15">
        <v>0</v>
      </c>
      <c r="H681" s="15">
        <v>124659.09971955726</v>
      </c>
      <c r="I681" s="10">
        <f t="shared" si="30"/>
        <v>-124659.09971955726</v>
      </c>
      <c r="J681" s="14" t="s">
        <v>699</v>
      </c>
      <c r="K681" s="14" t="s">
        <v>175</v>
      </c>
      <c r="L681" s="14" t="s">
        <v>176</v>
      </c>
      <c r="M681" s="8" t="str">
        <f t="shared" si="31"/>
        <v>2026-07</v>
      </c>
      <c r="N681" s="8" t="str">
        <f t="shared" si="32"/>
        <v>OK</v>
      </c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 spans="1:52">
      <c r="A682" s="14" t="s">
        <v>700</v>
      </c>
      <c r="B682" s="26">
        <v>46218</v>
      </c>
      <c r="C682" s="14" t="s">
        <v>52</v>
      </c>
      <c r="D682" s="27" t="str">
        <f>IFERROR(VLOOKUP(C682,'Chart of Accounts'!$A$4:$F$30,2,FALSE),"")</f>
        <v>Bank</v>
      </c>
      <c r="E682" s="27" t="str">
        <f>IFERROR(VLOOKUP(C682,'Chart of Accounts'!$A$4:$F$30,4,FALSE),"")</f>
        <v>Cash</v>
      </c>
      <c r="F682" s="27" t="str">
        <f>IFERROR(VLOOKUP(C682,'Chart of Accounts'!$A$4:$F$30,5,FALSE),"")</f>
        <v>BS</v>
      </c>
      <c r="G682" s="15">
        <v>181867.47993085062</v>
      </c>
      <c r="H682" s="15">
        <v>0</v>
      </c>
      <c r="I682" s="10">
        <f t="shared" si="30"/>
        <v>181867.47993085062</v>
      </c>
      <c r="J682" s="14" t="s">
        <v>701</v>
      </c>
      <c r="K682" s="14" t="s">
        <v>175</v>
      </c>
      <c r="L682" s="14" t="s">
        <v>176</v>
      </c>
      <c r="M682" s="8" t="str">
        <f t="shared" si="31"/>
        <v>2026-07</v>
      </c>
      <c r="N682" s="8" t="str">
        <f t="shared" si="32"/>
        <v>OK</v>
      </c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 spans="1:52">
      <c r="A683" s="14" t="s">
        <v>700</v>
      </c>
      <c r="B683" s="26">
        <v>46218</v>
      </c>
      <c r="C683" s="14" t="s">
        <v>58</v>
      </c>
      <c r="D683" s="27" t="str">
        <f>IFERROR(VLOOKUP(C683,'Chart of Accounts'!$A$4:$F$30,2,FALSE),"")</f>
        <v>Trade Receivables</v>
      </c>
      <c r="E683" s="27" t="str">
        <f>IFERROR(VLOOKUP(C683,'Chart of Accounts'!$A$4:$F$30,4,FALSE),"")</f>
        <v>Trade Receivables</v>
      </c>
      <c r="F683" s="27" t="str">
        <f>IFERROR(VLOOKUP(C683,'Chart of Accounts'!$A$4:$F$30,5,FALSE),"")</f>
        <v>BS</v>
      </c>
      <c r="G683" s="15">
        <v>0</v>
      </c>
      <c r="H683" s="15">
        <v>181867.47993085062</v>
      </c>
      <c r="I683" s="10">
        <f t="shared" si="30"/>
        <v>-181867.47993085062</v>
      </c>
      <c r="J683" s="14" t="s">
        <v>701</v>
      </c>
      <c r="K683" s="14" t="s">
        <v>175</v>
      </c>
      <c r="L683" s="14" t="s">
        <v>176</v>
      </c>
      <c r="M683" s="8" t="str">
        <f t="shared" si="31"/>
        <v>2026-07</v>
      </c>
      <c r="N683" s="8" t="str">
        <f t="shared" si="32"/>
        <v>OK</v>
      </c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 spans="1:52">
      <c r="A684" s="14" t="s">
        <v>702</v>
      </c>
      <c r="B684" s="26">
        <v>46231</v>
      </c>
      <c r="C684" s="14" t="s">
        <v>52</v>
      </c>
      <c r="D684" s="27" t="str">
        <f>IFERROR(VLOOKUP(C684,'Chart of Accounts'!$A$4:$F$30,2,FALSE),"")</f>
        <v>Bank</v>
      </c>
      <c r="E684" s="27" t="str">
        <f>IFERROR(VLOOKUP(C684,'Chart of Accounts'!$A$4:$F$30,4,FALSE),"")</f>
        <v>Cash</v>
      </c>
      <c r="F684" s="27" t="str">
        <f>IFERROR(VLOOKUP(C684,'Chart of Accounts'!$A$4:$F$30,5,FALSE),"")</f>
        <v>BS</v>
      </c>
      <c r="G684" s="15">
        <v>197771.85527498953</v>
      </c>
      <c r="H684" s="15">
        <v>0</v>
      </c>
      <c r="I684" s="10">
        <f t="shared" si="30"/>
        <v>197771.85527498953</v>
      </c>
      <c r="J684" s="14" t="s">
        <v>703</v>
      </c>
      <c r="K684" s="14" t="s">
        <v>175</v>
      </c>
      <c r="L684" s="14" t="s">
        <v>176</v>
      </c>
      <c r="M684" s="8" t="str">
        <f t="shared" si="31"/>
        <v>2026-07</v>
      </c>
      <c r="N684" s="8" t="str">
        <f t="shared" si="32"/>
        <v>OK</v>
      </c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 spans="1:52">
      <c r="A685" s="14" t="s">
        <v>702</v>
      </c>
      <c r="B685" s="26">
        <v>46231</v>
      </c>
      <c r="C685" s="14" t="s">
        <v>58</v>
      </c>
      <c r="D685" s="27" t="str">
        <f>IFERROR(VLOOKUP(C685,'Chart of Accounts'!$A$4:$F$30,2,FALSE),"")</f>
        <v>Trade Receivables</v>
      </c>
      <c r="E685" s="27" t="str">
        <f>IFERROR(VLOOKUP(C685,'Chart of Accounts'!$A$4:$F$30,4,FALSE),"")</f>
        <v>Trade Receivables</v>
      </c>
      <c r="F685" s="27" t="str">
        <f>IFERROR(VLOOKUP(C685,'Chart of Accounts'!$A$4:$F$30,5,FALSE),"")</f>
        <v>BS</v>
      </c>
      <c r="G685" s="15">
        <v>0</v>
      </c>
      <c r="H685" s="15">
        <v>197771.85527498953</v>
      </c>
      <c r="I685" s="10">
        <f t="shared" si="30"/>
        <v>-197771.85527498953</v>
      </c>
      <c r="J685" s="14" t="s">
        <v>703</v>
      </c>
      <c r="K685" s="14" t="s">
        <v>175</v>
      </c>
      <c r="L685" s="14" t="s">
        <v>176</v>
      </c>
      <c r="M685" s="8" t="str">
        <f t="shared" si="31"/>
        <v>2026-07</v>
      </c>
      <c r="N685" s="8" t="str">
        <f t="shared" si="32"/>
        <v>OK</v>
      </c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 spans="1:52">
      <c r="A686" s="14" t="s">
        <v>704</v>
      </c>
      <c r="B686" s="26">
        <v>46217</v>
      </c>
      <c r="C686" s="14" t="s">
        <v>52</v>
      </c>
      <c r="D686" s="27" t="str">
        <f>IFERROR(VLOOKUP(C686,'Chart of Accounts'!$A$4:$F$30,2,FALSE),"")</f>
        <v>Bank</v>
      </c>
      <c r="E686" s="27" t="str">
        <f>IFERROR(VLOOKUP(C686,'Chart of Accounts'!$A$4:$F$30,4,FALSE),"")</f>
        <v>Cash</v>
      </c>
      <c r="F686" s="27" t="str">
        <f>IFERROR(VLOOKUP(C686,'Chart of Accounts'!$A$4:$F$30,5,FALSE),"")</f>
        <v>BS</v>
      </c>
      <c r="G686" s="15">
        <v>134125.10557103777</v>
      </c>
      <c r="H686" s="15">
        <v>0</v>
      </c>
      <c r="I686" s="10">
        <f t="shared" si="30"/>
        <v>134125.10557103777</v>
      </c>
      <c r="J686" s="14" t="s">
        <v>705</v>
      </c>
      <c r="K686" s="14" t="s">
        <v>175</v>
      </c>
      <c r="L686" s="14" t="s">
        <v>176</v>
      </c>
      <c r="M686" s="8" t="str">
        <f t="shared" si="31"/>
        <v>2026-07</v>
      </c>
      <c r="N686" s="8" t="str">
        <f t="shared" si="32"/>
        <v>OK</v>
      </c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 spans="1:52">
      <c r="A687" s="14" t="s">
        <v>704</v>
      </c>
      <c r="B687" s="26">
        <v>46217</v>
      </c>
      <c r="C687" s="14" t="s">
        <v>58</v>
      </c>
      <c r="D687" s="27" t="str">
        <f>IFERROR(VLOOKUP(C687,'Chart of Accounts'!$A$4:$F$30,2,FALSE),"")</f>
        <v>Trade Receivables</v>
      </c>
      <c r="E687" s="27" t="str">
        <f>IFERROR(VLOOKUP(C687,'Chart of Accounts'!$A$4:$F$30,4,FALSE),"")</f>
        <v>Trade Receivables</v>
      </c>
      <c r="F687" s="27" t="str">
        <f>IFERROR(VLOOKUP(C687,'Chart of Accounts'!$A$4:$F$30,5,FALSE),"")</f>
        <v>BS</v>
      </c>
      <c r="G687" s="15">
        <v>0</v>
      </c>
      <c r="H687" s="15">
        <v>134125.10557103777</v>
      </c>
      <c r="I687" s="10">
        <f t="shared" si="30"/>
        <v>-134125.10557103777</v>
      </c>
      <c r="J687" s="14" t="s">
        <v>705</v>
      </c>
      <c r="K687" s="14" t="s">
        <v>175</v>
      </c>
      <c r="L687" s="14" t="s">
        <v>176</v>
      </c>
      <c r="M687" s="8" t="str">
        <f t="shared" si="31"/>
        <v>2026-07</v>
      </c>
      <c r="N687" s="8" t="str">
        <f t="shared" si="32"/>
        <v>OK</v>
      </c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 spans="1:52">
      <c r="A688" s="14" t="s">
        <v>706</v>
      </c>
      <c r="B688" s="26">
        <v>46231</v>
      </c>
      <c r="C688" s="14" t="s">
        <v>52</v>
      </c>
      <c r="D688" s="27" t="str">
        <f>IFERROR(VLOOKUP(C688,'Chart of Accounts'!$A$4:$F$30,2,FALSE),"")</f>
        <v>Bank</v>
      </c>
      <c r="E688" s="27" t="str">
        <f>IFERROR(VLOOKUP(C688,'Chart of Accounts'!$A$4:$F$30,4,FALSE),"")</f>
        <v>Cash</v>
      </c>
      <c r="F688" s="27" t="str">
        <f>IFERROR(VLOOKUP(C688,'Chart of Accounts'!$A$4:$F$30,5,FALSE),"")</f>
        <v>BS</v>
      </c>
      <c r="G688" s="15">
        <v>150302.50920359866</v>
      </c>
      <c r="H688" s="15">
        <v>0</v>
      </c>
      <c r="I688" s="10">
        <f t="shared" si="30"/>
        <v>150302.50920359866</v>
      </c>
      <c r="J688" s="14" t="s">
        <v>707</v>
      </c>
      <c r="K688" s="14" t="s">
        <v>175</v>
      </c>
      <c r="L688" s="14" t="s">
        <v>176</v>
      </c>
      <c r="M688" s="8" t="str">
        <f t="shared" si="31"/>
        <v>2026-07</v>
      </c>
      <c r="N688" s="8" t="str">
        <f t="shared" si="32"/>
        <v>OK</v>
      </c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 spans="1:52">
      <c r="A689" s="14" t="s">
        <v>706</v>
      </c>
      <c r="B689" s="26">
        <v>46231</v>
      </c>
      <c r="C689" s="14" t="s">
        <v>58</v>
      </c>
      <c r="D689" s="27" t="str">
        <f>IFERROR(VLOOKUP(C689,'Chart of Accounts'!$A$4:$F$30,2,FALSE),"")</f>
        <v>Trade Receivables</v>
      </c>
      <c r="E689" s="27" t="str">
        <f>IFERROR(VLOOKUP(C689,'Chart of Accounts'!$A$4:$F$30,4,FALSE),"")</f>
        <v>Trade Receivables</v>
      </c>
      <c r="F689" s="27" t="str">
        <f>IFERROR(VLOOKUP(C689,'Chart of Accounts'!$A$4:$F$30,5,FALSE),"")</f>
        <v>BS</v>
      </c>
      <c r="G689" s="15">
        <v>0</v>
      </c>
      <c r="H689" s="15">
        <v>150302.50920359866</v>
      </c>
      <c r="I689" s="10">
        <f t="shared" si="30"/>
        <v>-150302.50920359866</v>
      </c>
      <c r="J689" s="14" t="s">
        <v>707</v>
      </c>
      <c r="K689" s="14" t="s">
        <v>175</v>
      </c>
      <c r="L689" s="14" t="s">
        <v>176</v>
      </c>
      <c r="M689" s="8" t="str">
        <f t="shared" si="31"/>
        <v>2026-07</v>
      </c>
      <c r="N689" s="8" t="str">
        <f t="shared" si="32"/>
        <v>OK</v>
      </c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 spans="1:52">
      <c r="A690" s="14" t="s">
        <v>708</v>
      </c>
      <c r="B690" s="26">
        <v>46222</v>
      </c>
      <c r="C690" s="14" t="s">
        <v>52</v>
      </c>
      <c r="D690" s="27" t="str">
        <f>IFERROR(VLOOKUP(C690,'Chart of Accounts'!$A$4:$F$30,2,FALSE),"")</f>
        <v>Bank</v>
      </c>
      <c r="E690" s="27" t="str">
        <f>IFERROR(VLOOKUP(C690,'Chart of Accounts'!$A$4:$F$30,4,FALSE),"")</f>
        <v>Cash</v>
      </c>
      <c r="F690" s="27" t="str">
        <f>IFERROR(VLOOKUP(C690,'Chart of Accounts'!$A$4:$F$30,5,FALSE),"")</f>
        <v>BS</v>
      </c>
      <c r="G690" s="15">
        <v>144413.95029996612</v>
      </c>
      <c r="H690" s="15">
        <v>0</v>
      </c>
      <c r="I690" s="10">
        <f t="shared" si="30"/>
        <v>144413.95029996612</v>
      </c>
      <c r="J690" s="14" t="s">
        <v>709</v>
      </c>
      <c r="K690" s="14" t="s">
        <v>175</v>
      </c>
      <c r="L690" s="14" t="s">
        <v>176</v>
      </c>
      <c r="M690" s="8" t="str">
        <f t="shared" si="31"/>
        <v>2026-07</v>
      </c>
      <c r="N690" s="8" t="str">
        <f t="shared" si="32"/>
        <v>OK</v>
      </c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 spans="1:52">
      <c r="A691" s="14" t="s">
        <v>708</v>
      </c>
      <c r="B691" s="26">
        <v>46222</v>
      </c>
      <c r="C691" s="14" t="s">
        <v>58</v>
      </c>
      <c r="D691" s="27" t="str">
        <f>IFERROR(VLOOKUP(C691,'Chart of Accounts'!$A$4:$F$30,2,FALSE),"")</f>
        <v>Trade Receivables</v>
      </c>
      <c r="E691" s="27" t="str">
        <f>IFERROR(VLOOKUP(C691,'Chart of Accounts'!$A$4:$F$30,4,FALSE),"")</f>
        <v>Trade Receivables</v>
      </c>
      <c r="F691" s="27" t="str">
        <f>IFERROR(VLOOKUP(C691,'Chart of Accounts'!$A$4:$F$30,5,FALSE),"")</f>
        <v>BS</v>
      </c>
      <c r="G691" s="15">
        <v>0</v>
      </c>
      <c r="H691" s="15">
        <v>144413.95029996612</v>
      </c>
      <c r="I691" s="10">
        <f t="shared" si="30"/>
        <v>-144413.95029996612</v>
      </c>
      <c r="J691" s="14" t="s">
        <v>709</v>
      </c>
      <c r="K691" s="14" t="s">
        <v>175</v>
      </c>
      <c r="L691" s="14" t="s">
        <v>176</v>
      </c>
      <c r="M691" s="8" t="str">
        <f t="shared" si="31"/>
        <v>2026-07</v>
      </c>
      <c r="N691" s="8" t="str">
        <f t="shared" si="32"/>
        <v>OK</v>
      </c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 spans="1:52">
      <c r="A692" s="14" t="s">
        <v>710</v>
      </c>
      <c r="B692" s="26">
        <v>46212</v>
      </c>
      <c r="C692" s="14" t="s">
        <v>63</v>
      </c>
      <c r="D692" s="27" t="str">
        <f>IFERROR(VLOOKUP(C692,'Chart of Accounts'!$A$4:$F$30,2,FALSE),"")</f>
        <v>Inventory</v>
      </c>
      <c r="E692" s="27" t="str">
        <f>IFERROR(VLOOKUP(C692,'Chart of Accounts'!$A$4:$F$30,4,FALSE),"")</f>
        <v>Inventory</v>
      </c>
      <c r="F692" s="27" t="str">
        <f>IFERROR(VLOOKUP(C692,'Chart of Accounts'!$A$4:$F$30,5,FALSE),"")</f>
        <v>BS</v>
      </c>
      <c r="G692" s="15">
        <v>106858.50344440313</v>
      </c>
      <c r="H692" s="15">
        <v>0</v>
      </c>
      <c r="I692" s="10">
        <f t="shared" si="30"/>
        <v>106858.50344440313</v>
      </c>
      <c r="J692" s="14" t="s">
        <v>711</v>
      </c>
      <c r="K692" s="14" t="s">
        <v>380</v>
      </c>
      <c r="L692" s="14" t="s">
        <v>190</v>
      </c>
      <c r="M692" s="8" t="str">
        <f t="shared" si="31"/>
        <v>2026-07</v>
      </c>
      <c r="N692" s="8" t="str">
        <f t="shared" si="32"/>
        <v>OK</v>
      </c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 spans="1:52">
      <c r="A693" s="14" t="s">
        <v>710</v>
      </c>
      <c r="B693" s="26">
        <v>46212</v>
      </c>
      <c r="C693" s="14" t="s">
        <v>71</v>
      </c>
      <c r="D693" s="27" t="str">
        <f>IFERROR(VLOOKUP(C693,'Chart of Accounts'!$A$4:$F$30,2,FALSE),"")</f>
        <v>Trade Payables</v>
      </c>
      <c r="E693" s="27" t="str">
        <f>IFERROR(VLOOKUP(C693,'Chart of Accounts'!$A$4:$F$30,4,FALSE),"")</f>
        <v>Trade Payables</v>
      </c>
      <c r="F693" s="27" t="str">
        <f>IFERROR(VLOOKUP(C693,'Chart of Accounts'!$A$4:$F$30,5,FALSE),"")</f>
        <v>BS</v>
      </c>
      <c r="G693" s="15">
        <v>0</v>
      </c>
      <c r="H693" s="15">
        <v>106858.50344440313</v>
      </c>
      <c r="I693" s="10">
        <f t="shared" si="30"/>
        <v>-106858.50344440313</v>
      </c>
      <c r="J693" s="14" t="s">
        <v>711</v>
      </c>
      <c r="K693" s="14" t="s">
        <v>380</v>
      </c>
      <c r="L693" s="14" t="s">
        <v>190</v>
      </c>
      <c r="M693" s="8" t="str">
        <f t="shared" si="31"/>
        <v>2026-07</v>
      </c>
      <c r="N693" s="8" t="str">
        <f t="shared" si="32"/>
        <v>OK</v>
      </c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 spans="1:52">
      <c r="A694" s="14" t="s">
        <v>712</v>
      </c>
      <c r="B694" s="26">
        <v>46214</v>
      </c>
      <c r="C694" s="14" t="s">
        <v>63</v>
      </c>
      <c r="D694" s="27" t="str">
        <f>IFERROR(VLOOKUP(C694,'Chart of Accounts'!$A$4:$F$30,2,FALSE),"")</f>
        <v>Inventory</v>
      </c>
      <c r="E694" s="27" t="str">
        <f>IFERROR(VLOOKUP(C694,'Chart of Accounts'!$A$4:$F$30,4,FALSE),"")</f>
        <v>Inventory</v>
      </c>
      <c r="F694" s="27" t="str">
        <f>IFERROR(VLOOKUP(C694,'Chart of Accounts'!$A$4:$F$30,5,FALSE),"")</f>
        <v>BS</v>
      </c>
      <c r="G694" s="15">
        <v>91729.527023907969</v>
      </c>
      <c r="H694" s="15">
        <v>0</v>
      </c>
      <c r="I694" s="10">
        <f t="shared" si="30"/>
        <v>91729.527023907969</v>
      </c>
      <c r="J694" s="14" t="s">
        <v>713</v>
      </c>
      <c r="K694" s="14" t="s">
        <v>380</v>
      </c>
      <c r="L694" s="14" t="s">
        <v>190</v>
      </c>
      <c r="M694" s="8" t="str">
        <f t="shared" si="31"/>
        <v>2026-07</v>
      </c>
      <c r="N694" s="8" t="str">
        <f t="shared" si="32"/>
        <v>OK</v>
      </c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 spans="1:52">
      <c r="A695" s="14" t="s">
        <v>712</v>
      </c>
      <c r="B695" s="26">
        <v>46214</v>
      </c>
      <c r="C695" s="14" t="s">
        <v>71</v>
      </c>
      <c r="D695" s="27" t="str">
        <f>IFERROR(VLOOKUP(C695,'Chart of Accounts'!$A$4:$F$30,2,FALSE),"")</f>
        <v>Trade Payables</v>
      </c>
      <c r="E695" s="27" t="str">
        <f>IFERROR(VLOOKUP(C695,'Chart of Accounts'!$A$4:$F$30,4,FALSE),"")</f>
        <v>Trade Payables</v>
      </c>
      <c r="F695" s="27" t="str">
        <f>IFERROR(VLOOKUP(C695,'Chart of Accounts'!$A$4:$F$30,5,FALSE),"")</f>
        <v>BS</v>
      </c>
      <c r="G695" s="15">
        <v>0</v>
      </c>
      <c r="H695" s="15">
        <v>91729.527023907969</v>
      </c>
      <c r="I695" s="10">
        <f t="shared" si="30"/>
        <v>-91729.527023907969</v>
      </c>
      <c r="J695" s="14" t="s">
        <v>713</v>
      </c>
      <c r="K695" s="14" t="s">
        <v>380</v>
      </c>
      <c r="L695" s="14" t="s">
        <v>190</v>
      </c>
      <c r="M695" s="8" t="str">
        <f t="shared" si="31"/>
        <v>2026-07</v>
      </c>
      <c r="N695" s="8" t="str">
        <f t="shared" si="32"/>
        <v>OK</v>
      </c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 spans="1:52">
      <c r="A696" s="14" t="s">
        <v>714</v>
      </c>
      <c r="B696" s="26">
        <v>46222</v>
      </c>
      <c r="C696" s="14" t="s">
        <v>63</v>
      </c>
      <c r="D696" s="27" t="str">
        <f>IFERROR(VLOOKUP(C696,'Chart of Accounts'!$A$4:$F$30,2,FALSE),"")</f>
        <v>Inventory</v>
      </c>
      <c r="E696" s="27" t="str">
        <f>IFERROR(VLOOKUP(C696,'Chart of Accounts'!$A$4:$F$30,4,FALSE),"")</f>
        <v>Inventory</v>
      </c>
      <c r="F696" s="27" t="str">
        <f>IFERROR(VLOOKUP(C696,'Chart of Accounts'!$A$4:$F$30,5,FALSE),"")</f>
        <v>BS</v>
      </c>
      <c r="G696" s="15">
        <v>62693.767140768075</v>
      </c>
      <c r="H696" s="15">
        <v>0</v>
      </c>
      <c r="I696" s="10">
        <f t="shared" si="30"/>
        <v>62693.767140768075</v>
      </c>
      <c r="J696" s="14" t="s">
        <v>715</v>
      </c>
      <c r="K696" s="14" t="s">
        <v>642</v>
      </c>
      <c r="L696" s="14" t="s">
        <v>190</v>
      </c>
      <c r="M696" s="8" t="str">
        <f t="shared" si="31"/>
        <v>2026-07</v>
      </c>
      <c r="N696" s="8" t="str">
        <f t="shared" si="32"/>
        <v>OK</v>
      </c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 spans="1:52">
      <c r="A697" s="14" t="s">
        <v>714</v>
      </c>
      <c r="B697" s="26">
        <v>46222</v>
      </c>
      <c r="C697" s="14" t="s">
        <v>71</v>
      </c>
      <c r="D697" s="27" t="str">
        <f>IFERROR(VLOOKUP(C697,'Chart of Accounts'!$A$4:$F$30,2,FALSE),"")</f>
        <v>Trade Payables</v>
      </c>
      <c r="E697" s="27" t="str">
        <f>IFERROR(VLOOKUP(C697,'Chart of Accounts'!$A$4:$F$30,4,FALSE),"")</f>
        <v>Trade Payables</v>
      </c>
      <c r="F697" s="27" t="str">
        <f>IFERROR(VLOOKUP(C697,'Chart of Accounts'!$A$4:$F$30,5,FALSE),"")</f>
        <v>BS</v>
      </c>
      <c r="G697" s="15">
        <v>0</v>
      </c>
      <c r="H697" s="15">
        <v>62693.767140768075</v>
      </c>
      <c r="I697" s="10">
        <f t="shared" si="30"/>
        <v>-62693.767140768075</v>
      </c>
      <c r="J697" s="14" t="s">
        <v>715</v>
      </c>
      <c r="K697" s="14" t="s">
        <v>642</v>
      </c>
      <c r="L697" s="14" t="s">
        <v>190</v>
      </c>
      <c r="M697" s="8" t="str">
        <f t="shared" si="31"/>
        <v>2026-07</v>
      </c>
      <c r="N697" s="8" t="str">
        <f t="shared" si="32"/>
        <v>OK</v>
      </c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 spans="1:52">
      <c r="A698" s="14" t="s">
        <v>716</v>
      </c>
      <c r="B698" s="26">
        <v>46214</v>
      </c>
      <c r="C698" s="14" t="s">
        <v>63</v>
      </c>
      <c r="D698" s="27" t="str">
        <f>IFERROR(VLOOKUP(C698,'Chart of Accounts'!$A$4:$F$30,2,FALSE),"")</f>
        <v>Inventory</v>
      </c>
      <c r="E698" s="27" t="str">
        <f>IFERROR(VLOOKUP(C698,'Chart of Accounts'!$A$4:$F$30,4,FALSE),"")</f>
        <v>Inventory</v>
      </c>
      <c r="F698" s="27" t="str">
        <f>IFERROR(VLOOKUP(C698,'Chart of Accounts'!$A$4:$F$30,5,FALSE),"")</f>
        <v>BS</v>
      </c>
      <c r="G698" s="15">
        <v>69116.661195279274</v>
      </c>
      <c r="H698" s="15">
        <v>0</v>
      </c>
      <c r="I698" s="10">
        <f t="shared" si="30"/>
        <v>69116.661195279274</v>
      </c>
      <c r="J698" s="14" t="s">
        <v>717</v>
      </c>
      <c r="K698" s="14" t="s">
        <v>633</v>
      </c>
      <c r="L698" s="14" t="s">
        <v>190</v>
      </c>
      <c r="M698" s="8" t="str">
        <f t="shared" si="31"/>
        <v>2026-07</v>
      </c>
      <c r="N698" s="8" t="str">
        <f t="shared" si="32"/>
        <v>OK</v>
      </c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 spans="1:52">
      <c r="A699" s="14" t="s">
        <v>716</v>
      </c>
      <c r="B699" s="26">
        <v>46214</v>
      </c>
      <c r="C699" s="14" t="s">
        <v>71</v>
      </c>
      <c r="D699" s="27" t="str">
        <f>IFERROR(VLOOKUP(C699,'Chart of Accounts'!$A$4:$F$30,2,FALSE),"")</f>
        <v>Trade Payables</v>
      </c>
      <c r="E699" s="27" t="str">
        <f>IFERROR(VLOOKUP(C699,'Chart of Accounts'!$A$4:$F$30,4,FALSE),"")</f>
        <v>Trade Payables</v>
      </c>
      <c r="F699" s="27" t="str">
        <f>IFERROR(VLOOKUP(C699,'Chart of Accounts'!$A$4:$F$30,5,FALSE),"")</f>
        <v>BS</v>
      </c>
      <c r="G699" s="15">
        <v>0</v>
      </c>
      <c r="H699" s="15">
        <v>69116.661195279274</v>
      </c>
      <c r="I699" s="10">
        <f t="shared" si="30"/>
        <v>-69116.661195279274</v>
      </c>
      <c r="J699" s="14" t="s">
        <v>717</v>
      </c>
      <c r="K699" s="14" t="s">
        <v>633</v>
      </c>
      <c r="L699" s="14" t="s">
        <v>190</v>
      </c>
      <c r="M699" s="8" t="str">
        <f t="shared" si="31"/>
        <v>2026-07</v>
      </c>
      <c r="N699" s="8" t="str">
        <f t="shared" si="32"/>
        <v>OK</v>
      </c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 spans="1:52">
      <c r="A700" s="14" t="s">
        <v>718</v>
      </c>
      <c r="B700" s="26">
        <v>46222</v>
      </c>
      <c r="C700" s="14" t="s">
        <v>63</v>
      </c>
      <c r="D700" s="27" t="str">
        <f>IFERROR(VLOOKUP(C700,'Chart of Accounts'!$A$4:$F$30,2,FALSE),"")</f>
        <v>Inventory</v>
      </c>
      <c r="E700" s="27" t="str">
        <f>IFERROR(VLOOKUP(C700,'Chart of Accounts'!$A$4:$F$30,4,FALSE),"")</f>
        <v>Inventory</v>
      </c>
      <c r="F700" s="27" t="str">
        <f>IFERROR(VLOOKUP(C700,'Chart of Accounts'!$A$4:$F$30,5,FALSE),"")</f>
        <v>BS</v>
      </c>
      <c r="G700" s="15">
        <v>103116.37695590507</v>
      </c>
      <c r="H700" s="15">
        <v>0</v>
      </c>
      <c r="I700" s="10">
        <f t="shared" si="30"/>
        <v>103116.37695590507</v>
      </c>
      <c r="J700" s="14" t="s">
        <v>719</v>
      </c>
      <c r="K700" s="14" t="s">
        <v>199</v>
      </c>
      <c r="L700" s="14" t="s">
        <v>190</v>
      </c>
      <c r="M700" s="8" t="str">
        <f t="shared" si="31"/>
        <v>2026-07</v>
      </c>
      <c r="N700" s="8" t="str">
        <f t="shared" si="32"/>
        <v>OK</v>
      </c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 spans="1:52">
      <c r="A701" s="14" t="s">
        <v>718</v>
      </c>
      <c r="B701" s="26">
        <v>46222</v>
      </c>
      <c r="C701" s="14" t="s">
        <v>71</v>
      </c>
      <c r="D701" s="27" t="str">
        <f>IFERROR(VLOOKUP(C701,'Chart of Accounts'!$A$4:$F$30,2,FALSE),"")</f>
        <v>Trade Payables</v>
      </c>
      <c r="E701" s="27" t="str">
        <f>IFERROR(VLOOKUP(C701,'Chart of Accounts'!$A$4:$F$30,4,FALSE),"")</f>
        <v>Trade Payables</v>
      </c>
      <c r="F701" s="27" t="str">
        <f>IFERROR(VLOOKUP(C701,'Chart of Accounts'!$A$4:$F$30,5,FALSE),"")</f>
        <v>BS</v>
      </c>
      <c r="G701" s="15">
        <v>0</v>
      </c>
      <c r="H701" s="15">
        <v>103116.37695590507</v>
      </c>
      <c r="I701" s="10">
        <f t="shared" si="30"/>
        <v>-103116.37695590507</v>
      </c>
      <c r="J701" s="14" t="s">
        <v>719</v>
      </c>
      <c r="K701" s="14" t="s">
        <v>199</v>
      </c>
      <c r="L701" s="14" t="s">
        <v>190</v>
      </c>
      <c r="M701" s="8" t="str">
        <f t="shared" si="31"/>
        <v>2026-07</v>
      </c>
      <c r="N701" s="8" t="str">
        <f t="shared" si="32"/>
        <v>OK</v>
      </c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 spans="1:52">
      <c r="A702" s="14" t="s">
        <v>720</v>
      </c>
      <c r="B702" s="26">
        <v>46215</v>
      </c>
      <c r="C702" s="14" t="s">
        <v>63</v>
      </c>
      <c r="D702" s="27" t="str">
        <f>IFERROR(VLOOKUP(C702,'Chart of Accounts'!$A$4:$F$30,2,FALSE),"")</f>
        <v>Inventory</v>
      </c>
      <c r="E702" s="27" t="str">
        <f>IFERROR(VLOOKUP(C702,'Chart of Accounts'!$A$4:$F$30,4,FALSE),"")</f>
        <v>Inventory</v>
      </c>
      <c r="F702" s="27" t="str">
        <f>IFERROR(VLOOKUP(C702,'Chart of Accounts'!$A$4:$F$30,5,FALSE),"")</f>
        <v>BS</v>
      </c>
      <c r="G702" s="15">
        <v>102381.0642397364</v>
      </c>
      <c r="H702" s="15">
        <v>0</v>
      </c>
      <c r="I702" s="10">
        <f t="shared" si="30"/>
        <v>102381.0642397364</v>
      </c>
      <c r="J702" s="14" t="s">
        <v>721</v>
      </c>
      <c r="K702" s="14" t="s">
        <v>296</v>
      </c>
      <c r="L702" s="14" t="s">
        <v>190</v>
      </c>
      <c r="M702" s="8" t="str">
        <f t="shared" si="31"/>
        <v>2026-07</v>
      </c>
      <c r="N702" s="8" t="str">
        <f t="shared" si="32"/>
        <v>OK</v>
      </c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 spans="1:52">
      <c r="A703" s="14" t="s">
        <v>720</v>
      </c>
      <c r="B703" s="26">
        <v>46215</v>
      </c>
      <c r="C703" s="14" t="s">
        <v>71</v>
      </c>
      <c r="D703" s="27" t="str">
        <f>IFERROR(VLOOKUP(C703,'Chart of Accounts'!$A$4:$F$30,2,FALSE),"")</f>
        <v>Trade Payables</v>
      </c>
      <c r="E703" s="27" t="str">
        <f>IFERROR(VLOOKUP(C703,'Chart of Accounts'!$A$4:$F$30,4,FALSE),"")</f>
        <v>Trade Payables</v>
      </c>
      <c r="F703" s="27" t="str">
        <f>IFERROR(VLOOKUP(C703,'Chart of Accounts'!$A$4:$F$30,5,FALSE),"")</f>
        <v>BS</v>
      </c>
      <c r="G703" s="15">
        <v>0</v>
      </c>
      <c r="H703" s="15">
        <v>102381.0642397364</v>
      </c>
      <c r="I703" s="10">
        <f t="shared" si="30"/>
        <v>-102381.0642397364</v>
      </c>
      <c r="J703" s="14" t="s">
        <v>721</v>
      </c>
      <c r="K703" s="14" t="s">
        <v>296</v>
      </c>
      <c r="L703" s="14" t="s">
        <v>190</v>
      </c>
      <c r="M703" s="8" t="str">
        <f t="shared" si="31"/>
        <v>2026-07</v>
      </c>
      <c r="N703" s="8" t="str">
        <f t="shared" si="32"/>
        <v>OK</v>
      </c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 spans="1:52">
      <c r="A704" s="14" t="s">
        <v>722</v>
      </c>
      <c r="B704" s="26">
        <v>46227</v>
      </c>
      <c r="C704" s="14" t="s">
        <v>71</v>
      </c>
      <c r="D704" s="27" t="str">
        <f>IFERROR(VLOOKUP(C704,'Chart of Accounts'!$A$4:$F$30,2,FALSE),"")</f>
        <v>Trade Payables</v>
      </c>
      <c r="E704" s="27" t="str">
        <f>IFERROR(VLOOKUP(C704,'Chart of Accounts'!$A$4:$F$30,4,FALSE),"")</f>
        <v>Trade Payables</v>
      </c>
      <c r="F704" s="27" t="str">
        <f>IFERROR(VLOOKUP(C704,'Chart of Accounts'!$A$4:$F$30,5,FALSE),"")</f>
        <v>BS</v>
      </c>
      <c r="G704" s="15">
        <v>105002.65182443587</v>
      </c>
      <c r="H704" s="15">
        <v>0</v>
      </c>
      <c r="I704" s="10">
        <f t="shared" si="30"/>
        <v>105002.65182443587</v>
      </c>
      <c r="J704" s="14" t="s">
        <v>723</v>
      </c>
      <c r="K704" s="14" t="s">
        <v>207</v>
      </c>
      <c r="L704" s="14" t="s">
        <v>208</v>
      </c>
      <c r="M704" s="8" t="str">
        <f t="shared" si="31"/>
        <v>2026-07</v>
      </c>
      <c r="N704" s="8" t="str">
        <f t="shared" si="32"/>
        <v>OK</v>
      </c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 spans="1:52">
      <c r="A705" s="14" t="s">
        <v>722</v>
      </c>
      <c r="B705" s="26">
        <v>46227</v>
      </c>
      <c r="C705" s="14" t="s">
        <v>52</v>
      </c>
      <c r="D705" s="27" t="str">
        <f>IFERROR(VLOOKUP(C705,'Chart of Accounts'!$A$4:$F$30,2,FALSE),"")</f>
        <v>Bank</v>
      </c>
      <c r="E705" s="27" t="str">
        <f>IFERROR(VLOOKUP(C705,'Chart of Accounts'!$A$4:$F$30,4,FALSE),"")</f>
        <v>Cash</v>
      </c>
      <c r="F705" s="27" t="str">
        <f>IFERROR(VLOOKUP(C705,'Chart of Accounts'!$A$4:$F$30,5,FALSE),"")</f>
        <v>BS</v>
      </c>
      <c r="G705" s="15">
        <v>0</v>
      </c>
      <c r="H705" s="15">
        <v>105002.65182443587</v>
      </c>
      <c r="I705" s="10">
        <f t="shared" si="30"/>
        <v>-105002.65182443587</v>
      </c>
      <c r="J705" s="14" t="s">
        <v>723</v>
      </c>
      <c r="K705" s="14" t="s">
        <v>207</v>
      </c>
      <c r="L705" s="14" t="s">
        <v>208</v>
      </c>
      <c r="M705" s="8" t="str">
        <f t="shared" si="31"/>
        <v>2026-07</v>
      </c>
      <c r="N705" s="8" t="str">
        <f t="shared" si="32"/>
        <v>OK</v>
      </c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 spans="1:52">
      <c r="A706" s="14" t="s">
        <v>724</v>
      </c>
      <c r="B706" s="26">
        <v>46217</v>
      </c>
      <c r="C706" s="14" t="s">
        <v>71</v>
      </c>
      <c r="D706" s="27" t="str">
        <f>IFERROR(VLOOKUP(C706,'Chart of Accounts'!$A$4:$F$30,2,FALSE),"")</f>
        <v>Trade Payables</v>
      </c>
      <c r="E706" s="27" t="str">
        <f>IFERROR(VLOOKUP(C706,'Chart of Accounts'!$A$4:$F$30,4,FALSE),"")</f>
        <v>Trade Payables</v>
      </c>
      <c r="F706" s="27" t="str">
        <f>IFERROR(VLOOKUP(C706,'Chart of Accounts'!$A$4:$F$30,5,FALSE),"")</f>
        <v>BS</v>
      </c>
      <c r="G706" s="15">
        <v>127546.37400170237</v>
      </c>
      <c r="H706" s="15">
        <v>0</v>
      </c>
      <c r="I706" s="10">
        <f t="shared" si="30"/>
        <v>127546.37400170237</v>
      </c>
      <c r="J706" s="14" t="s">
        <v>725</v>
      </c>
      <c r="K706" s="14" t="s">
        <v>207</v>
      </c>
      <c r="L706" s="14" t="s">
        <v>208</v>
      </c>
      <c r="M706" s="8" t="str">
        <f t="shared" si="31"/>
        <v>2026-07</v>
      </c>
      <c r="N706" s="8" t="str">
        <f t="shared" si="32"/>
        <v>OK</v>
      </c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 spans="1:52">
      <c r="A707" s="14" t="s">
        <v>724</v>
      </c>
      <c r="B707" s="26">
        <v>46217</v>
      </c>
      <c r="C707" s="14" t="s">
        <v>52</v>
      </c>
      <c r="D707" s="27" t="str">
        <f>IFERROR(VLOOKUP(C707,'Chart of Accounts'!$A$4:$F$30,2,FALSE),"")</f>
        <v>Bank</v>
      </c>
      <c r="E707" s="27" t="str">
        <f>IFERROR(VLOOKUP(C707,'Chart of Accounts'!$A$4:$F$30,4,FALSE),"")</f>
        <v>Cash</v>
      </c>
      <c r="F707" s="27" t="str">
        <f>IFERROR(VLOOKUP(C707,'Chart of Accounts'!$A$4:$F$30,5,FALSE),"")</f>
        <v>BS</v>
      </c>
      <c r="G707" s="15">
        <v>0</v>
      </c>
      <c r="H707" s="15">
        <v>127546.37400170237</v>
      </c>
      <c r="I707" s="10">
        <f t="shared" si="30"/>
        <v>-127546.37400170237</v>
      </c>
      <c r="J707" s="14" t="s">
        <v>725</v>
      </c>
      <c r="K707" s="14" t="s">
        <v>207</v>
      </c>
      <c r="L707" s="14" t="s">
        <v>208</v>
      </c>
      <c r="M707" s="8" t="str">
        <f t="shared" si="31"/>
        <v>2026-07</v>
      </c>
      <c r="N707" s="8" t="str">
        <f t="shared" si="32"/>
        <v>OK</v>
      </c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 spans="1:52">
      <c r="A708" s="14" t="s">
        <v>726</v>
      </c>
      <c r="B708" s="26">
        <v>46215</v>
      </c>
      <c r="C708" s="14" t="s">
        <v>71</v>
      </c>
      <c r="D708" s="27" t="str">
        <f>IFERROR(VLOOKUP(C708,'Chart of Accounts'!$A$4:$F$30,2,FALSE),"")</f>
        <v>Trade Payables</v>
      </c>
      <c r="E708" s="27" t="str">
        <f>IFERROR(VLOOKUP(C708,'Chart of Accounts'!$A$4:$F$30,4,FALSE),"")</f>
        <v>Trade Payables</v>
      </c>
      <c r="F708" s="27" t="str">
        <f>IFERROR(VLOOKUP(C708,'Chart of Accounts'!$A$4:$F$30,5,FALSE),"")</f>
        <v>BS</v>
      </c>
      <c r="G708" s="15">
        <v>88531.281581644638</v>
      </c>
      <c r="H708" s="15">
        <v>0</v>
      </c>
      <c r="I708" s="10">
        <f t="shared" ref="I708:I771" si="33">G708-H708</f>
        <v>88531.281581644638</v>
      </c>
      <c r="J708" s="14" t="s">
        <v>727</v>
      </c>
      <c r="K708" s="14" t="s">
        <v>207</v>
      </c>
      <c r="L708" s="14" t="s">
        <v>208</v>
      </c>
      <c r="M708" s="8" t="str">
        <f t="shared" ref="M708:M771" si="34">TEXT(B708,"yyyy-mm")</f>
        <v>2026-07</v>
      </c>
      <c r="N708" s="8" t="str">
        <f t="shared" ref="N708:N771" si="35">"OK"</f>
        <v>OK</v>
      </c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 spans="1:52">
      <c r="A709" s="14" t="s">
        <v>726</v>
      </c>
      <c r="B709" s="26">
        <v>46215</v>
      </c>
      <c r="C709" s="14" t="s">
        <v>52</v>
      </c>
      <c r="D709" s="27" t="str">
        <f>IFERROR(VLOOKUP(C709,'Chart of Accounts'!$A$4:$F$30,2,FALSE),"")</f>
        <v>Bank</v>
      </c>
      <c r="E709" s="27" t="str">
        <f>IFERROR(VLOOKUP(C709,'Chart of Accounts'!$A$4:$F$30,4,FALSE),"")</f>
        <v>Cash</v>
      </c>
      <c r="F709" s="27" t="str">
        <f>IFERROR(VLOOKUP(C709,'Chart of Accounts'!$A$4:$F$30,5,FALSE),"")</f>
        <v>BS</v>
      </c>
      <c r="G709" s="15">
        <v>0</v>
      </c>
      <c r="H709" s="15">
        <v>88531.281581644638</v>
      </c>
      <c r="I709" s="10">
        <f t="shared" si="33"/>
        <v>-88531.281581644638</v>
      </c>
      <c r="J709" s="14" t="s">
        <v>727</v>
      </c>
      <c r="K709" s="14" t="s">
        <v>207</v>
      </c>
      <c r="L709" s="14" t="s">
        <v>208</v>
      </c>
      <c r="M709" s="8" t="str">
        <f t="shared" si="34"/>
        <v>2026-07</v>
      </c>
      <c r="N709" s="8" t="str">
        <f t="shared" si="35"/>
        <v>OK</v>
      </c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 spans="1:52">
      <c r="A710" s="14" t="s">
        <v>728</v>
      </c>
      <c r="B710" s="26">
        <v>46215</v>
      </c>
      <c r="C710" s="14" t="s">
        <v>71</v>
      </c>
      <c r="D710" s="27" t="str">
        <f>IFERROR(VLOOKUP(C710,'Chart of Accounts'!$A$4:$F$30,2,FALSE),"")</f>
        <v>Trade Payables</v>
      </c>
      <c r="E710" s="27" t="str">
        <f>IFERROR(VLOOKUP(C710,'Chart of Accounts'!$A$4:$F$30,4,FALSE),"")</f>
        <v>Trade Payables</v>
      </c>
      <c r="F710" s="27" t="str">
        <f>IFERROR(VLOOKUP(C710,'Chart of Accounts'!$A$4:$F$30,5,FALSE),"")</f>
        <v>BS</v>
      </c>
      <c r="G710" s="15">
        <v>90057.709863383177</v>
      </c>
      <c r="H710" s="15">
        <v>0</v>
      </c>
      <c r="I710" s="10">
        <f t="shared" si="33"/>
        <v>90057.709863383177</v>
      </c>
      <c r="J710" s="14" t="s">
        <v>729</v>
      </c>
      <c r="K710" s="14" t="s">
        <v>207</v>
      </c>
      <c r="L710" s="14" t="s">
        <v>208</v>
      </c>
      <c r="M710" s="8" t="str">
        <f t="shared" si="34"/>
        <v>2026-07</v>
      </c>
      <c r="N710" s="8" t="str">
        <f t="shared" si="35"/>
        <v>OK</v>
      </c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 spans="1:52">
      <c r="A711" s="14" t="s">
        <v>728</v>
      </c>
      <c r="B711" s="26">
        <v>46215</v>
      </c>
      <c r="C711" s="14" t="s">
        <v>52</v>
      </c>
      <c r="D711" s="27" t="str">
        <f>IFERROR(VLOOKUP(C711,'Chart of Accounts'!$A$4:$F$30,2,FALSE),"")</f>
        <v>Bank</v>
      </c>
      <c r="E711" s="27" t="str">
        <f>IFERROR(VLOOKUP(C711,'Chart of Accounts'!$A$4:$F$30,4,FALSE),"")</f>
        <v>Cash</v>
      </c>
      <c r="F711" s="27" t="str">
        <f>IFERROR(VLOOKUP(C711,'Chart of Accounts'!$A$4:$F$30,5,FALSE),"")</f>
        <v>BS</v>
      </c>
      <c r="G711" s="15">
        <v>0</v>
      </c>
      <c r="H711" s="15">
        <v>90057.709863383177</v>
      </c>
      <c r="I711" s="10">
        <f t="shared" si="33"/>
        <v>-90057.709863383177</v>
      </c>
      <c r="J711" s="14" t="s">
        <v>729</v>
      </c>
      <c r="K711" s="14" t="s">
        <v>207</v>
      </c>
      <c r="L711" s="14" t="s">
        <v>208</v>
      </c>
      <c r="M711" s="8" t="str">
        <f t="shared" si="34"/>
        <v>2026-07</v>
      </c>
      <c r="N711" s="8" t="str">
        <f t="shared" si="35"/>
        <v>OK</v>
      </c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 spans="1:52">
      <c r="A712" s="14" t="s">
        <v>730</v>
      </c>
      <c r="B712" s="26">
        <v>46231</v>
      </c>
      <c r="C712" s="14" t="s">
        <v>71</v>
      </c>
      <c r="D712" s="27" t="str">
        <f>IFERROR(VLOOKUP(C712,'Chart of Accounts'!$A$4:$F$30,2,FALSE),"")</f>
        <v>Trade Payables</v>
      </c>
      <c r="E712" s="27" t="str">
        <f>IFERROR(VLOOKUP(C712,'Chart of Accounts'!$A$4:$F$30,4,FALSE),"")</f>
        <v>Trade Payables</v>
      </c>
      <c r="F712" s="27" t="str">
        <f>IFERROR(VLOOKUP(C712,'Chart of Accounts'!$A$4:$F$30,5,FALSE),"")</f>
        <v>BS</v>
      </c>
      <c r="G712" s="15">
        <v>111360.48522883387</v>
      </c>
      <c r="H712" s="15">
        <v>0</v>
      </c>
      <c r="I712" s="10">
        <f t="shared" si="33"/>
        <v>111360.48522883387</v>
      </c>
      <c r="J712" s="14" t="s">
        <v>731</v>
      </c>
      <c r="K712" s="14" t="s">
        <v>207</v>
      </c>
      <c r="L712" s="14" t="s">
        <v>208</v>
      </c>
      <c r="M712" s="8" t="str">
        <f t="shared" si="34"/>
        <v>2026-07</v>
      </c>
      <c r="N712" s="8" t="str">
        <f t="shared" si="35"/>
        <v>OK</v>
      </c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 spans="1:52">
      <c r="A713" s="14" t="s">
        <v>730</v>
      </c>
      <c r="B713" s="26">
        <v>46231</v>
      </c>
      <c r="C713" s="14" t="s">
        <v>52</v>
      </c>
      <c r="D713" s="27" t="str">
        <f>IFERROR(VLOOKUP(C713,'Chart of Accounts'!$A$4:$F$30,2,FALSE),"")</f>
        <v>Bank</v>
      </c>
      <c r="E713" s="27" t="str">
        <f>IFERROR(VLOOKUP(C713,'Chart of Accounts'!$A$4:$F$30,4,FALSE),"")</f>
        <v>Cash</v>
      </c>
      <c r="F713" s="27" t="str">
        <f>IFERROR(VLOOKUP(C713,'Chart of Accounts'!$A$4:$F$30,5,FALSE),"")</f>
        <v>BS</v>
      </c>
      <c r="G713" s="15">
        <v>0</v>
      </c>
      <c r="H713" s="15">
        <v>111360.48522883387</v>
      </c>
      <c r="I713" s="10">
        <f t="shared" si="33"/>
        <v>-111360.48522883387</v>
      </c>
      <c r="J713" s="14" t="s">
        <v>731</v>
      </c>
      <c r="K713" s="14" t="s">
        <v>207</v>
      </c>
      <c r="L713" s="14" t="s">
        <v>208</v>
      </c>
      <c r="M713" s="8" t="str">
        <f t="shared" si="34"/>
        <v>2026-07</v>
      </c>
      <c r="N713" s="8" t="str">
        <f t="shared" si="35"/>
        <v>OK</v>
      </c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 spans="1:52">
      <c r="A714" s="14" t="s">
        <v>732</v>
      </c>
      <c r="B714" s="26">
        <v>46228</v>
      </c>
      <c r="C714" s="14" t="s">
        <v>94</v>
      </c>
      <c r="D714" s="27" t="str">
        <f>IFERROR(VLOOKUP(C714,'Chart of Accounts'!$A$4:$F$30,2,FALSE),"")</f>
        <v>Salaries &amp; Wages</v>
      </c>
      <c r="E714" s="27" t="str">
        <f>IFERROR(VLOOKUP(C714,'Chart of Accounts'!$A$4:$F$30,4,FALSE),"")</f>
        <v>Salaries</v>
      </c>
      <c r="F714" s="27" t="str">
        <f>IFERROR(VLOOKUP(C714,'Chart of Accounts'!$A$4:$F$30,5,FALSE),"")</f>
        <v>PL</v>
      </c>
      <c r="G714" s="15">
        <v>187046.19248354787</v>
      </c>
      <c r="H714" s="15">
        <v>0</v>
      </c>
      <c r="I714" s="10">
        <f t="shared" si="33"/>
        <v>187046.19248354787</v>
      </c>
      <c r="J714" s="14" t="s">
        <v>733</v>
      </c>
      <c r="K714" s="14" t="s">
        <v>219</v>
      </c>
      <c r="L714" s="14" t="s">
        <v>220</v>
      </c>
      <c r="M714" s="8" t="str">
        <f t="shared" si="34"/>
        <v>2026-07</v>
      </c>
      <c r="N714" s="8" t="str">
        <f t="shared" si="35"/>
        <v>OK</v>
      </c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 spans="1:52">
      <c r="A715" s="14" t="s">
        <v>732</v>
      </c>
      <c r="B715" s="26">
        <v>46228</v>
      </c>
      <c r="C715" s="14" t="s">
        <v>97</v>
      </c>
      <c r="D715" s="27" t="str">
        <f>IFERROR(VLOOKUP(C715,'Chart of Accounts'!$A$4:$F$30,2,FALSE),"")</f>
        <v>Employer NI &amp; Pension</v>
      </c>
      <c r="E715" s="27" t="str">
        <f>IFERROR(VLOOKUP(C715,'Chart of Accounts'!$A$4:$F$30,4,FALSE),"")</f>
        <v>Employer Costs</v>
      </c>
      <c r="F715" s="27" t="str">
        <f>IFERROR(VLOOKUP(C715,'Chart of Accounts'!$A$4:$F$30,5,FALSE),"")</f>
        <v>PL</v>
      </c>
      <c r="G715" s="15">
        <v>25251.235985278963</v>
      </c>
      <c r="H715" s="15">
        <v>0</v>
      </c>
      <c r="I715" s="10">
        <f t="shared" si="33"/>
        <v>25251.235985278963</v>
      </c>
      <c r="J715" s="14" t="s">
        <v>733</v>
      </c>
      <c r="K715" s="14" t="s">
        <v>219</v>
      </c>
      <c r="L715" s="14" t="s">
        <v>220</v>
      </c>
      <c r="M715" s="8" t="str">
        <f t="shared" si="34"/>
        <v>2026-07</v>
      </c>
      <c r="N715" s="8" t="str">
        <f t="shared" si="35"/>
        <v>OK</v>
      </c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 spans="1:52">
      <c r="A716" s="14" t="s">
        <v>732</v>
      </c>
      <c r="B716" s="26">
        <v>46228</v>
      </c>
      <c r="C716" s="14" t="s">
        <v>52</v>
      </c>
      <c r="D716" s="27" t="str">
        <f>IFERROR(VLOOKUP(C716,'Chart of Accounts'!$A$4:$F$30,2,FALSE),"")</f>
        <v>Bank</v>
      </c>
      <c r="E716" s="27" t="str">
        <f>IFERROR(VLOOKUP(C716,'Chart of Accounts'!$A$4:$F$30,4,FALSE),"")</f>
        <v>Cash</v>
      </c>
      <c r="F716" s="27" t="str">
        <f>IFERROR(VLOOKUP(C716,'Chart of Accounts'!$A$4:$F$30,5,FALSE),"")</f>
        <v>BS</v>
      </c>
      <c r="G716" s="15">
        <v>0</v>
      </c>
      <c r="H716" s="15">
        <v>198268.96403256076</v>
      </c>
      <c r="I716" s="10">
        <f t="shared" si="33"/>
        <v>-198268.96403256076</v>
      </c>
      <c r="J716" s="14" t="s">
        <v>733</v>
      </c>
      <c r="K716" s="14" t="s">
        <v>219</v>
      </c>
      <c r="L716" s="14" t="s">
        <v>220</v>
      </c>
      <c r="M716" s="8" t="str">
        <f t="shared" si="34"/>
        <v>2026-07</v>
      </c>
      <c r="N716" s="8" t="str">
        <f t="shared" si="35"/>
        <v>OK</v>
      </c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 spans="1:52">
      <c r="A717" s="14" t="s">
        <v>732</v>
      </c>
      <c r="B717" s="26">
        <v>46228</v>
      </c>
      <c r="C717" s="14" t="s">
        <v>76</v>
      </c>
      <c r="D717" s="27" t="str">
        <f>IFERROR(VLOOKUP(C717,'Chart of Accounts'!$A$4:$F$30,2,FALSE),"")</f>
        <v>Payroll Liabilities</v>
      </c>
      <c r="E717" s="27" t="str">
        <f>IFERROR(VLOOKUP(C717,'Chart of Accounts'!$A$4:$F$30,4,FALSE),"")</f>
        <v>Payroll Liabilities</v>
      </c>
      <c r="F717" s="27" t="str">
        <f>IFERROR(VLOOKUP(C717,'Chart of Accounts'!$A$4:$F$30,5,FALSE),"")</f>
        <v>BS</v>
      </c>
      <c r="G717" s="15">
        <v>0</v>
      </c>
      <c r="H717" s="15">
        <v>14028.464436266089</v>
      </c>
      <c r="I717" s="10">
        <f t="shared" si="33"/>
        <v>-14028.464436266089</v>
      </c>
      <c r="J717" s="14" t="s">
        <v>733</v>
      </c>
      <c r="K717" s="14" t="s">
        <v>219</v>
      </c>
      <c r="L717" s="14" t="s">
        <v>220</v>
      </c>
      <c r="M717" s="8" t="str">
        <f t="shared" si="34"/>
        <v>2026-07</v>
      </c>
      <c r="N717" s="8" t="str">
        <f t="shared" si="35"/>
        <v>OK</v>
      </c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 spans="1:52">
      <c r="A718" s="14" t="s">
        <v>734</v>
      </c>
      <c r="B718" s="26">
        <v>46231</v>
      </c>
      <c r="C718" s="14" t="s">
        <v>76</v>
      </c>
      <c r="D718" s="27" t="str">
        <f>IFERROR(VLOOKUP(C718,'Chart of Accounts'!$A$4:$F$30,2,FALSE),"")</f>
        <v>Payroll Liabilities</v>
      </c>
      <c r="E718" s="27" t="str">
        <f>IFERROR(VLOOKUP(C718,'Chart of Accounts'!$A$4:$F$30,4,FALSE),"")</f>
        <v>Payroll Liabilities</v>
      </c>
      <c r="F718" s="27" t="str">
        <f>IFERROR(VLOOKUP(C718,'Chart of Accounts'!$A$4:$F$30,5,FALSE),"")</f>
        <v>BS</v>
      </c>
      <c r="G718" s="15">
        <v>14028.464436266089</v>
      </c>
      <c r="H718" s="15">
        <v>0</v>
      </c>
      <c r="I718" s="10">
        <f t="shared" si="33"/>
        <v>14028.464436266089</v>
      </c>
      <c r="J718" s="14" t="s">
        <v>735</v>
      </c>
      <c r="K718" s="14" t="s">
        <v>223</v>
      </c>
      <c r="L718" s="14" t="s">
        <v>220</v>
      </c>
      <c r="M718" s="8" t="str">
        <f t="shared" si="34"/>
        <v>2026-07</v>
      </c>
      <c r="N718" s="8" t="str">
        <f t="shared" si="35"/>
        <v>OK</v>
      </c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 spans="1:52">
      <c r="A719" s="14" t="s">
        <v>734</v>
      </c>
      <c r="B719" s="26">
        <v>46231</v>
      </c>
      <c r="C719" s="14" t="s">
        <v>52</v>
      </c>
      <c r="D719" s="27" t="str">
        <f>IFERROR(VLOOKUP(C719,'Chart of Accounts'!$A$4:$F$30,2,FALSE),"")</f>
        <v>Bank</v>
      </c>
      <c r="E719" s="27" t="str">
        <f>IFERROR(VLOOKUP(C719,'Chart of Accounts'!$A$4:$F$30,4,FALSE),"")</f>
        <v>Cash</v>
      </c>
      <c r="F719" s="27" t="str">
        <f>IFERROR(VLOOKUP(C719,'Chart of Accounts'!$A$4:$F$30,5,FALSE),"")</f>
        <v>BS</v>
      </c>
      <c r="G719" s="15">
        <v>0</v>
      </c>
      <c r="H719" s="15">
        <v>14028.464436266089</v>
      </c>
      <c r="I719" s="10">
        <f t="shared" si="33"/>
        <v>-14028.464436266089</v>
      </c>
      <c r="J719" s="14" t="s">
        <v>735</v>
      </c>
      <c r="K719" s="14" t="s">
        <v>223</v>
      </c>
      <c r="L719" s="14" t="s">
        <v>220</v>
      </c>
      <c r="M719" s="8" t="str">
        <f t="shared" si="34"/>
        <v>2026-07</v>
      </c>
      <c r="N719" s="8" t="str">
        <f t="shared" si="35"/>
        <v>OK</v>
      </c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 spans="1:52">
      <c r="A720" s="14" t="s">
        <v>736</v>
      </c>
      <c r="B720" s="26">
        <v>46221</v>
      </c>
      <c r="C720" s="14" t="s">
        <v>100</v>
      </c>
      <c r="D720" s="27" t="str">
        <f>IFERROR(VLOOKUP(C720,'Chart of Accounts'!$A$4:$F$30,2,FALSE),"")</f>
        <v>Marketing</v>
      </c>
      <c r="E720" s="27" t="str">
        <f>IFERROR(VLOOKUP(C720,'Chart of Accounts'!$A$4:$F$30,4,FALSE),"")</f>
        <v>Marketing</v>
      </c>
      <c r="F720" s="27" t="str">
        <f>IFERROR(VLOOKUP(C720,'Chart of Accounts'!$A$4:$F$30,5,FALSE),"")</f>
        <v>PL</v>
      </c>
      <c r="G720" s="15">
        <v>70152.018167669259</v>
      </c>
      <c r="H720" s="15">
        <v>0</v>
      </c>
      <c r="I720" s="10">
        <f t="shared" si="33"/>
        <v>70152.018167669259</v>
      </c>
      <c r="J720" s="14" t="s">
        <v>737</v>
      </c>
      <c r="K720" s="14" t="s">
        <v>226</v>
      </c>
      <c r="L720" s="14" t="s">
        <v>190</v>
      </c>
      <c r="M720" s="8" t="str">
        <f t="shared" si="34"/>
        <v>2026-07</v>
      </c>
      <c r="N720" s="8" t="str">
        <f t="shared" si="35"/>
        <v>OK</v>
      </c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 spans="1:52">
      <c r="A721" s="14" t="s">
        <v>736</v>
      </c>
      <c r="B721" s="26">
        <v>46221</v>
      </c>
      <c r="C721" s="14" t="s">
        <v>71</v>
      </c>
      <c r="D721" s="27" t="str">
        <f>IFERROR(VLOOKUP(C721,'Chart of Accounts'!$A$4:$F$30,2,FALSE),"")</f>
        <v>Trade Payables</v>
      </c>
      <c r="E721" s="27" t="str">
        <f>IFERROR(VLOOKUP(C721,'Chart of Accounts'!$A$4:$F$30,4,FALSE),"")</f>
        <v>Trade Payables</v>
      </c>
      <c r="F721" s="27" t="str">
        <f>IFERROR(VLOOKUP(C721,'Chart of Accounts'!$A$4:$F$30,5,FALSE),"")</f>
        <v>BS</v>
      </c>
      <c r="G721" s="15">
        <v>0</v>
      </c>
      <c r="H721" s="15">
        <v>70152.018167669259</v>
      </c>
      <c r="I721" s="10">
        <f t="shared" si="33"/>
        <v>-70152.018167669259</v>
      </c>
      <c r="J721" s="14" t="s">
        <v>737</v>
      </c>
      <c r="K721" s="14" t="s">
        <v>226</v>
      </c>
      <c r="L721" s="14" t="s">
        <v>190</v>
      </c>
      <c r="M721" s="8" t="str">
        <f t="shared" si="34"/>
        <v>2026-07</v>
      </c>
      <c r="N721" s="8" t="str">
        <f t="shared" si="35"/>
        <v>OK</v>
      </c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 spans="1:52">
      <c r="A722" s="14" t="s">
        <v>738</v>
      </c>
      <c r="B722" s="26">
        <v>46204</v>
      </c>
      <c r="C722" s="14" t="s">
        <v>102</v>
      </c>
      <c r="D722" s="27" t="str">
        <f>IFERROR(VLOOKUP(C722,'Chart of Accounts'!$A$4:$F$30,2,FALSE),"")</f>
        <v>Rent</v>
      </c>
      <c r="E722" s="27" t="str">
        <f>IFERROR(VLOOKUP(C722,'Chart of Accounts'!$A$4:$F$30,4,FALSE),"")</f>
        <v>Rent</v>
      </c>
      <c r="F722" s="27" t="str">
        <f>IFERROR(VLOOKUP(C722,'Chart of Accounts'!$A$4:$F$30,5,FALSE),"")</f>
        <v>PL</v>
      </c>
      <c r="G722" s="15">
        <v>52000</v>
      </c>
      <c r="H722" s="15">
        <v>0</v>
      </c>
      <c r="I722" s="10">
        <f t="shared" si="33"/>
        <v>52000</v>
      </c>
      <c r="J722" s="14" t="s">
        <v>739</v>
      </c>
      <c r="K722" s="14" t="s">
        <v>229</v>
      </c>
      <c r="L722" s="14" t="s">
        <v>53</v>
      </c>
      <c r="M722" s="8" t="str">
        <f t="shared" si="34"/>
        <v>2026-07</v>
      </c>
      <c r="N722" s="8" t="str">
        <f t="shared" si="35"/>
        <v>OK</v>
      </c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 spans="1:52">
      <c r="A723" s="14" t="s">
        <v>738</v>
      </c>
      <c r="B723" s="26">
        <v>46204</v>
      </c>
      <c r="C723" s="14" t="s">
        <v>52</v>
      </c>
      <c r="D723" s="27" t="str">
        <f>IFERROR(VLOOKUP(C723,'Chart of Accounts'!$A$4:$F$30,2,FALSE),"")</f>
        <v>Bank</v>
      </c>
      <c r="E723" s="27" t="str">
        <f>IFERROR(VLOOKUP(C723,'Chart of Accounts'!$A$4:$F$30,4,FALSE),"")</f>
        <v>Cash</v>
      </c>
      <c r="F723" s="27" t="str">
        <f>IFERROR(VLOOKUP(C723,'Chart of Accounts'!$A$4:$F$30,5,FALSE),"")</f>
        <v>BS</v>
      </c>
      <c r="G723" s="15">
        <v>0</v>
      </c>
      <c r="H723" s="15">
        <v>52000</v>
      </c>
      <c r="I723" s="10">
        <f t="shared" si="33"/>
        <v>-52000</v>
      </c>
      <c r="J723" s="14" t="s">
        <v>739</v>
      </c>
      <c r="K723" s="14" t="s">
        <v>229</v>
      </c>
      <c r="L723" s="14" t="s">
        <v>53</v>
      </c>
      <c r="M723" s="8" t="str">
        <f t="shared" si="34"/>
        <v>2026-07</v>
      </c>
      <c r="N723" s="8" t="str">
        <f t="shared" si="35"/>
        <v>OK</v>
      </c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 spans="1:52">
      <c r="A724" s="14" t="s">
        <v>740</v>
      </c>
      <c r="B724" s="26">
        <v>46223</v>
      </c>
      <c r="C724" s="14" t="s">
        <v>104</v>
      </c>
      <c r="D724" s="27" t="str">
        <f>IFERROR(VLOOKUP(C724,'Chart of Accounts'!$A$4:$F$30,2,FALSE),"")</f>
        <v>Utilities</v>
      </c>
      <c r="E724" s="27" t="str">
        <f>IFERROR(VLOOKUP(C724,'Chart of Accounts'!$A$4:$F$30,4,FALSE),"")</f>
        <v>Utilities</v>
      </c>
      <c r="F724" s="27" t="str">
        <f>IFERROR(VLOOKUP(C724,'Chart of Accounts'!$A$4:$F$30,5,FALSE),"")</f>
        <v>PL</v>
      </c>
      <c r="G724" s="15">
        <v>20812.953689757702</v>
      </c>
      <c r="H724" s="15">
        <v>0</v>
      </c>
      <c r="I724" s="10">
        <f t="shared" si="33"/>
        <v>20812.953689757702</v>
      </c>
      <c r="J724" s="14" t="s">
        <v>741</v>
      </c>
      <c r="K724" s="14" t="s">
        <v>232</v>
      </c>
      <c r="L724" s="14" t="s">
        <v>190</v>
      </c>
      <c r="M724" s="8" t="str">
        <f t="shared" si="34"/>
        <v>2026-07</v>
      </c>
      <c r="N724" s="8" t="str">
        <f t="shared" si="35"/>
        <v>OK</v>
      </c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 spans="1:52">
      <c r="A725" s="14" t="s">
        <v>740</v>
      </c>
      <c r="B725" s="26">
        <v>46223</v>
      </c>
      <c r="C725" s="14" t="s">
        <v>71</v>
      </c>
      <c r="D725" s="27" t="str">
        <f>IFERROR(VLOOKUP(C725,'Chart of Accounts'!$A$4:$F$30,2,FALSE),"")</f>
        <v>Trade Payables</v>
      </c>
      <c r="E725" s="27" t="str">
        <f>IFERROR(VLOOKUP(C725,'Chart of Accounts'!$A$4:$F$30,4,FALSE),"")</f>
        <v>Trade Payables</v>
      </c>
      <c r="F725" s="27" t="str">
        <f>IFERROR(VLOOKUP(C725,'Chart of Accounts'!$A$4:$F$30,5,FALSE),"")</f>
        <v>BS</v>
      </c>
      <c r="G725" s="15">
        <v>0</v>
      </c>
      <c r="H725" s="15">
        <v>20812.953689757702</v>
      </c>
      <c r="I725" s="10">
        <f t="shared" si="33"/>
        <v>-20812.953689757702</v>
      </c>
      <c r="J725" s="14" t="s">
        <v>741</v>
      </c>
      <c r="K725" s="14" t="s">
        <v>232</v>
      </c>
      <c r="L725" s="14" t="s">
        <v>190</v>
      </c>
      <c r="M725" s="8" t="str">
        <f t="shared" si="34"/>
        <v>2026-07</v>
      </c>
      <c r="N725" s="8" t="str">
        <f t="shared" si="35"/>
        <v>OK</v>
      </c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 spans="1:52">
      <c r="A726" s="14" t="s">
        <v>742</v>
      </c>
      <c r="B726" s="26">
        <v>46219</v>
      </c>
      <c r="C726" s="14" t="s">
        <v>106</v>
      </c>
      <c r="D726" s="27" t="str">
        <f>IFERROR(VLOOKUP(C726,'Chart of Accounts'!$A$4:$F$30,2,FALSE),"")</f>
        <v>Professional Fees</v>
      </c>
      <c r="E726" s="27" t="str">
        <f>IFERROR(VLOOKUP(C726,'Chart of Accounts'!$A$4:$F$30,4,FALSE),"")</f>
        <v>Professional Fees</v>
      </c>
      <c r="F726" s="27" t="str">
        <f>IFERROR(VLOOKUP(C726,'Chart of Accounts'!$A$4:$F$30,5,FALSE),"")</f>
        <v>PL</v>
      </c>
      <c r="G726" s="15">
        <v>16742.389163373529</v>
      </c>
      <c r="H726" s="15">
        <v>0</v>
      </c>
      <c r="I726" s="10">
        <f t="shared" si="33"/>
        <v>16742.389163373529</v>
      </c>
      <c r="J726" s="14" t="s">
        <v>743</v>
      </c>
      <c r="K726" s="14" t="s">
        <v>235</v>
      </c>
      <c r="L726" s="14" t="s">
        <v>190</v>
      </c>
      <c r="M726" s="8" t="str">
        <f t="shared" si="34"/>
        <v>2026-07</v>
      </c>
      <c r="N726" s="8" t="str">
        <f t="shared" si="35"/>
        <v>OK</v>
      </c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 spans="1:52">
      <c r="A727" s="14" t="s">
        <v>742</v>
      </c>
      <c r="B727" s="26">
        <v>46219</v>
      </c>
      <c r="C727" s="14" t="s">
        <v>71</v>
      </c>
      <c r="D727" s="27" t="str">
        <f>IFERROR(VLOOKUP(C727,'Chart of Accounts'!$A$4:$F$30,2,FALSE),"")</f>
        <v>Trade Payables</v>
      </c>
      <c r="E727" s="27" t="str">
        <f>IFERROR(VLOOKUP(C727,'Chart of Accounts'!$A$4:$F$30,4,FALSE),"")</f>
        <v>Trade Payables</v>
      </c>
      <c r="F727" s="27" t="str">
        <f>IFERROR(VLOOKUP(C727,'Chart of Accounts'!$A$4:$F$30,5,FALSE),"")</f>
        <v>BS</v>
      </c>
      <c r="G727" s="15">
        <v>0</v>
      </c>
      <c r="H727" s="15">
        <v>16742.389163373529</v>
      </c>
      <c r="I727" s="10">
        <f t="shared" si="33"/>
        <v>-16742.389163373529</v>
      </c>
      <c r="J727" s="14" t="s">
        <v>743</v>
      </c>
      <c r="K727" s="14" t="s">
        <v>235</v>
      </c>
      <c r="L727" s="14" t="s">
        <v>190</v>
      </c>
      <c r="M727" s="8" t="str">
        <f t="shared" si="34"/>
        <v>2026-07</v>
      </c>
      <c r="N727" s="8" t="str">
        <f t="shared" si="35"/>
        <v>OK</v>
      </c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 spans="1:52">
      <c r="A728" s="14" t="s">
        <v>744</v>
      </c>
      <c r="B728" s="26">
        <v>46208</v>
      </c>
      <c r="C728" s="14" t="s">
        <v>110</v>
      </c>
      <c r="D728" s="27" t="str">
        <f>IFERROR(VLOOKUP(C728,'Chart of Accounts'!$A$4:$F$30,2,FALSE),"")</f>
        <v>Software &amp; IT</v>
      </c>
      <c r="E728" s="27" t="str">
        <f>IFERROR(VLOOKUP(C728,'Chart of Accounts'!$A$4:$F$30,4,FALSE),"")</f>
        <v>Software &amp; IT</v>
      </c>
      <c r="F728" s="27" t="str">
        <f>IFERROR(VLOOKUP(C728,'Chart of Accounts'!$A$4:$F$30,5,FALSE),"")</f>
        <v>PL</v>
      </c>
      <c r="G728" s="15">
        <v>23800</v>
      </c>
      <c r="H728" s="15">
        <v>0</v>
      </c>
      <c r="I728" s="10">
        <f t="shared" si="33"/>
        <v>23800</v>
      </c>
      <c r="J728" s="14" t="s">
        <v>745</v>
      </c>
      <c r="K728" s="14" t="s">
        <v>238</v>
      </c>
      <c r="L728" s="14" t="s">
        <v>53</v>
      </c>
      <c r="M728" s="8" t="str">
        <f t="shared" si="34"/>
        <v>2026-07</v>
      </c>
      <c r="N728" s="8" t="str">
        <f t="shared" si="35"/>
        <v>OK</v>
      </c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 spans="1:52">
      <c r="A729" s="14" t="s">
        <v>744</v>
      </c>
      <c r="B729" s="26">
        <v>46208</v>
      </c>
      <c r="C729" s="14" t="s">
        <v>52</v>
      </c>
      <c r="D729" s="27" t="str">
        <f>IFERROR(VLOOKUP(C729,'Chart of Accounts'!$A$4:$F$30,2,FALSE),"")</f>
        <v>Bank</v>
      </c>
      <c r="E729" s="27" t="str">
        <f>IFERROR(VLOOKUP(C729,'Chart of Accounts'!$A$4:$F$30,4,FALSE),"")</f>
        <v>Cash</v>
      </c>
      <c r="F729" s="27" t="str">
        <f>IFERROR(VLOOKUP(C729,'Chart of Accounts'!$A$4:$F$30,5,FALSE),"")</f>
        <v>BS</v>
      </c>
      <c r="G729" s="15">
        <v>0</v>
      </c>
      <c r="H729" s="15">
        <v>23800</v>
      </c>
      <c r="I729" s="10">
        <f t="shared" si="33"/>
        <v>-23800</v>
      </c>
      <c r="J729" s="14" t="s">
        <v>745</v>
      </c>
      <c r="K729" s="14" t="s">
        <v>238</v>
      </c>
      <c r="L729" s="14" t="s">
        <v>53</v>
      </c>
      <c r="M729" s="8" t="str">
        <f t="shared" si="34"/>
        <v>2026-07</v>
      </c>
      <c r="N729" s="8" t="str">
        <f t="shared" si="35"/>
        <v>OK</v>
      </c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 spans="1:52">
      <c r="A730" s="14" t="s">
        <v>746</v>
      </c>
      <c r="B730" s="26">
        <v>46225</v>
      </c>
      <c r="C730" s="14" t="s">
        <v>112</v>
      </c>
      <c r="D730" s="27" t="str">
        <f>IFERROR(VLOOKUP(C730,'Chart of Accounts'!$A$4:$F$30,2,FALSE),"")</f>
        <v>Travel &amp; Entertainment</v>
      </c>
      <c r="E730" s="27" t="str">
        <f>IFERROR(VLOOKUP(C730,'Chart of Accounts'!$A$4:$F$30,4,FALSE),"")</f>
        <v>Travel</v>
      </c>
      <c r="F730" s="27" t="str">
        <f>IFERROR(VLOOKUP(C730,'Chart of Accounts'!$A$4:$F$30,5,FALSE),"")</f>
        <v>PL</v>
      </c>
      <c r="G730" s="15">
        <v>8260.8631571550668</v>
      </c>
      <c r="H730" s="15">
        <v>0</v>
      </c>
      <c r="I730" s="10">
        <f t="shared" si="33"/>
        <v>8260.8631571550668</v>
      </c>
      <c r="J730" s="14" t="s">
        <v>747</v>
      </c>
      <c r="K730" s="14" t="s">
        <v>241</v>
      </c>
      <c r="L730" s="14" t="s">
        <v>53</v>
      </c>
      <c r="M730" s="8" t="str">
        <f t="shared" si="34"/>
        <v>2026-07</v>
      </c>
      <c r="N730" s="8" t="str">
        <f t="shared" si="35"/>
        <v>OK</v>
      </c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 spans="1:52">
      <c r="A731" s="14" t="s">
        <v>746</v>
      </c>
      <c r="B731" s="26">
        <v>46225</v>
      </c>
      <c r="C731" s="14" t="s">
        <v>52</v>
      </c>
      <c r="D731" s="27" t="str">
        <f>IFERROR(VLOOKUP(C731,'Chart of Accounts'!$A$4:$F$30,2,FALSE),"")</f>
        <v>Bank</v>
      </c>
      <c r="E731" s="27" t="str">
        <f>IFERROR(VLOOKUP(C731,'Chart of Accounts'!$A$4:$F$30,4,FALSE),"")</f>
        <v>Cash</v>
      </c>
      <c r="F731" s="27" t="str">
        <f>IFERROR(VLOOKUP(C731,'Chart of Accounts'!$A$4:$F$30,5,FALSE),"")</f>
        <v>BS</v>
      </c>
      <c r="G731" s="15">
        <v>0</v>
      </c>
      <c r="H731" s="15">
        <v>8260.8631571550668</v>
      </c>
      <c r="I731" s="10">
        <f t="shared" si="33"/>
        <v>-8260.8631571550668</v>
      </c>
      <c r="J731" s="14" t="s">
        <v>747</v>
      </c>
      <c r="K731" s="14" t="s">
        <v>241</v>
      </c>
      <c r="L731" s="14" t="s">
        <v>53</v>
      </c>
      <c r="M731" s="8" t="str">
        <f t="shared" si="34"/>
        <v>2026-07</v>
      </c>
      <c r="N731" s="8" t="str">
        <f t="shared" si="35"/>
        <v>OK</v>
      </c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 spans="1:52">
      <c r="A732" s="14" t="s">
        <v>748</v>
      </c>
      <c r="B732" s="26">
        <v>46230</v>
      </c>
      <c r="C732" s="14" t="s">
        <v>120</v>
      </c>
      <c r="D732" s="27" t="str">
        <f>IFERROR(VLOOKUP(C732,'Chart of Accounts'!$A$4:$F$30,2,FALSE),"")</f>
        <v>Interest Expense</v>
      </c>
      <c r="E732" s="27" t="str">
        <f>IFERROR(VLOOKUP(C732,'Chart of Accounts'!$A$4:$F$30,4,FALSE),"")</f>
        <v>Interest</v>
      </c>
      <c r="F732" s="27" t="str">
        <f>IFERROR(VLOOKUP(C732,'Chart of Accounts'!$A$4:$F$30,5,FALSE),"")</f>
        <v>PL</v>
      </c>
      <c r="G732" s="15">
        <v>5500</v>
      </c>
      <c r="H732" s="15">
        <v>0</v>
      </c>
      <c r="I732" s="10">
        <f t="shared" si="33"/>
        <v>5500</v>
      </c>
      <c r="J732" s="14" t="s">
        <v>749</v>
      </c>
      <c r="K732" s="14" t="s">
        <v>244</v>
      </c>
      <c r="L732" s="14" t="s">
        <v>53</v>
      </c>
      <c r="M732" s="8" t="str">
        <f t="shared" si="34"/>
        <v>2026-07</v>
      </c>
      <c r="N732" s="8" t="str">
        <f t="shared" si="35"/>
        <v>OK</v>
      </c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 spans="1:52">
      <c r="A733" s="14" t="s">
        <v>748</v>
      </c>
      <c r="B733" s="26">
        <v>46230</v>
      </c>
      <c r="C733" s="14" t="s">
        <v>52</v>
      </c>
      <c r="D733" s="27" t="str">
        <f>IFERROR(VLOOKUP(C733,'Chart of Accounts'!$A$4:$F$30,2,FALSE),"")</f>
        <v>Bank</v>
      </c>
      <c r="E733" s="27" t="str">
        <f>IFERROR(VLOOKUP(C733,'Chart of Accounts'!$A$4:$F$30,4,FALSE),"")</f>
        <v>Cash</v>
      </c>
      <c r="F733" s="27" t="str">
        <f>IFERROR(VLOOKUP(C733,'Chart of Accounts'!$A$4:$F$30,5,FALSE),"")</f>
        <v>BS</v>
      </c>
      <c r="G733" s="15">
        <v>0</v>
      </c>
      <c r="H733" s="15">
        <v>5500</v>
      </c>
      <c r="I733" s="10">
        <f t="shared" si="33"/>
        <v>-5500</v>
      </c>
      <c r="J733" s="14" t="s">
        <v>749</v>
      </c>
      <c r="K733" s="14" t="s">
        <v>244</v>
      </c>
      <c r="L733" s="14" t="s">
        <v>53</v>
      </c>
      <c r="M733" s="8" t="str">
        <f t="shared" si="34"/>
        <v>2026-07</v>
      </c>
      <c r="N733" s="8" t="str">
        <f t="shared" si="35"/>
        <v>OK</v>
      </c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 spans="1:52">
      <c r="A734" s="14" t="s">
        <v>750</v>
      </c>
      <c r="B734" s="26">
        <v>46231</v>
      </c>
      <c r="C734" s="14" t="s">
        <v>115</v>
      </c>
      <c r="D734" s="27" t="str">
        <f>IFERROR(VLOOKUP(C734,'Chart of Accounts'!$A$4:$F$30,2,FALSE),"")</f>
        <v>Depreciation</v>
      </c>
      <c r="E734" s="27" t="str">
        <f>IFERROR(VLOOKUP(C734,'Chart of Accounts'!$A$4:$F$30,4,FALSE),"")</f>
        <v>Depreciation</v>
      </c>
      <c r="F734" s="27" t="str">
        <f>IFERROR(VLOOKUP(C734,'Chart of Accounts'!$A$4:$F$30,5,FALSE),"")</f>
        <v>PL</v>
      </c>
      <c r="G734" s="15">
        <v>15000</v>
      </c>
      <c r="H734" s="15">
        <v>0</v>
      </c>
      <c r="I734" s="10">
        <f t="shared" si="33"/>
        <v>15000</v>
      </c>
      <c r="J734" s="14" t="s">
        <v>751</v>
      </c>
      <c r="K734" s="14" t="s">
        <v>247</v>
      </c>
      <c r="L734" s="14" t="s">
        <v>248</v>
      </c>
      <c r="M734" s="8" t="str">
        <f t="shared" si="34"/>
        <v>2026-07</v>
      </c>
      <c r="N734" s="8" t="str">
        <f t="shared" si="35"/>
        <v>OK</v>
      </c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 spans="1:52">
      <c r="A735" s="14" t="s">
        <v>750</v>
      </c>
      <c r="B735" s="26">
        <v>46231</v>
      </c>
      <c r="C735" s="14" t="s">
        <v>69</v>
      </c>
      <c r="D735" s="27" t="str">
        <f>IFERROR(VLOOKUP(C735,'Chart of Accounts'!$A$4:$F$30,2,FALSE),"")</f>
        <v>Accumulated Depreciation</v>
      </c>
      <c r="E735" s="27" t="str">
        <f>IFERROR(VLOOKUP(C735,'Chart of Accounts'!$A$4:$F$30,4,FALSE),"")</f>
        <v>Accumulated Depreciation</v>
      </c>
      <c r="F735" s="27" t="str">
        <f>IFERROR(VLOOKUP(C735,'Chart of Accounts'!$A$4:$F$30,5,FALSE),"")</f>
        <v>BS</v>
      </c>
      <c r="G735" s="15">
        <v>0</v>
      </c>
      <c r="H735" s="15">
        <v>15000</v>
      </c>
      <c r="I735" s="10">
        <f t="shared" si="33"/>
        <v>-15000</v>
      </c>
      <c r="J735" s="14" t="s">
        <v>751</v>
      </c>
      <c r="K735" s="14" t="s">
        <v>247</v>
      </c>
      <c r="L735" s="14" t="s">
        <v>248</v>
      </c>
      <c r="M735" s="8" t="str">
        <f t="shared" si="34"/>
        <v>2026-07</v>
      </c>
      <c r="N735" s="8" t="str">
        <f t="shared" si="35"/>
        <v>OK</v>
      </c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 spans="1:52">
      <c r="A736" s="14" t="s">
        <v>752</v>
      </c>
      <c r="B736" s="26">
        <v>46215</v>
      </c>
      <c r="C736" s="14" t="s">
        <v>67</v>
      </c>
      <c r="D736" s="27" t="str">
        <f>IFERROR(VLOOKUP(C736,'Chart of Accounts'!$A$4:$F$30,2,FALSE),"")</f>
        <v>Property, Plant &amp; Equipment</v>
      </c>
      <c r="E736" s="27" t="str">
        <f>IFERROR(VLOOKUP(C736,'Chart of Accounts'!$A$4:$F$30,4,FALSE),"")</f>
        <v>Property, Plant &amp; Equipment</v>
      </c>
      <c r="F736" s="27" t="str">
        <f>IFERROR(VLOOKUP(C736,'Chart of Accounts'!$A$4:$F$30,5,FALSE),"")</f>
        <v>BS</v>
      </c>
      <c r="G736" s="15">
        <v>75000</v>
      </c>
      <c r="H736" s="15">
        <v>0</v>
      </c>
      <c r="I736" s="10">
        <f t="shared" si="33"/>
        <v>75000</v>
      </c>
      <c r="J736" s="14" t="s">
        <v>753</v>
      </c>
      <c r="K736" s="14" t="s">
        <v>251</v>
      </c>
      <c r="L736" s="14" t="s">
        <v>248</v>
      </c>
      <c r="M736" s="8" t="str">
        <f t="shared" si="34"/>
        <v>2026-07</v>
      </c>
      <c r="N736" s="8" t="str">
        <f t="shared" si="35"/>
        <v>OK</v>
      </c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 spans="1:52">
      <c r="A737" s="14" t="s">
        <v>752</v>
      </c>
      <c r="B737" s="26">
        <v>46215</v>
      </c>
      <c r="C737" s="14" t="s">
        <v>52</v>
      </c>
      <c r="D737" s="27" t="str">
        <f>IFERROR(VLOOKUP(C737,'Chart of Accounts'!$A$4:$F$30,2,FALSE),"")</f>
        <v>Bank</v>
      </c>
      <c r="E737" s="27" t="str">
        <f>IFERROR(VLOOKUP(C737,'Chart of Accounts'!$A$4:$F$30,4,FALSE),"")</f>
        <v>Cash</v>
      </c>
      <c r="F737" s="27" t="str">
        <f>IFERROR(VLOOKUP(C737,'Chart of Accounts'!$A$4:$F$30,5,FALSE),"")</f>
        <v>BS</v>
      </c>
      <c r="G737" s="15">
        <v>0</v>
      </c>
      <c r="H737" s="15">
        <v>75000</v>
      </c>
      <c r="I737" s="10">
        <f t="shared" si="33"/>
        <v>-75000</v>
      </c>
      <c r="J737" s="14" t="s">
        <v>753</v>
      </c>
      <c r="K737" s="14" t="s">
        <v>251</v>
      </c>
      <c r="L737" s="14" t="s">
        <v>248</v>
      </c>
      <c r="M737" s="8" t="str">
        <f t="shared" si="34"/>
        <v>2026-07</v>
      </c>
      <c r="N737" s="8" t="str">
        <f t="shared" si="35"/>
        <v>OK</v>
      </c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 spans="1:52">
      <c r="A738" s="14" t="s">
        <v>754</v>
      </c>
      <c r="B738" s="26">
        <v>46252</v>
      </c>
      <c r="C738" s="14" t="s">
        <v>58</v>
      </c>
      <c r="D738" s="27" t="str">
        <f>IFERROR(VLOOKUP(C738,'Chart of Accounts'!$A$4:$F$30,2,FALSE),"")</f>
        <v>Trade Receivables</v>
      </c>
      <c r="E738" s="27" t="str">
        <f>IFERROR(VLOOKUP(C738,'Chart of Accounts'!$A$4:$F$30,4,FALSE),"")</f>
        <v>Trade Receivables</v>
      </c>
      <c r="F738" s="27" t="str">
        <f>IFERROR(VLOOKUP(C738,'Chart of Accounts'!$A$4:$F$30,5,FALSE),"")</f>
        <v>BS</v>
      </c>
      <c r="G738" s="15">
        <v>87397.265725845864</v>
      </c>
      <c r="H738" s="15">
        <v>0</v>
      </c>
      <c r="I738" s="10">
        <f t="shared" si="33"/>
        <v>87397.265725845864</v>
      </c>
      <c r="J738" s="14" t="s">
        <v>755</v>
      </c>
      <c r="K738" s="14" t="s">
        <v>681</v>
      </c>
      <c r="L738" s="14" t="s">
        <v>140</v>
      </c>
      <c r="M738" s="8" t="str">
        <f t="shared" si="34"/>
        <v>2026-08</v>
      </c>
      <c r="N738" s="8" t="str">
        <f t="shared" si="35"/>
        <v>OK</v>
      </c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 spans="1:52">
      <c r="A739" s="14" t="s">
        <v>754</v>
      </c>
      <c r="B739" s="26">
        <v>46252</v>
      </c>
      <c r="C739" s="14" t="s">
        <v>86</v>
      </c>
      <c r="D739" s="27" t="str">
        <f>IFERROR(VLOOKUP(C739,'Chart of Accounts'!$A$4:$F$30,2,FALSE),"")</f>
        <v>Product Sales</v>
      </c>
      <c r="E739" s="27" t="str">
        <f>IFERROR(VLOOKUP(C739,'Chart of Accounts'!$A$4:$F$30,4,FALSE),"")</f>
        <v>Revenue</v>
      </c>
      <c r="F739" s="27" t="str">
        <f>IFERROR(VLOOKUP(C739,'Chart of Accounts'!$A$4:$F$30,5,FALSE),"")</f>
        <v>PL</v>
      </c>
      <c r="G739" s="15">
        <v>0</v>
      </c>
      <c r="H739" s="15">
        <v>87397.265725845864</v>
      </c>
      <c r="I739" s="10">
        <f t="shared" si="33"/>
        <v>-87397.265725845864</v>
      </c>
      <c r="J739" s="14" t="s">
        <v>755</v>
      </c>
      <c r="K739" s="14" t="s">
        <v>681</v>
      </c>
      <c r="L739" s="14" t="s">
        <v>140</v>
      </c>
      <c r="M739" s="8" t="str">
        <f t="shared" si="34"/>
        <v>2026-08</v>
      </c>
      <c r="N739" s="8" t="str">
        <f t="shared" si="35"/>
        <v>OK</v>
      </c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 spans="1:52">
      <c r="A740" s="14" t="s">
        <v>754</v>
      </c>
      <c r="B740" s="26">
        <v>46252</v>
      </c>
      <c r="C740" s="14" t="s">
        <v>90</v>
      </c>
      <c r="D740" s="27" t="str">
        <f>IFERROR(VLOOKUP(C740,'Chart of Accounts'!$A$4:$F$30,2,FALSE),"")</f>
        <v>Cost of Goods Sold</v>
      </c>
      <c r="E740" s="27" t="str">
        <f>IFERROR(VLOOKUP(C740,'Chart of Accounts'!$A$4:$F$30,4,FALSE),"")</f>
        <v>COGS</v>
      </c>
      <c r="F740" s="27" t="str">
        <f>IFERROR(VLOOKUP(C740,'Chart of Accounts'!$A$4:$F$30,5,FALSE),"")</f>
        <v>PL</v>
      </c>
      <c r="G740" s="15">
        <v>47718.90708631184</v>
      </c>
      <c r="H740" s="15">
        <v>0</v>
      </c>
      <c r="I740" s="10">
        <f t="shared" si="33"/>
        <v>47718.90708631184</v>
      </c>
      <c r="J740" s="14" t="s">
        <v>755</v>
      </c>
      <c r="K740" s="14" t="s">
        <v>681</v>
      </c>
      <c r="L740" s="14" t="s">
        <v>140</v>
      </c>
      <c r="M740" s="8" t="str">
        <f t="shared" si="34"/>
        <v>2026-08</v>
      </c>
      <c r="N740" s="8" t="str">
        <f t="shared" si="35"/>
        <v>OK</v>
      </c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 spans="1:52">
      <c r="A741" s="14" t="s">
        <v>754</v>
      </c>
      <c r="B741" s="26">
        <v>46252</v>
      </c>
      <c r="C741" s="14" t="s">
        <v>63</v>
      </c>
      <c r="D741" s="27" t="str">
        <f>IFERROR(VLOOKUP(C741,'Chart of Accounts'!$A$4:$F$30,2,FALSE),"")</f>
        <v>Inventory</v>
      </c>
      <c r="E741" s="27" t="str">
        <f>IFERROR(VLOOKUP(C741,'Chart of Accounts'!$A$4:$F$30,4,FALSE),"")</f>
        <v>Inventory</v>
      </c>
      <c r="F741" s="27" t="str">
        <f>IFERROR(VLOOKUP(C741,'Chart of Accounts'!$A$4:$F$30,5,FALSE),"")</f>
        <v>BS</v>
      </c>
      <c r="G741" s="15">
        <v>0</v>
      </c>
      <c r="H741" s="15">
        <v>47718.90708631184</v>
      </c>
      <c r="I741" s="10">
        <f t="shared" si="33"/>
        <v>-47718.90708631184</v>
      </c>
      <c r="J741" s="14" t="s">
        <v>755</v>
      </c>
      <c r="K741" s="14" t="s">
        <v>681</v>
      </c>
      <c r="L741" s="14" t="s">
        <v>140</v>
      </c>
      <c r="M741" s="8" t="str">
        <f t="shared" si="34"/>
        <v>2026-08</v>
      </c>
      <c r="N741" s="8" t="str">
        <f t="shared" si="35"/>
        <v>OK</v>
      </c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 spans="1:52">
      <c r="A742" s="14" t="s">
        <v>756</v>
      </c>
      <c r="B742" s="26">
        <v>46249</v>
      </c>
      <c r="C742" s="14" t="s">
        <v>58</v>
      </c>
      <c r="D742" s="27" t="str">
        <f>IFERROR(VLOOKUP(C742,'Chart of Accounts'!$A$4:$F$30,2,FALSE),"")</f>
        <v>Trade Receivables</v>
      </c>
      <c r="E742" s="27" t="str">
        <f>IFERROR(VLOOKUP(C742,'Chart of Accounts'!$A$4:$F$30,4,FALSE),"")</f>
        <v>Trade Receivables</v>
      </c>
      <c r="F742" s="27" t="str">
        <f>IFERROR(VLOOKUP(C742,'Chart of Accounts'!$A$4:$F$30,5,FALSE),"")</f>
        <v>BS</v>
      </c>
      <c r="G742" s="15">
        <v>67568.655794545703</v>
      </c>
      <c r="H742" s="15">
        <v>0</v>
      </c>
      <c r="I742" s="10">
        <f t="shared" si="33"/>
        <v>67568.655794545703</v>
      </c>
      <c r="J742" s="14" t="s">
        <v>757</v>
      </c>
      <c r="K742" s="14" t="s">
        <v>681</v>
      </c>
      <c r="L742" s="14" t="s">
        <v>140</v>
      </c>
      <c r="M742" s="8" t="str">
        <f t="shared" si="34"/>
        <v>2026-08</v>
      </c>
      <c r="N742" s="8" t="str">
        <f t="shared" si="35"/>
        <v>OK</v>
      </c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 spans="1:52">
      <c r="A743" s="14" t="s">
        <v>756</v>
      </c>
      <c r="B743" s="26">
        <v>46249</v>
      </c>
      <c r="C743" s="14" t="s">
        <v>86</v>
      </c>
      <c r="D743" s="27" t="str">
        <f>IFERROR(VLOOKUP(C743,'Chart of Accounts'!$A$4:$F$30,2,FALSE),"")</f>
        <v>Product Sales</v>
      </c>
      <c r="E743" s="27" t="str">
        <f>IFERROR(VLOOKUP(C743,'Chart of Accounts'!$A$4:$F$30,4,FALSE),"")</f>
        <v>Revenue</v>
      </c>
      <c r="F743" s="27" t="str">
        <f>IFERROR(VLOOKUP(C743,'Chart of Accounts'!$A$4:$F$30,5,FALSE),"")</f>
        <v>PL</v>
      </c>
      <c r="G743" s="15">
        <v>0</v>
      </c>
      <c r="H743" s="15">
        <v>67568.655794545703</v>
      </c>
      <c r="I743" s="10">
        <f t="shared" si="33"/>
        <v>-67568.655794545703</v>
      </c>
      <c r="J743" s="14" t="s">
        <v>757</v>
      </c>
      <c r="K743" s="14" t="s">
        <v>681</v>
      </c>
      <c r="L743" s="14" t="s">
        <v>140</v>
      </c>
      <c r="M743" s="8" t="str">
        <f t="shared" si="34"/>
        <v>2026-08</v>
      </c>
      <c r="N743" s="8" t="str">
        <f t="shared" si="35"/>
        <v>OK</v>
      </c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 spans="1:52">
      <c r="A744" s="14" t="s">
        <v>756</v>
      </c>
      <c r="B744" s="26">
        <v>46249</v>
      </c>
      <c r="C744" s="14" t="s">
        <v>90</v>
      </c>
      <c r="D744" s="27" t="str">
        <f>IFERROR(VLOOKUP(C744,'Chart of Accounts'!$A$4:$F$30,2,FALSE),"")</f>
        <v>Cost of Goods Sold</v>
      </c>
      <c r="E744" s="27" t="str">
        <f>IFERROR(VLOOKUP(C744,'Chart of Accounts'!$A$4:$F$30,4,FALSE),"")</f>
        <v>COGS</v>
      </c>
      <c r="F744" s="27" t="str">
        <f>IFERROR(VLOOKUP(C744,'Chart of Accounts'!$A$4:$F$30,5,FALSE),"")</f>
        <v>PL</v>
      </c>
      <c r="G744" s="15">
        <v>36892.486063821947</v>
      </c>
      <c r="H744" s="15">
        <v>0</v>
      </c>
      <c r="I744" s="10">
        <f t="shared" si="33"/>
        <v>36892.486063821947</v>
      </c>
      <c r="J744" s="14" t="s">
        <v>757</v>
      </c>
      <c r="K744" s="14" t="s">
        <v>681</v>
      </c>
      <c r="L744" s="14" t="s">
        <v>140</v>
      </c>
      <c r="M744" s="8" t="str">
        <f t="shared" si="34"/>
        <v>2026-08</v>
      </c>
      <c r="N744" s="8" t="str">
        <f t="shared" si="35"/>
        <v>OK</v>
      </c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 spans="1:52">
      <c r="A745" s="14" t="s">
        <v>756</v>
      </c>
      <c r="B745" s="26">
        <v>46249</v>
      </c>
      <c r="C745" s="14" t="s">
        <v>63</v>
      </c>
      <c r="D745" s="27" t="str">
        <f>IFERROR(VLOOKUP(C745,'Chart of Accounts'!$A$4:$F$30,2,FALSE),"")</f>
        <v>Inventory</v>
      </c>
      <c r="E745" s="27" t="str">
        <f>IFERROR(VLOOKUP(C745,'Chart of Accounts'!$A$4:$F$30,4,FALSE),"")</f>
        <v>Inventory</v>
      </c>
      <c r="F745" s="27" t="str">
        <f>IFERROR(VLOOKUP(C745,'Chart of Accounts'!$A$4:$F$30,5,FALSE),"")</f>
        <v>BS</v>
      </c>
      <c r="G745" s="15">
        <v>0</v>
      </c>
      <c r="H745" s="15">
        <v>36892.486063821947</v>
      </c>
      <c r="I745" s="10">
        <f t="shared" si="33"/>
        <v>-36892.486063821947</v>
      </c>
      <c r="J745" s="14" t="s">
        <v>757</v>
      </c>
      <c r="K745" s="14" t="s">
        <v>681</v>
      </c>
      <c r="L745" s="14" t="s">
        <v>140</v>
      </c>
      <c r="M745" s="8" t="str">
        <f t="shared" si="34"/>
        <v>2026-08</v>
      </c>
      <c r="N745" s="8" t="str">
        <f t="shared" si="35"/>
        <v>OK</v>
      </c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 spans="1:52">
      <c r="A746" s="14" t="s">
        <v>758</v>
      </c>
      <c r="B746" s="26">
        <v>46245</v>
      </c>
      <c r="C746" s="14" t="s">
        <v>58</v>
      </c>
      <c r="D746" s="27" t="str">
        <f>IFERROR(VLOOKUP(C746,'Chart of Accounts'!$A$4:$F$30,2,FALSE),"")</f>
        <v>Trade Receivables</v>
      </c>
      <c r="E746" s="27" t="str">
        <f>IFERROR(VLOOKUP(C746,'Chart of Accounts'!$A$4:$F$30,4,FALSE),"")</f>
        <v>Trade Receivables</v>
      </c>
      <c r="F746" s="27" t="str">
        <f>IFERROR(VLOOKUP(C746,'Chart of Accounts'!$A$4:$F$30,5,FALSE),"")</f>
        <v>BS</v>
      </c>
      <c r="G746" s="15">
        <v>68411.783840161719</v>
      </c>
      <c r="H746" s="15">
        <v>0</v>
      </c>
      <c r="I746" s="10">
        <f t="shared" si="33"/>
        <v>68411.783840161719</v>
      </c>
      <c r="J746" s="14" t="s">
        <v>759</v>
      </c>
      <c r="K746" s="14" t="s">
        <v>152</v>
      </c>
      <c r="L746" s="14" t="s">
        <v>140</v>
      </c>
      <c r="M746" s="8" t="str">
        <f t="shared" si="34"/>
        <v>2026-08</v>
      </c>
      <c r="N746" s="8" t="str">
        <f t="shared" si="35"/>
        <v>OK</v>
      </c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 spans="1:52">
      <c r="A747" s="14" t="s">
        <v>758</v>
      </c>
      <c r="B747" s="26">
        <v>46245</v>
      </c>
      <c r="C747" s="14" t="s">
        <v>86</v>
      </c>
      <c r="D747" s="27" t="str">
        <f>IFERROR(VLOOKUP(C747,'Chart of Accounts'!$A$4:$F$30,2,FALSE),"")</f>
        <v>Product Sales</v>
      </c>
      <c r="E747" s="27" t="str">
        <f>IFERROR(VLOOKUP(C747,'Chart of Accounts'!$A$4:$F$30,4,FALSE),"")</f>
        <v>Revenue</v>
      </c>
      <c r="F747" s="27" t="str">
        <f>IFERROR(VLOOKUP(C747,'Chart of Accounts'!$A$4:$F$30,5,FALSE),"")</f>
        <v>PL</v>
      </c>
      <c r="G747" s="15">
        <v>0</v>
      </c>
      <c r="H747" s="15">
        <v>68411.783840161719</v>
      </c>
      <c r="I747" s="10">
        <f t="shared" si="33"/>
        <v>-68411.783840161719</v>
      </c>
      <c r="J747" s="14" t="s">
        <v>759</v>
      </c>
      <c r="K747" s="14" t="s">
        <v>152</v>
      </c>
      <c r="L747" s="14" t="s">
        <v>140</v>
      </c>
      <c r="M747" s="8" t="str">
        <f t="shared" si="34"/>
        <v>2026-08</v>
      </c>
      <c r="N747" s="8" t="str">
        <f t="shared" si="35"/>
        <v>OK</v>
      </c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 spans="1:52">
      <c r="A748" s="14" t="s">
        <v>758</v>
      </c>
      <c r="B748" s="26">
        <v>46245</v>
      </c>
      <c r="C748" s="14" t="s">
        <v>90</v>
      </c>
      <c r="D748" s="27" t="str">
        <f>IFERROR(VLOOKUP(C748,'Chart of Accounts'!$A$4:$F$30,2,FALSE),"")</f>
        <v>Cost of Goods Sold</v>
      </c>
      <c r="E748" s="27" t="str">
        <f>IFERROR(VLOOKUP(C748,'Chart of Accounts'!$A$4:$F$30,4,FALSE),"")</f>
        <v>COGS</v>
      </c>
      <c r="F748" s="27" t="str">
        <f>IFERROR(VLOOKUP(C748,'Chart of Accounts'!$A$4:$F$30,5,FALSE),"")</f>
        <v>PL</v>
      </c>
      <c r="G748" s="15">
        <v>37352.833976728296</v>
      </c>
      <c r="H748" s="15">
        <v>0</v>
      </c>
      <c r="I748" s="10">
        <f t="shared" si="33"/>
        <v>37352.833976728296</v>
      </c>
      <c r="J748" s="14" t="s">
        <v>759</v>
      </c>
      <c r="K748" s="14" t="s">
        <v>152</v>
      </c>
      <c r="L748" s="14" t="s">
        <v>140</v>
      </c>
      <c r="M748" s="8" t="str">
        <f t="shared" si="34"/>
        <v>2026-08</v>
      </c>
      <c r="N748" s="8" t="str">
        <f t="shared" si="35"/>
        <v>OK</v>
      </c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 spans="1:52">
      <c r="A749" s="14" t="s">
        <v>758</v>
      </c>
      <c r="B749" s="26">
        <v>46245</v>
      </c>
      <c r="C749" s="14" t="s">
        <v>63</v>
      </c>
      <c r="D749" s="27" t="str">
        <f>IFERROR(VLOOKUP(C749,'Chart of Accounts'!$A$4:$F$30,2,FALSE),"")</f>
        <v>Inventory</v>
      </c>
      <c r="E749" s="27" t="str">
        <f>IFERROR(VLOOKUP(C749,'Chart of Accounts'!$A$4:$F$30,4,FALSE),"")</f>
        <v>Inventory</v>
      </c>
      <c r="F749" s="27" t="str">
        <f>IFERROR(VLOOKUP(C749,'Chart of Accounts'!$A$4:$F$30,5,FALSE),"")</f>
        <v>BS</v>
      </c>
      <c r="G749" s="15">
        <v>0</v>
      </c>
      <c r="H749" s="15">
        <v>37352.833976728296</v>
      </c>
      <c r="I749" s="10">
        <f t="shared" si="33"/>
        <v>-37352.833976728296</v>
      </c>
      <c r="J749" s="14" t="s">
        <v>759</v>
      </c>
      <c r="K749" s="14" t="s">
        <v>152</v>
      </c>
      <c r="L749" s="14" t="s">
        <v>140</v>
      </c>
      <c r="M749" s="8" t="str">
        <f t="shared" si="34"/>
        <v>2026-08</v>
      </c>
      <c r="N749" s="8" t="str">
        <f t="shared" si="35"/>
        <v>OK</v>
      </c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 spans="1:52">
      <c r="A750" s="14" t="s">
        <v>760</v>
      </c>
      <c r="B750" s="26">
        <v>46243</v>
      </c>
      <c r="C750" s="14" t="s">
        <v>58</v>
      </c>
      <c r="D750" s="27" t="str">
        <f>IFERROR(VLOOKUP(C750,'Chart of Accounts'!$A$4:$F$30,2,FALSE),"")</f>
        <v>Trade Receivables</v>
      </c>
      <c r="E750" s="27" t="str">
        <f>IFERROR(VLOOKUP(C750,'Chart of Accounts'!$A$4:$F$30,4,FALSE),"")</f>
        <v>Trade Receivables</v>
      </c>
      <c r="F750" s="27" t="str">
        <f>IFERROR(VLOOKUP(C750,'Chart of Accounts'!$A$4:$F$30,5,FALSE),"")</f>
        <v>BS</v>
      </c>
      <c r="G750" s="15">
        <v>66006.676154998451</v>
      </c>
      <c r="H750" s="15">
        <v>0</v>
      </c>
      <c r="I750" s="10">
        <f t="shared" si="33"/>
        <v>66006.676154998451</v>
      </c>
      <c r="J750" s="14" t="s">
        <v>761</v>
      </c>
      <c r="K750" s="14" t="s">
        <v>762</v>
      </c>
      <c r="L750" s="14" t="s">
        <v>140</v>
      </c>
      <c r="M750" s="8" t="str">
        <f t="shared" si="34"/>
        <v>2026-08</v>
      </c>
      <c r="N750" s="8" t="str">
        <f t="shared" si="35"/>
        <v>OK</v>
      </c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 spans="1:52">
      <c r="A751" s="14" t="s">
        <v>760</v>
      </c>
      <c r="B751" s="26">
        <v>46243</v>
      </c>
      <c r="C751" s="14" t="s">
        <v>86</v>
      </c>
      <c r="D751" s="27" t="str">
        <f>IFERROR(VLOOKUP(C751,'Chart of Accounts'!$A$4:$F$30,2,FALSE),"")</f>
        <v>Product Sales</v>
      </c>
      <c r="E751" s="27" t="str">
        <f>IFERROR(VLOOKUP(C751,'Chart of Accounts'!$A$4:$F$30,4,FALSE),"")</f>
        <v>Revenue</v>
      </c>
      <c r="F751" s="27" t="str">
        <f>IFERROR(VLOOKUP(C751,'Chart of Accounts'!$A$4:$F$30,5,FALSE),"")</f>
        <v>PL</v>
      </c>
      <c r="G751" s="15">
        <v>0</v>
      </c>
      <c r="H751" s="15">
        <v>66006.676154998451</v>
      </c>
      <c r="I751" s="10">
        <f t="shared" si="33"/>
        <v>-66006.676154998451</v>
      </c>
      <c r="J751" s="14" t="s">
        <v>761</v>
      </c>
      <c r="K751" s="14" t="s">
        <v>762</v>
      </c>
      <c r="L751" s="14" t="s">
        <v>140</v>
      </c>
      <c r="M751" s="8" t="str">
        <f t="shared" si="34"/>
        <v>2026-08</v>
      </c>
      <c r="N751" s="8" t="str">
        <f t="shared" si="35"/>
        <v>OK</v>
      </c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 spans="1:52">
      <c r="A752" s="14" t="s">
        <v>760</v>
      </c>
      <c r="B752" s="26">
        <v>46243</v>
      </c>
      <c r="C752" s="14" t="s">
        <v>90</v>
      </c>
      <c r="D752" s="27" t="str">
        <f>IFERROR(VLOOKUP(C752,'Chart of Accounts'!$A$4:$F$30,2,FALSE),"")</f>
        <v>Cost of Goods Sold</v>
      </c>
      <c r="E752" s="27" t="str">
        <f>IFERROR(VLOOKUP(C752,'Chart of Accounts'!$A$4:$F$30,4,FALSE),"")</f>
        <v>COGS</v>
      </c>
      <c r="F752" s="27" t="str">
        <f>IFERROR(VLOOKUP(C752,'Chart of Accounts'!$A$4:$F$30,5,FALSE),"")</f>
        <v>PL</v>
      </c>
      <c r="G752" s="15">
        <v>36039.645180629152</v>
      </c>
      <c r="H752" s="15">
        <v>0</v>
      </c>
      <c r="I752" s="10">
        <f t="shared" si="33"/>
        <v>36039.645180629152</v>
      </c>
      <c r="J752" s="14" t="s">
        <v>761</v>
      </c>
      <c r="K752" s="14" t="s">
        <v>762</v>
      </c>
      <c r="L752" s="14" t="s">
        <v>140</v>
      </c>
      <c r="M752" s="8" t="str">
        <f t="shared" si="34"/>
        <v>2026-08</v>
      </c>
      <c r="N752" s="8" t="str">
        <f t="shared" si="35"/>
        <v>OK</v>
      </c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 spans="1:52">
      <c r="A753" s="14" t="s">
        <v>760</v>
      </c>
      <c r="B753" s="26">
        <v>46243</v>
      </c>
      <c r="C753" s="14" t="s">
        <v>63</v>
      </c>
      <c r="D753" s="27" t="str">
        <f>IFERROR(VLOOKUP(C753,'Chart of Accounts'!$A$4:$F$30,2,FALSE),"")</f>
        <v>Inventory</v>
      </c>
      <c r="E753" s="27" t="str">
        <f>IFERROR(VLOOKUP(C753,'Chart of Accounts'!$A$4:$F$30,4,FALSE),"")</f>
        <v>Inventory</v>
      </c>
      <c r="F753" s="27" t="str">
        <f>IFERROR(VLOOKUP(C753,'Chart of Accounts'!$A$4:$F$30,5,FALSE),"")</f>
        <v>BS</v>
      </c>
      <c r="G753" s="15">
        <v>0</v>
      </c>
      <c r="H753" s="15">
        <v>36039.645180629152</v>
      </c>
      <c r="I753" s="10">
        <f t="shared" si="33"/>
        <v>-36039.645180629152</v>
      </c>
      <c r="J753" s="14" t="s">
        <v>761</v>
      </c>
      <c r="K753" s="14" t="s">
        <v>762</v>
      </c>
      <c r="L753" s="14" t="s">
        <v>140</v>
      </c>
      <c r="M753" s="8" t="str">
        <f t="shared" si="34"/>
        <v>2026-08</v>
      </c>
      <c r="N753" s="8" t="str">
        <f t="shared" si="35"/>
        <v>OK</v>
      </c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 spans="1:52">
      <c r="A754" s="14" t="s">
        <v>763</v>
      </c>
      <c r="B754" s="26">
        <v>46254</v>
      </c>
      <c r="C754" s="14" t="s">
        <v>58</v>
      </c>
      <c r="D754" s="27" t="str">
        <f>IFERROR(VLOOKUP(C754,'Chart of Accounts'!$A$4:$F$30,2,FALSE),"")</f>
        <v>Trade Receivables</v>
      </c>
      <c r="E754" s="27" t="str">
        <f>IFERROR(VLOOKUP(C754,'Chart of Accounts'!$A$4:$F$30,4,FALSE),"")</f>
        <v>Trade Receivables</v>
      </c>
      <c r="F754" s="27" t="str">
        <f>IFERROR(VLOOKUP(C754,'Chart of Accounts'!$A$4:$F$30,5,FALSE),"")</f>
        <v>BS</v>
      </c>
      <c r="G754" s="15">
        <v>112642.54378526229</v>
      </c>
      <c r="H754" s="15">
        <v>0</v>
      </c>
      <c r="I754" s="10">
        <f t="shared" si="33"/>
        <v>112642.54378526229</v>
      </c>
      <c r="J754" s="14" t="s">
        <v>764</v>
      </c>
      <c r="K754" s="14" t="s">
        <v>158</v>
      </c>
      <c r="L754" s="14" t="s">
        <v>140</v>
      </c>
      <c r="M754" s="8" t="str">
        <f t="shared" si="34"/>
        <v>2026-08</v>
      </c>
      <c r="N754" s="8" t="str">
        <f t="shared" si="35"/>
        <v>OK</v>
      </c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 spans="1:52">
      <c r="A755" s="14" t="s">
        <v>763</v>
      </c>
      <c r="B755" s="26">
        <v>46254</v>
      </c>
      <c r="C755" s="14" t="s">
        <v>86</v>
      </c>
      <c r="D755" s="27" t="str">
        <f>IFERROR(VLOOKUP(C755,'Chart of Accounts'!$A$4:$F$30,2,FALSE),"")</f>
        <v>Product Sales</v>
      </c>
      <c r="E755" s="27" t="str">
        <f>IFERROR(VLOOKUP(C755,'Chart of Accounts'!$A$4:$F$30,4,FALSE),"")</f>
        <v>Revenue</v>
      </c>
      <c r="F755" s="27" t="str">
        <f>IFERROR(VLOOKUP(C755,'Chart of Accounts'!$A$4:$F$30,5,FALSE),"")</f>
        <v>PL</v>
      </c>
      <c r="G755" s="15">
        <v>0</v>
      </c>
      <c r="H755" s="15">
        <v>112642.54378526229</v>
      </c>
      <c r="I755" s="10">
        <f t="shared" si="33"/>
        <v>-112642.54378526229</v>
      </c>
      <c r="J755" s="14" t="s">
        <v>764</v>
      </c>
      <c r="K755" s="14" t="s">
        <v>158</v>
      </c>
      <c r="L755" s="14" t="s">
        <v>140</v>
      </c>
      <c r="M755" s="8" t="str">
        <f t="shared" si="34"/>
        <v>2026-08</v>
      </c>
      <c r="N755" s="8" t="str">
        <f t="shared" si="35"/>
        <v>OK</v>
      </c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 spans="1:52">
      <c r="A756" s="14" t="s">
        <v>763</v>
      </c>
      <c r="B756" s="26">
        <v>46254</v>
      </c>
      <c r="C756" s="14" t="s">
        <v>90</v>
      </c>
      <c r="D756" s="27" t="str">
        <f>IFERROR(VLOOKUP(C756,'Chart of Accounts'!$A$4:$F$30,2,FALSE),"")</f>
        <v>Cost of Goods Sold</v>
      </c>
      <c r="E756" s="27" t="str">
        <f>IFERROR(VLOOKUP(C756,'Chart of Accounts'!$A$4:$F$30,4,FALSE),"")</f>
        <v>COGS</v>
      </c>
      <c r="F756" s="27" t="str">
        <f>IFERROR(VLOOKUP(C756,'Chart of Accounts'!$A$4:$F$30,5,FALSE),"")</f>
        <v>PL</v>
      </c>
      <c r="G756" s="15">
        <v>61502.82890675321</v>
      </c>
      <c r="H756" s="15">
        <v>0</v>
      </c>
      <c r="I756" s="10">
        <f t="shared" si="33"/>
        <v>61502.82890675321</v>
      </c>
      <c r="J756" s="14" t="s">
        <v>764</v>
      </c>
      <c r="K756" s="14" t="s">
        <v>158</v>
      </c>
      <c r="L756" s="14" t="s">
        <v>140</v>
      </c>
      <c r="M756" s="8" t="str">
        <f t="shared" si="34"/>
        <v>2026-08</v>
      </c>
      <c r="N756" s="8" t="str">
        <f t="shared" si="35"/>
        <v>OK</v>
      </c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 spans="1:52">
      <c r="A757" s="14" t="s">
        <v>763</v>
      </c>
      <c r="B757" s="26">
        <v>46254</v>
      </c>
      <c r="C757" s="14" t="s">
        <v>63</v>
      </c>
      <c r="D757" s="27" t="str">
        <f>IFERROR(VLOOKUP(C757,'Chart of Accounts'!$A$4:$F$30,2,FALSE),"")</f>
        <v>Inventory</v>
      </c>
      <c r="E757" s="27" t="str">
        <f>IFERROR(VLOOKUP(C757,'Chart of Accounts'!$A$4:$F$30,4,FALSE),"")</f>
        <v>Inventory</v>
      </c>
      <c r="F757" s="27" t="str">
        <f>IFERROR(VLOOKUP(C757,'Chart of Accounts'!$A$4:$F$30,5,FALSE),"")</f>
        <v>BS</v>
      </c>
      <c r="G757" s="15">
        <v>0</v>
      </c>
      <c r="H757" s="15">
        <v>61502.82890675321</v>
      </c>
      <c r="I757" s="10">
        <f t="shared" si="33"/>
        <v>-61502.82890675321</v>
      </c>
      <c r="J757" s="14" t="s">
        <v>764</v>
      </c>
      <c r="K757" s="14" t="s">
        <v>158</v>
      </c>
      <c r="L757" s="14" t="s">
        <v>140</v>
      </c>
      <c r="M757" s="8" t="str">
        <f t="shared" si="34"/>
        <v>2026-08</v>
      </c>
      <c r="N757" s="8" t="str">
        <f t="shared" si="35"/>
        <v>OK</v>
      </c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 spans="1:52">
      <c r="A758" s="14" t="s">
        <v>765</v>
      </c>
      <c r="B758" s="26">
        <v>46237</v>
      </c>
      <c r="C758" s="14" t="s">
        <v>58</v>
      </c>
      <c r="D758" s="27" t="str">
        <f>IFERROR(VLOOKUP(C758,'Chart of Accounts'!$A$4:$F$30,2,FALSE),"")</f>
        <v>Trade Receivables</v>
      </c>
      <c r="E758" s="27" t="str">
        <f>IFERROR(VLOOKUP(C758,'Chart of Accounts'!$A$4:$F$30,4,FALSE),"")</f>
        <v>Trade Receivables</v>
      </c>
      <c r="F758" s="27" t="str">
        <f>IFERROR(VLOOKUP(C758,'Chart of Accounts'!$A$4:$F$30,5,FALSE),"")</f>
        <v>BS</v>
      </c>
      <c r="G758" s="15">
        <v>64289.599555787652</v>
      </c>
      <c r="H758" s="15">
        <v>0</v>
      </c>
      <c r="I758" s="10">
        <f t="shared" si="33"/>
        <v>64289.599555787652</v>
      </c>
      <c r="J758" s="14" t="s">
        <v>766</v>
      </c>
      <c r="K758" s="14" t="s">
        <v>450</v>
      </c>
      <c r="L758" s="14" t="s">
        <v>140</v>
      </c>
      <c r="M758" s="8" t="str">
        <f t="shared" si="34"/>
        <v>2026-08</v>
      </c>
      <c r="N758" s="8" t="str">
        <f t="shared" si="35"/>
        <v>OK</v>
      </c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 spans="1:52">
      <c r="A759" s="14" t="s">
        <v>765</v>
      </c>
      <c r="B759" s="26">
        <v>46237</v>
      </c>
      <c r="C759" s="14" t="s">
        <v>86</v>
      </c>
      <c r="D759" s="27" t="str">
        <f>IFERROR(VLOOKUP(C759,'Chart of Accounts'!$A$4:$F$30,2,FALSE),"")</f>
        <v>Product Sales</v>
      </c>
      <c r="E759" s="27" t="str">
        <f>IFERROR(VLOOKUP(C759,'Chart of Accounts'!$A$4:$F$30,4,FALSE),"")</f>
        <v>Revenue</v>
      </c>
      <c r="F759" s="27" t="str">
        <f>IFERROR(VLOOKUP(C759,'Chart of Accounts'!$A$4:$F$30,5,FALSE),"")</f>
        <v>PL</v>
      </c>
      <c r="G759" s="15">
        <v>0</v>
      </c>
      <c r="H759" s="15">
        <v>64289.599555787652</v>
      </c>
      <c r="I759" s="10">
        <f t="shared" si="33"/>
        <v>-64289.599555787652</v>
      </c>
      <c r="J759" s="14" t="s">
        <v>766</v>
      </c>
      <c r="K759" s="14" t="s">
        <v>450</v>
      </c>
      <c r="L759" s="14" t="s">
        <v>140</v>
      </c>
      <c r="M759" s="8" t="str">
        <f t="shared" si="34"/>
        <v>2026-08</v>
      </c>
      <c r="N759" s="8" t="str">
        <f t="shared" si="35"/>
        <v>OK</v>
      </c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 spans="1:52">
      <c r="A760" s="14" t="s">
        <v>765</v>
      </c>
      <c r="B760" s="26">
        <v>46237</v>
      </c>
      <c r="C760" s="14" t="s">
        <v>90</v>
      </c>
      <c r="D760" s="27" t="str">
        <f>IFERROR(VLOOKUP(C760,'Chart of Accounts'!$A$4:$F$30,2,FALSE),"")</f>
        <v>Cost of Goods Sold</v>
      </c>
      <c r="E760" s="27" t="str">
        <f>IFERROR(VLOOKUP(C760,'Chart of Accounts'!$A$4:$F$30,4,FALSE),"")</f>
        <v>COGS</v>
      </c>
      <c r="F760" s="27" t="str">
        <f>IFERROR(VLOOKUP(C760,'Chart of Accounts'!$A$4:$F$30,5,FALSE),"")</f>
        <v>PL</v>
      </c>
      <c r="G760" s="15">
        <v>35102.121357460055</v>
      </c>
      <c r="H760" s="15">
        <v>0</v>
      </c>
      <c r="I760" s="10">
        <f t="shared" si="33"/>
        <v>35102.121357460055</v>
      </c>
      <c r="J760" s="14" t="s">
        <v>766</v>
      </c>
      <c r="K760" s="14" t="s">
        <v>450</v>
      </c>
      <c r="L760" s="14" t="s">
        <v>140</v>
      </c>
      <c r="M760" s="8" t="str">
        <f t="shared" si="34"/>
        <v>2026-08</v>
      </c>
      <c r="N760" s="8" t="str">
        <f t="shared" si="35"/>
        <v>OK</v>
      </c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 spans="1:52">
      <c r="A761" s="14" t="s">
        <v>765</v>
      </c>
      <c r="B761" s="26">
        <v>46237</v>
      </c>
      <c r="C761" s="14" t="s">
        <v>63</v>
      </c>
      <c r="D761" s="27" t="str">
        <f>IFERROR(VLOOKUP(C761,'Chart of Accounts'!$A$4:$F$30,2,FALSE),"")</f>
        <v>Inventory</v>
      </c>
      <c r="E761" s="27" t="str">
        <f>IFERROR(VLOOKUP(C761,'Chart of Accounts'!$A$4:$F$30,4,FALSE),"")</f>
        <v>Inventory</v>
      </c>
      <c r="F761" s="27" t="str">
        <f>IFERROR(VLOOKUP(C761,'Chart of Accounts'!$A$4:$F$30,5,FALSE),"")</f>
        <v>BS</v>
      </c>
      <c r="G761" s="15">
        <v>0</v>
      </c>
      <c r="H761" s="15">
        <v>35102.121357460055</v>
      </c>
      <c r="I761" s="10">
        <f t="shared" si="33"/>
        <v>-35102.121357460055</v>
      </c>
      <c r="J761" s="14" t="s">
        <v>766</v>
      </c>
      <c r="K761" s="14" t="s">
        <v>450</v>
      </c>
      <c r="L761" s="14" t="s">
        <v>140</v>
      </c>
      <c r="M761" s="8" t="str">
        <f t="shared" si="34"/>
        <v>2026-08</v>
      </c>
      <c r="N761" s="8" t="str">
        <f t="shared" si="35"/>
        <v>OK</v>
      </c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 spans="1:52">
      <c r="A762" s="14" t="s">
        <v>767</v>
      </c>
      <c r="B762" s="26">
        <v>46238</v>
      </c>
      <c r="C762" s="14" t="s">
        <v>58</v>
      </c>
      <c r="D762" s="27" t="str">
        <f>IFERROR(VLOOKUP(C762,'Chart of Accounts'!$A$4:$F$30,2,FALSE),"")</f>
        <v>Trade Receivables</v>
      </c>
      <c r="E762" s="27" t="str">
        <f>IFERROR(VLOOKUP(C762,'Chart of Accounts'!$A$4:$F$30,4,FALSE),"")</f>
        <v>Trade Receivables</v>
      </c>
      <c r="F762" s="27" t="str">
        <f>IFERROR(VLOOKUP(C762,'Chart of Accounts'!$A$4:$F$30,5,FALSE),"")</f>
        <v>BS</v>
      </c>
      <c r="G762" s="15">
        <v>71024.057534325097</v>
      </c>
      <c r="H762" s="15">
        <v>0</v>
      </c>
      <c r="I762" s="10">
        <f t="shared" si="33"/>
        <v>71024.057534325097</v>
      </c>
      <c r="J762" s="14" t="s">
        <v>768</v>
      </c>
      <c r="K762" s="14" t="s">
        <v>602</v>
      </c>
      <c r="L762" s="14" t="s">
        <v>140</v>
      </c>
      <c r="M762" s="8" t="str">
        <f t="shared" si="34"/>
        <v>2026-08</v>
      </c>
      <c r="N762" s="8" t="str">
        <f t="shared" si="35"/>
        <v>OK</v>
      </c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 spans="1:52">
      <c r="A763" s="14" t="s">
        <v>767</v>
      </c>
      <c r="B763" s="26">
        <v>46238</v>
      </c>
      <c r="C763" s="14" t="s">
        <v>86</v>
      </c>
      <c r="D763" s="27" t="str">
        <f>IFERROR(VLOOKUP(C763,'Chart of Accounts'!$A$4:$F$30,2,FALSE),"")</f>
        <v>Product Sales</v>
      </c>
      <c r="E763" s="27" t="str">
        <f>IFERROR(VLOOKUP(C763,'Chart of Accounts'!$A$4:$F$30,4,FALSE),"")</f>
        <v>Revenue</v>
      </c>
      <c r="F763" s="27" t="str">
        <f>IFERROR(VLOOKUP(C763,'Chart of Accounts'!$A$4:$F$30,5,FALSE),"")</f>
        <v>PL</v>
      </c>
      <c r="G763" s="15">
        <v>0</v>
      </c>
      <c r="H763" s="15">
        <v>71024.057534325097</v>
      </c>
      <c r="I763" s="10">
        <f t="shared" si="33"/>
        <v>-71024.057534325097</v>
      </c>
      <c r="J763" s="14" t="s">
        <v>768</v>
      </c>
      <c r="K763" s="14" t="s">
        <v>602</v>
      </c>
      <c r="L763" s="14" t="s">
        <v>140</v>
      </c>
      <c r="M763" s="8" t="str">
        <f t="shared" si="34"/>
        <v>2026-08</v>
      </c>
      <c r="N763" s="8" t="str">
        <f t="shared" si="35"/>
        <v>OK</v>
      </c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 spans="1:52">
      <c r="A764" s="14" t="s">
        <v>767</v>
      </c>
      <c r="B764" s="26">
        <v>46238</v>
      </c>
      <c r="C764" s="14" t="s">
        <v>90</v>
      </c>
      <c r="D764" s="27" t="str">
        <f>IFERROR(VLOOKUP(C764,'Chart of Accounts'!$A$4:$F$30,2,FALSE),"")</f>
        <v>Cost of Goods Sold</v>
      </c>
      <c r="E764" s="27" t="str">
        <f>IFERROR(VLOOKUP(C764,'Chart of Accounts'!$A$4:$F$30,4,FALSE),"")</f>
        <v>COGS</v>
      </c>
      <c r="F764" s="27" t="str">
        <f>IFERROR(VLOOKUP(C764,'Chart of Accounts'!$A$4:$F$30,5,FALSE),"")</f>
        <v>PL</v>
      </c>
      <c r="G764" s="15">
        <v>38779.135413741504</v>
      </c>
      <c r="H764" s="15">
        <v>0</v>
      </c>
      <c r="I764" s="10">
        <f t="shared" si="33"/>
        <v>38779.135413741504</v>
      </c>
      <c r="J764" s="14" t="s">
        <v>768</v>
      </c>
      <c r="K764" s="14" t="s">
        <v>602</v>
      </c>
      <c r="L764" s="14" t="s">
        <v>140</v>
      </c>
      <c r="M764" s="8" t="str">
        <f t="shared" si="34"/>
        <v>2026-08</v>
      </c>
      <c r="N764" s="8" t="str">
        <f t="shared" si="35"/>
        <v>OK</v>
      </c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 spans="1:52">
      <c r="A765" s="14" t="s">
        <v>767</v>
      </c>
      <c r="B765" s="26">
        <v>46238</v>
      </c>
      <c r="C765" s="14" t="s">
        <v>63</v>
      </c>
      <c r="D765" s="27" t="str">
        <f>IFERROR(VLOOKUP(C765,'Chart of Accounts'!$A$4:$F$30,2,FALSE),"")</f>
        <v>Inventory</v>
      </c>
      <c r="E765" s="27" t="str">
        <f>IFERROR(VLOOKUP(C765,'Chart of Accounts'!$A$4:$F$30,4,FALSE),"")</f>
        <v>Inventory</v>
      </c>
      <c r="F765" s="27" t="str">
        <f>IFERROR(VLOOKUP(C765,'Chart of Accounts'!$A$4:$F$30,5,FALSE),"")</f>
        <v>BS</v>
      </c>
      <c r="G765" s="15">
        <v>0</v>
      </c>
      <c r="H765" s="15">
        <v>38779.135413741504</v>
      </c>
      <c r="I765" s="10">
        <f t="shared" si="33"/>
        <v>-38779.135413741504</v>
      </c>
      <c r="J765" s="14" t="s">
        <v>768</v>
      </c>
      <c r="K765" s="14" t="s">
        <v>602</v>
      </c>
      <c r="L765" s="14" t="s">
        <v>140</v>
      </c>
      <c r="M765" s="8" t="str">
        <f t="shared" si="34"/>
        <v>2026-08</v>
      </c>
      <c r="N765" s="8" t="str">
        <f t="shared" si="35"/>
        <v>OK</v>
      </c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 spans="1:52">
      <c r="A766" s="14" t="s">
        <v>769</v>
      </c>
      <c r="B766" s="26">
        <v>46243</v>
      </c>
      <c r="C766" s="14" t="s">
        <v>58</v>
      </c>
      <c r="D766" s="27" t="str">
        <f>IFERROR(VLOOKUP(C766,'Chart of Accounts'!$A$4:$F$30,2,FALSE),"")</f>
        <v>Trade Receivables</v>
      </c>
      <c r="E766" s="27" t="str">
        <f>IFERROR(VLOOKUP(C766,'Chart of Accounts'!$A$4:$F$30,4,FALSE),"")</f>
        <v>Trade Receivables</v>
      </c>
      <c r="F766" s="27" t="str">
        <f>IFERROR(VLOOKUP(C766,'Chart of Accounts'!$A$4:$F$30,5,FALSE),"")</f>
        <v>BS</v>
      </c>
      <c r="G766" s="15">
        <v>108013.38043572199</v>
      </c>
      <c r="H766" s="15">
        <v>0</v>
      </c>
      <c r="I766" s="10">
        <f t="shared" si="33"/>
        <v>108013.38043572199</v>
      </c>
      <c r="J766" s="14" t="s">
        <v>770</v>
      </c>
      <c r="K766" s="14" t="s">
        <v>139</v>
      </c>
      <c r="L766" s="14" t="s">
        <v>140</v>
      </c>
      <c r="M766" s="8" t="str">
        <f t="shared" si="34"/>
        <v>2026-08</v>
      </c>
      <c r="N766" s="8" t="str">
        <f t="shared" si="35"/>
        <v>OK</v>
      </c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 spans="1:52">
      <c r="A767" s="14" t="s">
        <v>769</v>
      </c>
      <c r="B767" s="26">
        <v>46243</v>
      </c>
      <c r="C767" s="14" t="s">
        <v>86</v>
      </c>
      <c r="D767" s="27" t="str">
        <f>IFERROR(VLOOKUP(C767,'Chart of Accounts'!$A$4:$F$30,2,FALSE),"")</f>
        <v>Product Sales</v>
      </c>
      <c r="E767" s="27" t="str">
        <f>IFERROR(VLOOKUP(C767,'Chart of Accounts'!$A$4:$F$30,4,FALSE),"")</f>
        <v>Revenue</v>
      </c>
      <c r="F767" s="27" t="str">
        <f>IFERROR(VLOOKUP(C767,'Chart of Accounts'!$A$4:$F$30,5,FALSE),"")</f>
        <v>PL</v>
      </c>
      <c r="G767" s="15">
        <v>0</v>
      </c>
      <c r="H767" s="15">
        <v>108013.38043572199</v>
      </c>
      <c r="I767" s="10">
        <f t="shared" si="33"/>
        <v>-108013.38043572199</v>
      </c>
      <c r="J767" s="14" t="s">
        <v>770</v>
      </c>
      <c r="K767" s="14" t="s">
        <v>139</v>
      </c>
      <c r="L767" s="14" t="s">
        <v>140</v>
      </c>
      <c r="M767" s="8" t="str">
        <f t="shared" si="34"/>
        <v>2026-08</v>
      </c>
      <c r="N767" s="8" t="str">
        <f t="shared" si="35"/>
        <v>OK</v>
      </c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 spans="1:52">
      <c r="A768" s="14" t="s">
        <v>769</v>
      </c>
      <c r="B768" s="26">
        <v>46243</v>
      </c>
      <c r="C768" s="14" t="s">
        <v>90</v>
      </c>
      <c r="D768" s="27" t="str">
        <f>IFERROR(VLOOKUP(C768,'Chart of Accounts'!$A$4:$F$30,2,FALSE),"")</f>
        <v>Cost of Goods Sold</v>
      </c>
      <c r="E768" s="27" t="str">
        <f>IFERROR(VLOOKUP(C768,'Chart of Accounts'!$A$4:$F$30,4,FALSE),"")</f>
        <v>COGS</v>
      </c>
      <c r="F768" s="27" t="str">
        <f>IFERROR(VLOOKUP(C768,'Chart of Accounts'!$A$4:$F$30,5,FALSE),"")</f>
        <v>PL</v>
      </c>
      <c r="G768" s="15">
        <v>58975.305717904201</v>
      </c>
      <c r="H768" s="15">
        <v>0</v>
      </c>
      <c r="I768" s="10">
        <f t="shared" si="33"/>
        <v>58975.305717904201</v>
      </c>
      <c r="J768" s="14" t="s">
        <v>770</v>
      </c>
      <c r="K768" s="14" t="s">
        <v>139</v>
      </c>
      <c r="L768" s="14" t="s">
        <v>140</v>
      </c>
      <c r="M768" s="8" t="str">
        <f t="shared" si="34"/>
        <v>2026-08</v>
      </c>
      <c r="N768" s="8" t="str">
        <f t="shared" si="35"/>
        <v>OK</v>
      </c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 spans="1:52">
      <c r="A769" s="14" t="s">
        <v>769</v>
      </c>
      <c r="B769" s="26">
        <v>46243</v>
      </c>
      <c r="C769" s="14" t="s">
        <v>63</v>
      </c>
      <c r="D769" s="27" t="str">
        <f>IFERROR(VLOOKUP(C769,'Chart of Accounts'!$A$4:$F$30,2,FALSE),"")</f>
        <v>Inventory</v>
      </c>
      <c r="E769" s="27" t="str">
        <f>IFERROR(VLOOKUP(C769,'Chart of Accounts'!$A$4:$F$30,4,FALSE),"")</f>
        <v>Inventory</v>
      </c>
      <c r="F769" s="27" t="str">
        <f>IFERROR(VLOOKUP(C769,'Chart of Accounts'!$A$4:$F$30,5,FALSE),"")</f>
        <v>BS</v>
      </c>
      <c r="G769" s="15">
        <v>0</v>
      </c>
      <c r="H769" s="15">
        <v>58975.305717904201</v>
      </c>
      <c r="I769" s="10">
        <f t="shared" si="33"/>
        <v>-58975.305717904201</v>
      </c>
      <c r="J769" s="14" t="s">
        <v>770</v>
      </c>
      <c r="K769" s="14" t="s">
        <v>139</v>
      </c>
      <c r="L769" s="14" t="s">
        <v>140</v>
      </c>
      <c r="M769" s="8" t="str">
        <f t="shared" si="34"/>
        <v>2026-08</v>
      </c>
      <c r="N769" s="8" t="str">
        <f t="shared" si="35"/>
        <v>OK</v>
      </c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 spans="1:52">
      <c r="A770" s="14" t="s">
        <v>771</v>
      </c>
      <c r="B770" s="26">
        <v>46256</v>
      </c>
      <c r="C770" s="14" t="s">
        <v>58</v>
      </c>
      <c r="D770" s="27" t="str">
        <f>IFERROR(VLOOKUP(C770,'Chart of Accounts'!$A$4:$F$30,2,FALSE),"")</f>
        <v>Trade Receivables</v>
      </c>
      <c r="E770" s="27" t="str">
        <f>IFERROR(VLOOKUP(C770,'Chart of Accounts'!$A$4:$F$30,4,FALSE),"")</f>
        <v>Trade Receivables</v>
      </c>
      <c r="F770" s="27" t="str">
        <f>IFERROR(VLOOKUP(C770,'Chart of Accounts'!$A$4:$F$30,5,FALSE),"")</f>
        <v>BS</v>
      </c>
      <c r="G770" s="15">
        <v>58795.750581468405</v>
      </c>
      <c r="H770" s="15">
        <v>0</v>
      </c>
      <c r="I770" s="10">
        <f t="shared" si="33"/>
        <v>58795.750581468405</v>
      </c>
      <c r="J770" s="14" t="s">
        <v>772</v>
      </c>
      <c r="K770" s="14" t="s">
        <v>595</v>
      </c>
      <c r="L770" s="14" t="s">
        <v>140</v>
      </c>
      <c r="M770" s="8" t="str">
        <f t="shared" si="34"/>
        <v>2026-08</v>
      </c>
      <c r="N770" s="8" t="str">
        <f t="shared" si="35"/>
        <v>OK</v>
      </c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 spans="1:52">
      <c r="A771" s="14" t="s">
        <v>771</v>
      </c>
      <c r="B771" s="26">
        <v>46256</v>
      </c>
      <c r="C771" s="14" t="s">
        <v>86</v>
      </c>
      <c r="D771" s="27" t="str">
        <f>IFERROR(VLOOKUP(C771,'Chart of Accounts'!$A$4:$F$30,2,FALSE),"")</f>
        <v>Product Sales</v>
      </c>
      <c r="E771" s="27" t="str">
        <f>IFERROR(VLOOKUP(C771,'Chart of Accounts'!$A$4:$F$30,4,FALSE),"")</f>
        <v>Revenue</v>
      </c>
      <c r="F771" s="27" t="str">
        <f>IFERROR(VLOOKUP(C771,'Chart of Accounts'!$A$4:$F$30,5,FALSE),"")</f>
        <v>PL</v>
      </c>
      <c r="G771" s="15">
        <v>0</v>
      </c>
      <c r="H771" s="15">
        <v>58795.750581468405</v>
      </c>
      <c r="I771" s="10">
        <f t="shared" si="33"/>
        <v>-58795.750581468405</v>
      </c>
      <c r="J771" s="14" t="s">
        <v>772</v>
      </c>
      <c r="K771" s="14" t="s">
        <v>595</v>
      </c>
      <c r="L771" s="14" t="s">
        <v>140</v>
      </c>
      <c r="M771" s="8" t="str">
        <f t="shared" si="34"/>
        <v>2026-08</v>
      </c>
      <c r="N771" s="8" t="str">
        <f t="shared" si="35"/>
        <v>OK</v>
      </c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 spans="1:52">
      <c r="A772" s="14" t="s">
        <v>771</v>
      </c>
      <c r="B772" s="26">
        <v>46256</v>
      </c>
      <c r="C772" s="14" t="s">
        <v>90</v>
      </c>
      <c r="D772" s="27" t="str">
        <f>IFERROR(VLOOKUP(C772,'Chart of Accounts'!$A$4:$F$30,2,FALSE),"")</f>
        <v>Cost of Goods Sold</v>
      </c>
      <c r="E772" s="27" t="str">
        <f>IFERROR(VLOOKUP(C772,'Chart of Accounts'!$A$4:$F$30,4,FALSE),"")</f>
        <v>COGS</v>
      </c>
      <c r="F772" s="27" t="str">
        <f>IFERROR(VLOOKUP(C772,'Chart of Accounts'!$A$4:$F$30,5,FALSE),"")</f>
        <v>PL</v>
      </c>
      <c r="G772" s="15">
        <v>32102.479817481744</v>
      </c>
      <c r="H772" s="15">
        <v>0</v>
      </c>
      <c r="I772" s="10">
        <f t="shared" ref="I772:I835" si="36">G772-H772</f>
        <v>32102.479817481744</v>
      </c>
      <c r="J772" s="14" t="s">
        <v>772</v>
      </c>
      <c r="K772" s="14" t="s">
        <v>595</v>
      </c>
      <c r="L772" s="14" t="s">
        <v>140</v>
      </c>
      <c r="M772" s="8" t="str">
        <f t="shared" ref="M772:M835" si="37">TEXT(B772,"yyyy-mm")</f>
        <v>2026-08</v>
      </c>
      <c r="N772" s="8" t="str">
        <f t="shared" ref="N772:N835" si="38">"OK"</f>
        <v>OK</v>
      </c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 spans="1:52">
      <c r="A773" s="14" t="s">
        <v>771</v>
      </c>
      <c r="B773" s="26">
        <v>46256</v>
      </c>
      <c r="C773" s="14" t="s">
        <v>63</v>
      </c>
      <c r="D773" s="27" t="str">
        <f>IFERROR(VLOOKUP(C773,'Chart of Accounts'!$A$4:$F$30,2,FALSE),"")</f>
        <v>Inventory</v>
      </c>
      <c r="E773" s="27" t="str">
        <f>IFERROR(VLOOKUP(C773,'Chart of Accounts'!$A$4:$F$30,4,FALSE),"")</f>
        <v>Inventory</v>
      </c>
      <c r="F773" s="27" t="str">
        <f>IFERROR(VLOOKUP(C773,'Chart of Accounts'!$A$4:$F$30,5,FALSE),"")</f>
        <v>BS</v>
      </c>
      <c r="G773" s="15">
        <v>0</v>
      </c>
      <c r="H773" s="15">
        <v>32102.479817481744</v>
      </c>
      <c r="I773" s="10">
        <f t="shared" si="36"/>
        <v>-32102.479817481744</v>
      </c>
      <c r="J773" s="14" t="s">
        <v>772</v>
      </c>
      <c r="K773" s="14" t="s">
        <v>595</v>
      </c>
      <c r="L773" s="14" t="s">
        <v>140</v>
      </c>
      <c r="M773" s="8" t="str">
        <f t="shared" si="37"/>
        <v>2026-08</v>
      </c>
      <c r="N773" s="8" t="str">
        <f t="shared" si="38"/>
        <v>OK</v>
      </c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 spans="1:52">
      <c r="A774" s="14" t="s">
        <v>773</v>
      </c>
      <c r="B774" s="26">
        <v>46251</v>
      </c>
      <c r="C774" s="14" t="s">
        <v>58</v>
      </c>
      <c r="D774" s="27" t="str">
        <f>IFERROR(VLOOKUP(C774,'Chart of Accounts'!$A$4:$F$30,2,FALSE),"")</f>
        <v>Trade Receivables</v>
      </c>
      <c r="E774" s="27" t="str">
        <f>IFERROR(VLOOKUP(C774,'Chart of Accounts'!$A$4:$F$30,4,FALSE),"")</f>
        <v>Trade Receivables</v>
      </c>
      <c r="F774" s="27" t="str">
        <f>IFERROR(VLOOKUP(C774,'Chart of Accounts'!$A$4:$F$30,5,FALSE),"")</f>
        <v>BS</v>
      </c>
      <c r="G774" s="15">
        <v>96499.544380360909</v>
      </c>
      <c r="H774" s="15">
        <v>0</v>
      </c>
      <c r="I774" s="10">
        <f t="shared" si="36"/>
        <v>96499.544380360909</v>
      </c>
      <c r="J774" s="14" t="s">
        <v>774</v>
      </c>
      <c r="K774" s="14" t="s">
        <v>164</v>
      </c>
      <c r="L774" s="14" t="s">
        <v>140</v>
      </c>
      <c r="M774" s="8" t="str">
        <f t="shared" si="37"/>
        <v>2026-08</v>
      </c>
      <c r="N774" s="8" t="str">
        <f t="shared" si="38"/>
        <v>OK</v>
      </c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 spans="1:52">
      <c r="A775" s="14" t="s">
        <v>773</v>
      </c>
      <c r="B775" s="26">
        <v>46251</v>
      </c>
      <c r="C775" s="14" t="s">
        <v>86</v>
      </c>
      <c r="D775" s="27" t="str">
        <f>IFERROR(VLOOKUP(C775,'Chart of Accounts'!$A$4:$F$30,2,FALSE),"")</f>
        <v>Product Sales</v>
      </c>
      <c r="E775" s="27" t="str">
        <f>IFERROR(VLOOKUP(C775,'Chart of Accounts'!$A$4:$F$30,4,FALSE),"")</f>
        <v>Revenue</v>
      </c>
      <c r="F775" s="27" t="str">
        <f>IFERROR(VLOOKUP(C775,'Chart of Accounts'!$A$4:$F$30,5,FALSE),"")</f>
        <v>PL</v>
      </c>
      <c r="G775" s="15">
        <v>0</v>
      </c>
      <c r="H775" s="15">
        <v>96499.544380360909</v>
      </c>
      <c r="I775" s="10">
        <f t="shared" si="36"/>
        <v>-96499.544380360909</v>
      </c>
      <c r="J775" s="14" t="s">
        <v>774</v>
      </c>
      <c r="K775" s="14" t="s">
        <v>164</v>
      </c>
      <c r="L775" s="14" t="s">
        <v>140</v>
      </c>
      <c r="M775" s="8" t="str">
        <f t="shared" si="37"/>
        <v>2026-08</v>
      </c>
      <c r="N775" s="8" t="str">
        <f t="shared" si="38"/>
        <v>OK</v>
      </c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 spans="1:52">
      <c r="A776" s="14" t="s">
        <v>773</v>
      </c>
      <c r="B776" s="26">
        <v>46251</v>
      </c>
      <c r="C776" s="14" t="s">
        <v>90</v>
      </c>
      <c r="D776" s="27" t="str">
        <f>IFERROR(VLOOKUP(C776,'Chart of Accounts'!$A$4:$F$30,2,FALSE),"")</f>
        <v>Cost of Goods Sold</v>
      </c>
      <c r="E776" s="27" t="str">
        <f>IFERROR(VLOOKUP(C776,'Chart of Accounts'!$A$4:$F$30,4,FALSE),"")</f>
        <v>COGS</v>
      </c>
      <c r="F776" s="27" t="str">
        <f>IFERROR(VLOOKUP(C776,'Chart of Accounts'!$A$4:$F$30,5,FALSE),"")</f>
        <v>PL</v>
      </c>
      <c r="G776" s="15">
        <v>52688.751231677059</v>
      </c>
      <c r="H776" s="15">
        <v>0</v>
      </c>
      <c r="I776" s="10">
        <f t="shared" si="36"/>
        <v>52688.751231677059</v>
      </c>
      <c r="J776" s="14" t="s">
        <v>774</v>
      </c>
      <c r="K776" s="14" t="s">
        <v>164</v>
      </c>
      <c r="L776" s="14" t="s">
        <v>140</v>
      </c>
      <c r="M776" s="8" t="str">
        <f t="shared" si="37"/>
        <v>2026-08</v>
      </c>
      <c r="N776" s="8" t="str">
        <f t="shared" si="38"/>
        <v>OK</v>
      </c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 spans="1:52">
      <c r="A777" s="14" t="s">
        <v>773</v>
      </c>
      <c r="B777" s="26">
        <v>46251</v>
      </c>
      <c r="C777" s="14" t="s">
        <v>63</v>
      </c>
      <c r="D777" s="27" t="str">
        <f>IFERROR(VLOOKUP(C777,'Chart of Accounts'!$A$4:$F$30,2,FALSE),"")</f>
        <v>Inventory</v>
      </c>
      <c r="E777" s="27" t="str">
        <f>IFERROR(VLOOKUP(C777,'Chart of Accounts'!$A$4:$F$30,4,FALSE),"")</f>
        <v>Inventory</v>
      </c>
      <c r="F777" s="27" t="str">
        <f>IFERROR(VLOOKUP(C777,'Chart of Accounts'!$A$4:$F$30,5,FALSE),"")</f>
        <v>BS</v>
      </c>
      <c r="G777" s="15">
        <v>0</v>
      </c>
      <c r="H777" s="15">
        <v>52688.751231677059</v>
      </c>
      <c r="I777" s="10">
        <f t="shared" si="36"/>
        <v>-52688.751231677059</v>
      </c>
      <c r="J777" s="14" t="s">
        <v>774</v>
      </c>
      <c r="K777" s="14" t="s">
        <v>164</v>
      </c>
      <c r="L777" s="14" t="s">
        <v>140</v>
      </c>
      <c r="M777" s="8" t="str">
        <f t="shared" si="37"/>
        <v>2026-08</v>
      </c>
      <c r="N777" s="8" t="str">
        <f t="shared" si="38"/>
        <v>OK</v>
      </c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 spans="1:52">
      <c r="A778" s="14" t="s">
        <v>775</v>
      </c>
      <c r="B778" s="26">
        <v>46249</v>
      </c>
      <c r="C778" s="14" t="s">
        <v>58</v>
      </c>
      <c r="D778" s="27" t="str">
        <f>IFERROR(VLOOKUP(C778,'Chart of Accounts'!$A$4:$F$30,2,FALSE),"")</f>
        <v>Trade Receivables</v>
      </c>
      <c r="E778" s="27" t="str">
        <f>IFERROR(VLOOKUP(C778,'Chart of Accounts'!$A$4:$F$30,4,FALSE),"")</f>
        <v>Trade Receivables</v>
      </c>
      <c r="F778" s="27" t="str">
        <f>IFERROR(VLOOKUP(C778,'Chart of Accounts'!$A$4:$F$30,5,FALSE),"")</f>
        <v>BS</v>
      </c>
      <c r="G778" s="15">
        <v>102042.3285562098</v>
      </c>
      <c r="H778" s="15">
        <v>0</v>
      </c>
      <c r="I778" s="10">
        <f t="shared" si="36"/>
        <v>102042.3285562098</v>
      </c>
      <c r="J778" s="14" t="s">
        <v>776</v>
      </c>
      <c r="K778" s="14" t="s">
        <v>149</v>
      </c>
      <c r="L778" s="14" t="s">
        <v>140</v>
      </c>
      <c r="M778" s="8" t="str">
        <f t="shared" si="37"/>
        <v>2026-08</v>
      </c>
      <c r="N778" s="8" t="str">
        <f t="shared" si="38"/>
        <v>OK</v>
      </c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 spans="1:52">
      <c r="A779" s="14" t="s">
        <v>775</v>
      </c>
      <c r="B779" s="26">
        <v>46249</v>
      </c>
      <c r="C779" s="14" t="s">
        <v>86</v>
      </c>
      <c r="D779" s="27" t="str">
        <f>IFERROR(VLOOKUP(C779,'Chart of Accounts'!$A$4:$F$30,2,FALSE),"")</f>
        <v>Product Sales</v>
      </c>
      <c r="E779" s="27" t="str">
        <f>IFERROR(VLOOKUP(C779,'Chart of Accounts'!$A$4:$F$30,4,FALSE),"")</f>
        <v>Revenue</v>
      </c>
      <c r="F779" s="27" t="str">
        <f>IFERROR(VLOOKUP(C779,'Chart of Accounts'!$A$4:$F$30,5,FALSE),"")</f>
        <v>PL</v>
      </c>
      <c r="G779" s="15">
        <v>0</v>
      </c>
      <c r="H779" s="15">
        <v>102042.3285562098</v>
      </c>
      <c r="I779" s="10">
        <f t="shared" si="36"/>
        <v>-102042.3285562098</v>
      </c>
      <c r="J779" s="14" t="s">
        <v>776</v>
      </c>
      <c r="K779" s="14" t="s">
        <v>149</v>
      </c>
      <c r="L779" s="14" t="s">
        <v>140</v>
      </c>
      <c r="M779" s="8" t="str">
        <f t="shared" si="37"/>
        <v>2026-08</v>
      </c>
      <c r="N779" s="8" t="str">
        <f t="shared" si="38"/>
        <v>OK</v>
      </c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 spans="1:52">
      <c r="A780" s="14" t="s">
        <v>775</v>
      </c>
      <c r="B780" s="26">
        <v>46249</v>
      </c>
      <c r="C780" s="14" t="s">
        <v>90</v>
      </c>
      <c r="D780" s="27" t="str">
        <f>IFERROR(VLOOKUP(C780,'Chart of Accounts'!$A$4:$F$30,2,FALSE),"")</f>
        <v>Cost of Goods Sold</v>
      </c>
      <c r="E780" s="27" t="str">
        <f>IFERROR(VLOOKUP(C780,'Chart of Accounts'!$A$4:$F$30,4,FALSE),"")</f>
        <v>COGS</v>
      </c>
      <c r="F780" s="27" t="str">
        <f>IFERROR(VLOOKUP(C780,'Chart of Accounts'!$A$4:$F$30,5,FALSE),"")</f>
        <v>PL</v>
      </c>
      <c r="G780" s="15">
        <v>55715.111391690552</v>
      </c>
      <c r="H780" s="15">
        <v>0</v>
      </c>
      <c r="I780" s="10">
        <f t="shared" si="36"/>
        <v>55715.111391690552</v>
      </c>
      <c r="J780" s="14" t="s">
        <v>776</v>
      </c>
      <c r="K780" s="14" t="s">
        <v>149</v>
      </c>
      <c r="L780" s="14" t="s">
        <v>140</v>
      </c>
      <c r="M780" s="8" t="str">
        <f t="shared" si="37"/>
        <v>2026-08</v>
      </c>
      <c r="N780" s="8" t="str">
        <f t="shared" si="38"/>
        <v>OK</v>
      </c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 spans="1:52">
      <c r="A781" s="14" t="s">
        <v>775</v>
      </c>
      <c r="B781" s="26">
        <v>46249</v>
      </c>
      <c r="C781" s="14" t="s">
        <v>63</v>
      </c>
      <c r="D781" s="27" t="str">
        <f>IFERROR(VLOOKUP(C781,'Chart of Accounts'!$A$4:$F$30,2,FALSE),"")</f>
        <v>Inventory</v>
      </c>
      <c r="E781" s="27" t="str">
        <f>IFERROR(VLOOKUP(C781,'Chart of Accounts'!$A$4:$F$30,4,FALSE),"")</f>
        <v>Inventory</v>
      </c>
      <c r="F781" s="27" t="str">
        <f>IFERROR(VLOOKUP(C781,'Chart of Accounts'!$A$4:$F$30,5,FALSE),"")</f>
        <v>BS</v>
      </c>
      <c r="G781" s="15">
        <v>0</v>
      </c>
      <c r="H781" s="15">
        <v>55715.111391690552</v>
      </c>
      <c r="I781" s="10">
        <f t="shared" si="36"/>
        <v>-55715.111391690552</v>
      </c>
      <c r="J781" s="14" t="s">
        <v>776</v>
      </c>
      <c r="K781" s="14" t="s">
        <v>149</v>
      </c>
      <c r="L781" s="14" t="s">
        <v>140</v>
      </c>
      <c r="M781" s="8" t="str">
        <f t="shared" si="37"/>
        <v>2026-08</v>
      </c>
      <c r="N781" s="8" t="str">
        <f t="shared" si="38"/>
        <v>OK</v>
      </c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 spans="1:52">
      <c r="A782" s="14" t="s">
        <v>777</v>
      </c>
      <c r="B782" s="26">
        <v>46248</v>
      </c>
      <c r="C782" s="14" t="s">
        <v>58</v>
      </c>
      <c r="D782" s="27" t="str">
        <f>IFERROR(VLOOKUP(C782,'Chart of Accounts'!$A$4:$F$30,2,FALSE),"")</f>
        <v>Trade Receivables</v>
      </c>
      <c r="E782" s="27" t="str">
        <f>IFERROR(VLOOKUP(C782,'Chart of Accounts'!$A$4:$F$30,4,FALSE),"")</f>
        <v>Trade Receivables</v>
      </c>
      <c r="F782" s="27" t="str">
        <f>IFERROR(VLOOKUP(C782,'Chart of Accounts'!$A$4:$F$30,5,FALSE),"")</f>
        <v>BS</v>
      </c>
      <c r="G782" s="15">
        <v>87308.41365531215</v>
      </c>
      <c r="H782" s="15">
        <v>0</v>
      </c>
      <c r="I782" s="10">
        <f t="shared" si="36"/>
        <v>87308.41365531215</v>
      </c>
      <c r="J782" s="14" t="s">
        <v>778</v>
      </c>
      <c r="K782" s="14" t="s">
        <v>139</v>
      </c>
      <c r="L782" s="14" t="s">
        <v>140</v>
      </c>
      <c r="M782" s="8" t="str">
        <f t="shared" si="37"/>
        <v>2026-08</v>
      </c>
      <c r="N782" s="8" t="str">
        <f t="shared" si="38"/>
        <v>OK</v>
      </c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 spans="1:52">
      <c r="A783" s="14" t="s">
        <v>777</v>
      </c>
      <c r="B783" s="26">
        <v>46248</v>
      </c>
      <c r="C783" s="14" t="s">
        <v>86</v>
      </c>
      <c r="D783" s="27" t="str">
        <f>IFERROR(VLOOKUP(C783,'Chart of Accounts'!$A$4:$F$30,2,FALSE),"")</f>
        <v>Product Sales</v>
      </c>
      <c r="E783" s="27" t="str">
        <f>IFERROR(VLOOKUP(C783,'Chart of Accounts'!$A$4:$F$30,4,FALSE),"")</f>
        <v>Revenue</v>
      </c>
      <c r="F783" s="27" t="str">
        <f>IFERROR(VLOOKUP(C783,'Chart of Accounts'!$A$4:$F$30,5,FALSE),"")</f>
        <v>PL</v>
      </c>
      <c r="G783" s="15">
        <v>0</v>
      </c>
      <c r="H783" s="15">
        <v>87308.41365531215</v>
      </c>
      <c r="I783" s="10">
        <f t="shared" si="36"/>
        <v>-87308.41365531215</v>
      </c>
      <c r="J783" s="14" t="s">
        <v>778</v>
      </c>
      <c r="K783" s="14" t="s">
        <v>139</v>
      </c>
      <c r="L783" s="14" t="s">
        <v>140</v>
      </c>
      <c r="M783" s="8" t="str">
        <f t="shared" si="37"/>
        <v>2026-08</v>
      </c>
      <c r="N783" s="8" t="str">
        <f t="shared" si="38"/>
        <v>OK</v>
      </c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 spans="1:52">
      <c r="A784" s="14" t="s">
        <v>777</v>
      </c>
      <c r="B784" s="26">
        <v>46248</v>
      </c>
      <c r="C784" s="14" t="s">
        <v>90</v>
      </c>
      <c r="D784" s="27" t="str">
        <f>IFERROR(VLOOKUP(C784,'Chart of Accounts'!$A$4:$F$30,2,FALSE),"")</f>
        <v>Cost of Goods Sold</v>
      </c>
      <c r="E784" s="27" t="str">
        <f>IFERROR(VLOOKUP(C784,'Chart of Accounts'!$A$4:$F$30,4,FALSE),"")</f>
        <v>COGS</v>
      </c>
      <c r="F784" s="27" t="str">
        <f>IFERROR(VLOOKUP(C784,'Chart of Accounts'!$A$4:$F$30,5,FALSE),"")</f>
        <v>PL</v>
      </c>
      <c r="G784" s="15">
        <v>47670.393855800437</v>
      </c>
      <c r="H784" s="15">
        <v>0</v>
      </c>
      <c r="I784" s="10">
        <f t="shared" si="36"/>
        <v>47670.393855800437</v>
      </c>
      <c r="J784" s="14" t="s">
        <v>778</v>
      </c>
      <c r="K784" s="14" t="s">
        <v>139</v>
      </c>
      <c r="L784" s="14" t="s">
        <v>140</v>
      </c>
      <c r="M784" s="8" t="str">
        <f t="shared" si="37"/>
        <v>2026-08</v>
      </c>
      <c r="N784" s="8" t="str">
        <f t="shared" si="38"/>
        <v>OK</v>
      </c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 spans="1:52">
      <c r="A785" s="14" t="s">
        <v>777</v>
      </c>
      <c r="B785" s="26">
        <v>46248</v>
      </c>
      <c r="C785" s="14" t="s">
        <v>63</v>
      </c>
      <c r="D785" s="27" t="str">
        <f>IFERROR(VLOOKUP(C785,'Chart of Accounts'!$A$4:$F$30,2,FALSE),"")</f>
        <v>Inventory</v>
      </c>
      <c r="E785" s="27" t="str">
        <f>IFERROR(VLOOKUP(C785,'Chart of Accounts'!$A$4:$F$30,4,FALSE),"")</f>
        <v>Inventory</v>
      </c>
      <c r="F785" s="27" t="str">
        <f>IFERROR(VLOOKUP(C785,'Chart of Accounts'!$A$4:$F$30,5,FALSE),"")</f>
        <v>BS</v>
      </c>
      <c r="G785" s="15">
        <v>0</v>
      </c>
      <c r="H785" s="15">
        <v>47670.393855800437</v>
      </c>
      <c r="I785" s="10">
        <f t="shared" si="36"/>
        <v>-47670.393855800437</v>
      </c>
      <c r="J785" s="14" t="s">
        <v>778</v>
      </c>
      <c r="K785" s="14" t="s">
        <v>139</v>
      </c>
      <c r="L785" s="14" t="s">
        <v>140</v>
      </c>
      <c r="M785" s="8" t="str">
        <f t="shared" si="37"/>
        <v>2026-08</v>
      </c>
      <c r="N785" s="8" t="str">
        <f t="shared" si="38"/>
        <v>OK</v>
      </c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 spans="1:52">
      <c r="A786" s="14" t="s">
        <v>779</v>
      </c>
      <c r="B786" s="26">
        <v>46241</v>
      </c>
      <c r="C786" s="14" t="s">
        <v>52</v>
      </c>
      <c r="D786" s="27" t="str">
        <f>IFERROR(VLOOKUP(C786,'Chart of Accounts'!$A$4:$F$30,2,FALSE),"")</f>
        <v>Bank</v>
      </c>
      <c r="E786" s="27" t="str">
        <f>IFERROR(VLOOKUP(C786,'Chart of Accounts'!$A$4:$F$30,4,FALSE),"")</f>
        <v>Cash</v>
      </c>
      <c r="F786" s="27" t="str">
        <f>IFERROR(VLOOKUP(C786,'Chart of Accounts'!$A$4:$F$30,5,FALSE),"")</f>
        <v>BS</v>
      </c>
      <c r="G786" s="15">
        <v>213583.98623083316</v>
      </c>
      <c r="H786" s="15">
        <v>0</v>
      </c>
      <c r="I786" s="10">
        <f t="shared" si="36"/>
        <v>213583.98623083316</v>
      </c>
      <c r="J786" s="14" t="s">
        <v>780</v>
      </c>
      <c r="K786" s="14" t="s">
        <v>175</v>
      </c>
      <c r="L786" s="14" t="s">
        <v>176</v>
      </c>
      <c r="M786" s="8" t="str">
        <f t="shared" si="37"/>
        <v>2026-08</v>
      </c>
      <c r="N786" s="8" t="str">
        <f t="shared" si="38"/>
        <v>OK</v>
      </c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 spans="1:52">
      <c r="A787" s="14" t="s">
        <v>779</v>
      </c>
      <c r="B787" s="26">
        <v>46241</v>
      </c>
      <c r="C787" s="14" t="s">
        <v>58</v>
      </c>
      <c r="D787" s="27" t="str">
        <f>IFERROR(VLOOKUP(C787,'Chart of Accounts'!$A$4:$F$30,2,FALSE),"")</f>
        <v>Trade Receivables</v>
      </c>
      <c r="E787" s="27" t="str">
        <f>IFERROR(VLOOKUP(C787,'Chart of Accounts'!$A$4:$F$30,4,FALSE),"")</f>
        <v>Trade Receivables</v>
      </c>
      <c r="F787" s="27" t="str">
        <f>IFERROR(VLOOKUP(C787,'Chart of Accounts'!$A$4:$F$30,5,FALSE),"")</f>
        <v>BS</v>
      </c>
      <c r="G787" s="15">
        <v>0</v>
      </c>
      <c r="H787" s="15">
        <v>213583.98623083316</v>
      </c>
      <c r="I787" s="10">
        <f t="shared" si="36"/>
        <v>-213583.98623083316</v>
      </c>
      <c r="J787" s="14" t="s">
        <v>780</v>
      </c>
      <c r="K787" s="14" t="s">
        <v>175</v>
      </c>
      <c r="L787" s="14" t="s">
        <v>176</v>
      </c>
      <c r="M787" s="8" t="str">
        <f t="shared" si="37"/>
        <v>2026-08</v>
      </c>
      <c r="N787" s="8" t="str">
        <f t="shared" si="38"/>
        <v>OK</v>
      </c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 spans="1:52">
      <c r="A788" s="14" t="s">
        <v>781</v>
      </c>
      <c r="B788" s="26">
        <v>46261</v>
      </c>
      <c r="C788" s="14" t="s">
        <v>52</v>
      </c>
      <c r="D788" s="27" t="str">
        <f>IFERROR(VLOOKUP(C788,'Chart of Accounts'!$A$4:$F$30,2,FALSE),"")</f>
        <v>Bank</v>
      </c>
      <c r="E788" s="27" t="str">
        <f>IFERROR(VLOOKUP(C788,'Chart of Accounts'!$A$4:$F$30,4,FALSE),"")</f>
        <v>Cash</v>
      </c>
      <c r="F788" s="27" t="str">
        <f>IFERROR(VLOOKUP(C788,'Chart of Accounts'!$A$4:$F$30,5,FALSE),"")</f>
        <v>BS</v>
      </c>
      <c r="G788" s="15">
        <v>118971.69437466245</v>
      </c>
      <c r="H788" s="15">
        <v>0</v>
      </c>
      <c r="I788" s="10">
        <f t="shared" si="36"/>
        <v>118971.69437466245</v>
      </c>
      <c r="J788" s="14" t="s">
        <v>782</v>
      </c>
      <c r="K788" s="14" t="s">
        <v>175</v>
      </c>
      <c r="L788" s="14" t="s">
        <v>176</v>
      </c>
      <c r="M788" s="8" t="str">
        <f t="shared" si="37"/>
        <v>2026-08</v>
      </c>
      <c r="N788" s="8" t="str">
        <f t="shared" si="38"/>
        <v>OK</v>
      </c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 spans="1:52">
      <c r="A789" s="14" t="s">
        <v>781</v>
      </c>
      <c r="B789" s="26">
        <v>46261</v>
      </c>
      <c r="C789" s="14" t="s">
        <v>58</v>
      </c>
      <c r="D789" s="27" t="str">
        <f>IFERROR(VLOOKUP(C789,'Chart of Accounts'!$A$4:$F$30,2,FALSE),"")</f>
        <v>Trade Receivables</v>
      </c>
      <c r="E789" s="27" t="str">
        <f>IFERROR(VLOOKUP(C789,'Chart of Accounts'!$A$4:$F$30,4,FALSE),"")</f>
        <v>Trade Receivables</v>
      </c>
      <c r="F789" s="27" t="str">
        <f>IFERROR(VLOOKUP(C789,'Chart of Accounts'!$A$4:$F$30,5,FALSE),"")</f>
        <v>BS</v>
      </c>
      <c r="G789" s="15">
        <v>0</v>
      </c>
      <c r="H789" s="15">
        <v>118971.69437466245</v>
      </c>
      <c r="I789" s="10">
        <f t="shared" si="36"/>
        <v>-118971.69437466245</v>
      </c>
      <c r="J789" s="14" t="s">
        <v>782</v>
      </c>
      <c r="K789" s="14" t="s">
        <v>175</v>
      </c>
      <c r="L789" s="14" t="s">
        <v>176</v>
      </c>
      <c r="M789" s="8" t="str">
        <f t="shared" si="37"/>
        <v>2026-08</v>
      </c>
      <c r="N789" s="8" t="str">
        <f t="shared" si="38"/>
        <v>OK</v>
      </c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 spans="1:52">
      <c r="A790" s="14" t="s">
        <v>783</v>
      </c>
      <c r="B790" s="26">
        <v>46257</v>
      </c>
      <c r="C790" s="14" t="s">
        <v>52</v>
      </c>
      <c r="D790" s="27" t="str">
        <f>IFERROR(VLOOKUP(C790,'Chart of Accounts'!$A$4:$F$30,2,FALSE),"")</f>
        <v>Bank</v>
      </c>
      <c r="E790" s="27" t="str">
        <f>IFERROR(VLOOKUP(C790,'Chart of Accounts'!$A$4:$F$30,4,FALSE),"")</f>
        <v>Cash</v>
      </c>
      <c r="F790" s="27" t="str">
        <f>IFERROR(VLOOKUP(C790,'Chart of Accounts'!$A$4:$F$30,5,FALSE),"")</f>
        <v>BS</v>
      </c>
      <c r="G790" s="15">
        <v>155081.02245500765</v>
      </c>
      <c r="H790" s="15">
        <v>0</v>
      </c>
      <c r="I790" s="10">
        <f t="shared" si="36"/>
        <v>155081.02245500765</v>
      </c>
      <c r="J790" s="14" t="s">
        <v>784</v>
      </c>
      <c r="K790" s="14" t="s">
        <v>175</v>
      </c>
      <c r="L790" s="14" t="s">
        <v>176</v>
      </c>
      <c r="M790" s="8" t="str">
        <f t="shared" si="37"/>
        <v>2026-08</v>
      </c>
      <c r="N790" s="8" t="str">
        <f t="shared" si="38"/>
        <v>OK</v>
      </c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 spans="1:52">
      <c r="A791" s="14" t="s">
        <v>783</v>
      </c>
      <c r="B791" s="26">
        <v>46257</v>
      </c>
      <c r="C791" s="14" t="s">
        <v>58</v>
      </c>
      <c r="D791" s="27" t="str">
        <f>IFERROR(VLOOKUP(C791,'Chart of Accounts'!$A$4:$F$30,2,FALSE),"")</f>
        <v>Trade Receivables</v>
      </c>
      <c r="E791" s="27" t="str">
        <f>IFERROR(VLOOKUP(C791,'Chart of Accounts'!$A$4:$F$30,4,FALSE),"")</f>
        <v>Trade Receivables</v>
      </c>
      <c r="F791" s="27" t="str">
        <f>IFERROR(VLOOKUP(C791,'Chart of Accounts'!$A$4:$F$30,5,FALSE),"")</f>
        <v>BS</v>
      </c>
      <c r="G791" s="15">
        <v>0</v>
      </c>
      <c r="H791" s="15">
        <v>155081.02245500765</v>
      </c>
      <c r="I791" s="10">
        <f t="shared" si="36"/>
        <v>-155081.02245500765</v>
      </c>
      <c r="J791" s="14" t="s">
        <v>784</v>
      </c>
      <c r="K791" s="14" t="s">
        <v>175</v>
      </c>
      <c r="L791" s="14" t="s">
        <v>176</v>
      </c>
      <c r="M791" s="8" t="str">
        <f t="shared" si="37"/>
        <v>2026-08</v>
      </c>
      <c r="N791" s="8" t="str">
        <f t="shared" si="38"/>
        <v>OK</v>
      </c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 spans="1:52">
      <c r="A792" s="14" t="s">
        <v>785</v>
      </c>
      <c r="B792" s="26">
        <v>46248</v>
      </c>
      <c r="C792" s="14" t="s">
        <v>52</v>
      </c>
      <c r="D792" s="27" t="str">
        <f>IFERROR(VLOOKUP(C792,'Chart of Accounts'!$A$4:$F$30,2,FALSE),"")</f>
        <v>Bank</v>
      </c>
      <c r="E792" s="27" t="str">
        <f>IFERROR(VLOOKUP(C792,'Chart of Accounts'!$A$4:$F$30,4,FALSE),"")</f>
        <v>Cash</v>
      </c>
      <c r="F792" s="27" t="str">
        <f>IFERROR(VLOOKUP(C792,'Chart of Accounts'!$A$4:$F$30,5,FALSE),"")</f>
        <v>BS</v>
      </c>
      <c r="G792" s="15">
        <v>133646.63181250601</v>
      </c>
      <c r="H792" s="15">
        <v>0</v>
      </c>
      <c r="I792" s="10">
        <f t="shared" si="36"/>
        <v>133646.63181250601</v>
      </c>
      <c r="J792" s="14" t="s">
        <v>786</v>
      </c>
      <c r="K792" s="14" t="s">
        <v>175</v>
      </c>
      <c r="L792" s="14" t="s">
        <v>176</v>
      </c>
      <c r="M792" s="8" t="str">
        <f t="shared" si="37"/>
        <v>2026-08</v>
      </c>
      <c r="N792" s="8" t="str">
        <f t="shared" si="38"/>
        <v>OK</v>
      </c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 spans="1:52">
      <c r="A793" s="14" t="s">
        <v>785</v>
      </c>
      <c r="B793" s="26">
        <v>46248</v>
      </c>
      <c r="C793" s="14" t="s">
        <v>58</v>
      </c>
      <c r="D793" s="27" t="str">
        <f>IFERROR(VLOOKUP(C793,'Chart of Accounts'!$A$4:$F$30,2,FALSE),"")</f>
        <v>Trade Receivables</v>
      </c>
      <c r="E793" s="27" t="str">
        <f>IFERROR(VLOOKUP(C793,'Chart of Accounts'!$A$4:$F$30,4,FALSE),"")</f>
        <v>Trade Receivables</v>
      </c>
      <c r="F793" s="27" t="str">
        <f>IFERROR(VLOOKUP(C793,'Chart of Accounts'!$A$4:$F$30,5,FALSE),"")</f>
        <v>BS</v>
      </c>
      <c r="G793" s="15">
        <v>0</v>
      </c>
      <c r="H793" s="15">
        <v>133646.63181250601</v>
      </c>
      <c r="I793" s="10">
        <f t="shared" si="36"/>
        <v>-133646.63181250601</v>
      </c>
      <c r="J793" s="14" t="s">
        <v>786</v>
      </c>
      <c r="K793" s="14" t="s">
        <v>175</v>
      </c>
      <c r="L793" s="14" t="s">
        <v>176</v>
      </c>
      <c r="M793" s="8" t="str">
        <f t="shared" si="37"/>
        <v>2026-08</v>
      </c>
      <c r="N793" s="8" t="str">
        <f t="shared" si="38"/>
        <v>OK</v>
      </c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 spans="1:52">
      <c r="A794" s="14" t="s">
        <v>787</v>
      </c>
      <c r="B794" s="26">
        <v>46250</v>
      </c>
      <c r="C794" s="14" t="s">
        <v>52</v>
      </c>
      <c r="D794" s="27" t="str">
        <f>IFERROR(VLOOKUP(C794,'Chart of Accounts'!$A$4:$F$30,2,FALSE),"")</f>
        <v>Bank</v>
      </c>
      <c r="E794" s="27" t="str">
        <f>IFERROR(VLOOKUP(C794,'Chart of Accounts'!$A$4:$F$30,4,FALSE),"")</f>
        <v>Cash</v>
      </c>
      <c r="F794" s="27" t="str">
        <f>IFERROR(VLOOKUP(C794,'Chart of Accounts'!$A$4:$F$30,5,FALSE),"")</f>
        <v>BS</v>
      </c>
      <c r="G794" s="15">
        <v>138778.68291238337</v>
      </c>
      <c r="H794" s="15">
        <v>0</v>
      </c>
      <c r="I794" s="10">
        <f t="shared" si="36"/>
        <v>138778.68291238337</v>
      </c>
      <c r="J794" s="14" t="s">
        <v>788</v>
      </c>
      <c r="K794" s="14" t="s">
        <v>175</v>
      </c>
      <c r="L794" s="14" t="s">
        <v>176</v>
      </c>
      <c r="M794" s="8" t="str">
        <f t="shared" si="37"/>
        <v>2026-08</v>
      </c>
      <c r="N794" s="8" t="str">
        <f t="shared" si="38"/>
        <v>OK</v>
      </c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 spans="1:52">
      <c r="A795" s="14" t="s">
        <v>787</v>
      </c>
      <c r="B795" s="26">
        <v>46250</v>
      </c>
      <c r="C795" s="14" t="s">
        <v>58</v>
      </c>
      <c r="D795" s="27" t="str">
        <f>IFERROR(VLOOKUP(C795,'Chart of Accounts'!$A$4:$F$30,2,FALSE),"")</f>
        <v>Trade Receivables</v>
      </c>
      <c r="E795" s="27" t="str">
        <f>IFERROR(VLOOKUP(C795,'Chart of Accounts'!$A$4:$F$30,4,FALSE),"")</f>
        <v>Trade Receivables</v>
      </c>
      <c r="F795" s="27" t="str">
        <f>IFERROR(VLOOKUP(C795,'Chart of Accounts'!$A$4:$F$30,5,FALSE),"")</f>
        <v>BS</v>
      </c>
      <c r="G795" s="15">
        <v>0</v>
      </c>
      <c r="H795" s="15">
        <v>138778.68291238337</v>
      </c>
      <c r="I795" s="10">
        <f t="shared" si="36"/>
        <v>-138778.68291238337</v>
      </c>
      <c r="J795" s="14" t="s">
        <v>788</v>
      </c>
      <c r="K795" s="14" t="s">
        <v>175</v>
      </c>
      <c r="L795" s="14" t="s">
        <v>176</v>
      </c>
      <c r="M795" s="8" t="str">
        <f t="shared" si="37"/>
        <v>2026-08</v>
      </c>
      <c r="N795" s="8" t="str">
        <f t="shared" si="38"/>
        <v>OK</v>
      </c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 spans="1:52">
      <c r="A796" s="14" t="s">
        <v>789</v>
      </c>
      <c r="B796" s="26">
        <v>46251</v>
      </c>
      <c r="C796" s="14" t="s">
        <v>52</v>
      </c>
      <c r="D796" s="27" t="str">
        <f>IFERROR(VLOOKUP(C796,'Chart of Accounts'!$A$4:$F$30,2,FALSE),"")</f>
        <v>Bank</v>
      </c>
      <c r="E796" s="27" t="str">
        <f>IFERROR(VLOOKUP(C796,'Chart of Accounts'!$A$4:$F$30,4,FALSE),"")</f>
        <v>Cash</v>
      </c>
      <c r="F796" s="27" t="str">
        <f>IFERROR(VLOOKUP(C796,'Chart of Accounts'!$A$4:$F$30,5,FALSE),"")</f>
        <v>BS</v>
      </c>
      <c r="G796" s="15">
        <v>190337.9822146073</v>
      </c>
      <c r="H796" s="15">
        <v>0</v>
      </c>
      <c r="I796" s="10">
        <f t="shared" si="36"/>
        <v>190337.9822146073</v>
      </c>
      <c r="J796" s="14" t="s">
        <v>790</v>
      </c>
      <c r="K796" s="14" t="s">
        <v>175</v>
      </c>
      <c r="L796" s="14" t="s">
        <v>176</v>
      </c>
      <c r="M796" s="8" t="str">
        <f t="shared" si="37"/>
        <v>2026-08</v>
      </c>
      <c r="N796" s="8" t="str">
        <f t="shared" si="38"/>
        <v>OK</v>
      </c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 spans="1:52">
      <c r="A797" s="14" t="s">
        <v>789</v>
      </c>
      <c r="B797" s="26">
        <v>46251</v>
      </c>
      <c r="C797" s="14" t="s">
        <v>58</v>
      </c>
      <c r="D797" s="27" t="str">
        <f>IFERROR(VLOOKUP(C797,'Chart of Accounts'!$A$4:$F$30,2,FALSE),"")</f>
        <v>Trade Receivables</v>
      </c>
      <c r="E797" s="27" t="str">
        <f>IFERROR(VLOOKUP(C797,'Chart of Accounts'!$A$4:$F$30,4,FALSE),"")</f>
        <v>Trade Receivables</v>
      </c>
      <c r="F797" s="27" t="str">
        <f>IFERROR(VLOOKUP(C797,'Chart of Accounts'!$A$4:$F$30,5,FALSE),"")</f>
        <v>BS</v>
      </c>
      <c r="G797" s="15">
        <v>0</v>
      </c>
      <c r="H797" s="15">
        <v>190337.9822146073</v>
      </c>
      <c r="I797" s="10">
        <f t="shared" si="36"/>
        <v>-190337.9822146073</v>
      </c>
      <c r="J797" s="14" t="s">
        <v>790</v>
      </c>
      <c r="K797" s="14" t="s">
        <v>175</v>
      </c>
      <c r="L797" s="14" t="s">
        <v>176</v>
      </c>
      <c r="M797" s="8" t="str">
        <f t="shared" si="37"/>
        <v>2026-08</v>
      </c>
      <c r="N797" s="8" t="str">
        <f t="shared" si="38"/>
        <v>OK</v>
      </c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 spans="1:52">
      <c r="A798" s="14" t="s">
        <v>791</v>
      </c>
      <c r="B798" s="26">
        <v>46254</v>
      </c>
      <c r="C798" s="14" t="s">
        <v>63</v>
      </c>
      <c r="D798" s="27" t="str">
        <f>IFERROR(VLOOKUP(C798,'Chart of Accounts'!$A$4:$F$30,2,FALSE),"")</f>
        <v>Inventory</v>
      </c>
      <c r="E798" s="27" t="str">
        <f>IFERROR(VLOOKUP(C798,'Chart of Accounts'!$A$4:$F$30,4,FALSE),"")</f>
        <v>Inventory</v>
      </c>
      <c r="F798" s="27" t="str">
        <f>IFERROR(VLOOKUP(C798,'Chart of Accounts'!$A$4:$F$30,5,FALSE),"")</f>
        <v>BS</v>
      </c>
      <c r="G798" s="15">
        <v>102328.6818120596</v>
      </c>
      <c r="H798" s="15">
        <v>0</v>
      </c>
      <c r="I798" s="10">
        <f t="shared" si="36"/>
        <v>102328.6818120596</v>
      </c>
      <c r="J798" s="14" t="s">
        <v>792</v>
      </c>
      <c r="K798" s="14" t="s">
        <v>386</v>
      </c>
      <c r="L798" s="14" t="s">
        <v>190</v>
      </c>
      <c r="M798" s="8" t="str">
        <f t="shared" si="37"/>
        <v>2026-08</v>
      </c>
      <c r="N798" s="8" t="str">
        <f t="shared" si="38"/>
        <v>OK</v>
      </c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 spans="1:52">
      <c r="A799" s="14" t="s">
        <v>791</v>
      </c>
      <c r="B799" s="26">
        <v>46254</v>
      </c>
      <c r="C799" s="14" t="s">
        <v>71</v>
      </c>
      <c r="D799" s="27" t="str">
        <f>IFERROR(VLOOKUP(C799,'Chart of Accounts'!$A$4:$F$30,2,FALSE),"")</f>
        <v>Trade Payables</v>
      </c>
      <c r="E799" s="27" t="str">
        <f>IFERROR(VLOOKUP(C799,'Chart of Accounts'!$A$4:$F$30,4,FALSE),"")</f>
        <v>Trade Payables</v>
      </c>
      <c r="F799" s="27" t="str">
        <f>IFERROR(VLOOKUP(C799,'Chart of Accounts'!$A$4:$F$30,5,FALSE),"")</f>
        <v>BS</v>
      </c>
      <c r="G799" s="15">
        <v>0</v>
      </c>
      <c r="H799" s="15">
        <v>102328.6818120596</v>
      </c>
      <c r="I799" s="10">
        <f t="shared" si="36"/>
        <v>-102328.6818120596</v>
      </c>
      <c r="J799" s="14" t="s">
        <v>792</v>
      </c>
      <c r="K799" s="14" t="s">
        <v>386</v>
      </c>
      <c r="L799" s="14" t="s">
        <v>190</v>
      </c>
      <c r="M799" s="8" t="str">
        <f t="shared" si="37"/>
        <v>2026-08</v>
      </c>
      <c r="N799" s="8" t="str">
        <f t="shared" si="38"/>
        <v>OK</v>
      </c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 spans="1:52">
      <c r="A800" s="14" t="s">
        <v>793</v>
      </c>
      <c r="B800" s="26">
        <v>46252</v>
      </c>
      <c r="C800" s="14" t="s">
        <v>63</v>
      </c>
      <c r="D800" s="27" t="str">
        <f>IFERROR(VLOOKUP(C800,'Chart of Accounts'!$A$4:$F$30,2,FALSE),"")</f>
        <v>Inventory</v>
      </c>
      <c r="E800" s="27" t="str">
        <f>IFERROR(VLOOKUP(C800,'Chart of Accounts'!$A$4:$F$30,4,FALSE),"")</f>
        <v>Inventory</v>
      </c>
      <c r="F800" s="27" t="str">
        <f>IFERROR(VLOOKUP(C800,'Chart of Accounts'!$A$4:$F$30,5,FALSE),"")</f>
        <v>BS</v>
      </c>
      <c r="G800" s="15">
        <v>70865.71855757077</v>
      </c>
      <c r="H800" s="15">
        <v>0</v>
      </c>
      <c r="I800" s="10">
        <f t="shared" si="36"/>
        <v>70865.71855757077</v>
      </c>
      <c r="J800" s="14" t="s">
        <v>794</v>
      </c>
      <c r="K800" s="14" t="s">
        <v>193</v>
      </c>
      <c r="L800" s="14" t="s">
        <v>190</v>
      </c>
      <c r="M800" s="8" t="str">
        <f t="shared" si="37"/>
        <v>2026-08</v>
      </c>
      <c r="N800" s="8" t="str">
        <f t="shared" si="38"/>
        <v>OK</v>
      </c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 spans="1:52">
      <c r="A801" s="14" t="s">
        <v>793</v>
      </c>
      <c r="B801" s="26">
        <v>46252</v>
      </c>
      <c r="C801" s="14" t="s">
        <v>71</v>
      </c>
      <c r="D801" s="27" t="str">
        <f>IFERROR(VLOOKUP(C801,'Chart of Accounts'!$A$4:$F$30,2,FALSE),"")</f>
        <v>Trade Payables</v>
      </c>
      <c r="E801" s="27" t="str">
        <f>IFERROR(VLOOKUP(C801,'Chart of Accounts'!$A$4:$F$30,4,FALSE),"")</f>
        <v>Trade Payables</v>
      </c>
      <c r="F801" s="27" t="str">
        <f>IFERROR(VLOOKUP(C801,'Chart of Accounts'!$A$4:$F$30,5,FALSE),"")</f>
        <v>BS</v>
      </c>
      <c r="G801" s="15">
        <v>0</v>
      </c>
      <c r="H801" s="15">
        <v>70865.71855757077</v>
      </c>
      <c r="I801" s="10">
        <f t="shared" si="36"/>
        <v>-70865.71855757077</v>
      </c>
      <c r="J801" s="14" t="s">
        <v>794</v>
      </c>
      <c r="K801" s="14" t="s">
        <v>193</v>
      </c>
      <c r="L801" s="14" t="s">
        <v>190</v>
      </c>
      <c r="M801" s="8" t="str">
        <f t="shared" si="37"/>
        <v>2026-08</v>
      </c>
      <c r="N801" s="8" t="str">
        <f t="shared" si="38"/>
        <v>OK</v>
      </c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 spans="1:52">
      <c r="A802" s="14" t="s">
        <v>795</v>
      </c>
      <c r="B802" s="26">
        <v>46244</v>
      </c>
      <c r="C802" s="14" t="s">
        <v>63</v>
      </c>
      <c r="D802" s="27" t="str">
        <f>IFERROR(VLOOKUP(C802,'Chart of Accounts'!$A$4:$F$30,2,FALSE),"")</f>
        <v>Inventory</v>
      </c>
      <c r="E802" s="27" t="str">
        <f>IFERROR(VLOOKUP(C802,'Chart of Accounts'!$A$4:$F$30,4,FALSE),"")</f>
        <v>Inventory</v>
      </c>
      <c r="F802" s="27" t="str">
        <f>IFERROR(VLOOKUP(C802,'Chart of Accounts'!$A$4:$F$30,5,FALSE),"")</f>
        <v>BS</v>
      </c>
      <c r="G802" s="15">
        <v>88231.050395336832</v>
      </c>
      <c r="H802" s="15">
        <v>0</v>
      </c>
      <c r="I802" s="10">
        <f t="shared" si="36"/>
        <v>88231.050395336832</v>
      </c>
      <c r="J802" s="14" t="s">
        <v>796</v>
      </c>
      <c r="K802" s="14" t="s">
        <v>386</v>
      </c>
      <c r="L802" s="14" t="s">
        <v>190</v>
      </c>
      <c r="M802" s="8" t="str">
        <f t="shared" si="37"/>
        <v>2026-08</v>
      </c>
      <c r="N802" s="8" t="str">
        <f t="shared" si="38"/>
        <v>OK</v>
      </c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 spans="1:52">
      <c r="A803" s="14" t="s">
        <v>795</v>
      </c>
      <c r="B803" s="26">
        <v>46244</v>
      </c>
      <c r="C803" s="14" t="s">
        <v>71</v>
      </c>
      <c r="D803" s="27" t="str">
        <f>IFERROR(VLOOKUP(C803,'Chart of Accounts'!$A$4:$F$30,2,FALSE),"")</f>
        <v>Trade Payables</v>
      </c>
      <c r="E803" s="27" t="str">
        <f>IFERROR(VLOOKUP(C803,'Chart of Accounts'!$A$4:$F$30,4,FALSE),"")</f>
        <v>Trade Payables</v>
      </c>
      <c r="F803" s="27" t="str">
        <f>IFERROR(VLOOKUP(C803,'Chart of Accounts'!$A$4:$F$30,5,FALSE),"")</f>
        <v>BS</v>
      </c>
      <c r="G803" s="15">
        <v>0</v>
      </c>
      <c r="H803" s="15">
        <v>88231.050395336832</v>
      </c>
      <c r="I803" s="10">
        <f t="shared" si="36"/>
        <v>-88231.050395336832</v>
      </c>
      <c r="J803" s="14" t="s">
        <v>796</v>
      </c>
      <c r="K803" s="14" t="s">
        <v>386</v>
      </c>
      <c r="L803" s="14" t="s">
        <v>190</v>
      </c>
      <c r="M803" s="8" t="str">
        <f t="shared" si="37"/>
        <v>2026-08</v>
      </c>
      <c r="N803" s="8" t="str">
        <f t="shared" si="38"/>
        <v>OK</v>
      </c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 spans="1:52">
      <c r="A804" s="14" t="s">
        <v>797</v>
      </c>
      <c r="B804" s="26">
        <v>46249</v>
      </c>
      <c r="C804" s="14" t="s">
        <v>63</v>
      </c>
      <c r="D804" s="27" t="str">
        <f>IFERROR(VLOOKUP(C804,'Chart of Accounts'!$A$4:$F$30,2,FALSE),"")</f>
        <v>Inventory</v>
      </c>
      <c r="E804" s="27" t="str">
        <f>IFERROR(VLOOKUP(C804,'Chart of Accounts'!$A$4:$F$30,4,FALSE),"")</f>
        <v>Inventory</v>
      </c>
      <c r="F804" s="27" t="str">
        <f>IFERROR(VLOOKUP(C804,'Chart of Accounts'!$A$4:$F$30,5,FALSE),"")</f>
        <v>BS</v>
      </c>
      <c r="G804" s="15">
        <v>69034.680677583456</v>
      </c>
      <c r="H804" s="15">
        <v>0</v>
      </c>
      <c r="I804" s="10">
        <f t="shared" si="36"/>
        <v>69034.680677583456</v>
      </c>
      <c r="J804" s="14" t="s">
        <v>798</v>
      </c>
      <c r="K804" s="14" t="s">
        <v>799</v>
      </c>
      <c r="L804" s="14" t="s">
        <v>190</v>
      </c>
      <c r="M804" s="8" t="str">
        <f t="shared" si="37"/>
        <v>2026-08</v>
      </c>
      <c r="N804" s="8" t="str">
        <f t="shared" si="38"/>
        <v>OK</v>
      </c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 spans="1:52">
      <c r="A805" s="14" t="s">
        <v>797</v>
      </c>
      <c r="B805" s="26">
        <v>46249</v>
      </c>
      <c r="C805" s="14" t="s">
        <v>71</v>
      </c>
      <c r="D805" s="27" t="str">
        <f>IFERROR(VLOOKUP(C805,'Chart of Accounts'!$A$4:$F$30,2,FALSE),"")</f>
        <v>Trade Payables</v>
      </c>
      <c r="E805" s="27" t="str">
        <f>IFERROR(VLOOKUP(C805,'Chart of Accounts'!$A$4:$F$30,4,FALSE),"")</f>
        <v>Trade Payables</v>
      </c>
      <c r="F805" s="27" t="str">
        <f>IFERROR(VLOOKUP(C805,'Chart of Accounts'!$A$4:$F$30,5,FALSE),"")</f>
        <v>BS</v>
      </c>
      <c r="G805" s="15">
        <v>0</v>
      </c>
      <c r="H805" s="15">
        <v>69034.680677583456</v>
      </c>
      <c r="I805" s="10">
        <f t="shared" si="36"/>
        <v>-69034.680677583456</v>
      </c>
      <c r="J805" s="14" t="s">
        <v>798</v>
      </c>
      <c r="K805" s="14" t="s">
        <v>799</v>
      </c>
      <c r="L805" s="14" t="s">
        <v>190</v>
      </c>
      <c r="M805" s="8" t="str">
        <f t="shared" si="37"/>
        <v>2026-08</v>
      </c>
      <c r="N805" s="8" t="str">
        <f t="shared" si="38"/>
        <v>OK</v>
      </c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 spans="1:52">
      <c r="A806" s="14" t="s">
        <v>800</v>
      </c>
      <c r="B806" s="26">
        <v>46242</v>
      </c>
      <c r="C806" s="14" t="s">
        <v>63</v>
      </c>
      <c r="D806" s="27" t="str">
        <f>IFERROR(VLOOKUP(C806,'Chart of Accounts'!$A$4:$F$30,2,FALSE),"")</f>
        <v>Inventory</v>
      </c>
      <c r="E806" s="27" t="str">
        <f>IFERROR(VLOOKUP(C806,'Chart of Accounts'!$A$4:$F$30,4,FALSE),"")</f>
        <v>Inventory</v>
      </c>
      <c r="F806" s="27" t="str">
        <f>IFERROR(VLOOKUP(C806,'Chart of Accounts'!$A$4:$F$30,5,FALSE),"")</f>
        <v>BS</v>
      </c>
      <c r="G806" s="15">
        <v>104837.72847263205</v>
      </c>
      <c r="H806" s="15">
        <v>0</v>
      </c>
      <c r="I806" s="10">
        <f t="shared" si="36"/>
        <v>104837.72847263205</v>
      </c>
      <c r="J806" s="14" t="s">
        <v>801</v>
      </c>
      <c r="K806" s="14" t="s">
        <v>389</v>
      </c>
      <c r="L806" s="14" t="s">
        <v>190</v>
      </c>
      <c r="M806" s="8" t="str">
        <f t="shared" si="37"/>
        <v>2026-08</v>
      </c>
      <c r="N806" s="8" t="str">
        <f t="shared" si="38"/>
        <v>OK</v>
      </c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 spans="1:52">
      <c r="A807" s="14" t="s">
        <v>800</v>
      </c>
      <c r="B807" s="26">
        <v>46242</v>
      </c>
      <c r="C807" s="14" t="s">
        <v>71</v>
      </c>
      <c r="D807" s="27" t="str">
        <f>IFERROR(VLOOKUP(C807,'Chart of Accounts'!$A$4:$F$30,2,FALSE),"")</f>
        <v>Trade Payables</v>
      </c>
      <c r="E807" s="27" t="str">
        <f>IFERROR(VLOOKUP(C807,'Chart of Accounts'!$A$4:$F$30,4,FALSE),"")</f>
        <v>Trade Payables</v>
      </c>
      <c r="F807" s="27" t="str">
        <f>IFERROR(VLOOKUP(C807,'Chart of Accounts'!$A$4:$F$30,5,FALSE),"")</f>
        <v>BS</v>
      </c>
      <c r="G807" s="15">
        <v>0</v>
      </c>
      <c r="H807" s="15">
        <v>104837.72847263205</v>
      </c>
      <c r="I807" s="10">
        <f t="shared" si="36"/>
        <v>-104837.72847263205</v>
      </c>
      <c r="J807" s="14" t="s">
        <v>801</v>
      </c>
      <c r="K807" s="14" t="s">
        <v>389</v>
      </c>
      <c r="L807" s="14" t="s">
        <v>190</v>
      </c>
      <c r="M807" s="8" t="str">
        <f t="shared" si="37"/>
        <v>2026-08</v>
      </c>
      <c r="N807" s="8" t="str">
        <f t="shared" si="38"/>
        <v>OK</v>
      </c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 spans="1:52">
      <c r="A808" s="14" t="s">
        <v>802</v>
      </c>
      <c r="B808" s="26">
        <v>46254</v>
      </c>
      <c r="C808" s="14" t="s">
        <v>63</v>
      </c>
      <c r="D808" s="27" t="str">
        <f>IFERROR(VLOOKUP(C808,'Chart of Accounts'!$A$4:$F$30,2,FALSE),"")</f>
        <v>Inventory</v>
      </c>
      <c r="E808" s="27" t="str">
        <f>IFERROR(VLOOKUP(C808,'Chart of Accounts'!$A$4:$F$30,4,FALSE),"")</f>
        <v>Inventory</v>
      </c>
      <c r="F808" s="27" t="str">
        <f>IFERROR(VLOOKUP(C808,'Chart of Accounts'!$A$4:$F$30,5,FALSE),"")</f>
        <v>BS</v>
      </c>
      <c r="G808" s="15">
        <v>105242.14008481731</v>
      </c>
      <c r="H808" s="15">
        <v>0</v>
      </c>
      <c r="I808" s="10">
        <f t="shared" si="36"/>
        <v>105242.14008481731</v>
      </c>
      <c r="J808" s="14" t="s">
        <v>803</v>
      </c>
      <c r="K808" s="14" t="s">
        <v>633</v>
      </c>
      <c r="L808" s="14" t="s">
        <v>190</v>
      </c>
      <c r="M808" s="8" t="str">
        <f t="shared" si="37"/>
        <v>2026-08</v>
      </c>
      <c r="N808" s="8" t="str">
        <f t="shared" si="38"/>
        <v>OK</v>
      </c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 spans="1:52">
      <c r="A809" s="14" t="s">
        <v>802</v>
      </c>
      <c r="B809" s="26">
        <v>46254</v>
      </c>
      <c r="C809" s="14" t="s">
        <v>71</v>
      </c>
      <c r="D809" s="27" t="str">
        <f>IFERROR(VLOOKUP(C809,'Chart of Accounts'!$A$4:$F$30,2,FALSE),"")</f>
        <v>Trade Payables</v>
      </c>
      <c r="E809" s="27" t="str">
        <f>IFERROR(VLOOKUP(C809,'Chart of Accounts'!$A$4:$F$30,4,FALSE),"")</f>
        <v>Trade Payables</v>
      </c>
      <c r="F809" s="27" t="str">
        <f>IFERROR(VLOOKUP(C809,'Chart of Accounts'!$A$4:$F$30,5,FALSE),"")</f>
        <v>BS</v>
      </c>
      <c r="G809" s="15">
        <v>0</v>
      </c>
      <c r="H809" s="15">
        <v>105242.14008481731</v>
      </c>
      <c r="I809" s="10">
        <f t="shared" si="36"/>
        <v>-105242.14008481731</v>
      </c>
      <c r="J809" s="14" t="s">
        <v>803</v>
      </c>
      <c r="K809" s="14" t="s">
        <v>633</v>
      </c>
      <c r="L809" s="14" t="s">
        <v>190</v>
      </c>
      <c r="M809" s="8" t="str">
        <f t="shared" si="37"/>
        <v>2026-08</v>
      </c>
      <c r="N809" s="8" t="str">
        <f t="shared" si="38"/>
        <v>OK</v>
      </c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 spans="1:52">
      <c r="A810" s="14" t="s">
        <v>804</v>
      </c>
      <c r="B810" s="26">
        <v>46251</v>
      </c>
      <c r="C810" s="14" t="s">
        <v>71</v>
      </c>
      <c r="D810" s="27" t="str">
        <f>IFERROR(VLOOKUP(C810,'Chart of Accounts'!$A$4:$F$30,2,FALSE),"")</f>
        <v>Trade Payables</v>
      </c>
      <c r="E810" s="27" t="str">
        <f>IFERROR(VLOOKUP(C810,'Chart of Accounts'!$A$4:$F$30,4,FALSE),"")</f>
        <v>Trade Payables</v>
      </c>
      <c r="F810" s="27" t="str">
        <f>IFERROR(VLOOKUP(C810,'Chart of Accounts'!$A$4:$F$30,5,FALSE),"")</f>
        <v>BS</v>
      </c>
      <c r="G810" s="15">
        <v>129986.70339155789</v>
      </c>
      <c r="H810" s="15">
        <v>0</v>
      </c>
      <c r="I810" s="10">
        <f t="shared" si="36"/>
        <v>129986.70339155789</v>
      </c>
      <c r="J810" s="14" t="s">
        <v>805</v>
      </c>
      <c r="K810" s="14" t="s">
        <v>207</v>
      </c>
      <c r="L810" s="14" t="s">
        <v>208</v>
      </c>
      <c r="M810" s="8" t="str">
        <f t="shared" si="37"/>
        <v>2026-08</v>
      </c>
      <c r="N810" s="8" t="str">
        <f t="shared" si="38"/>
        <v>OK</v>
      </c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 spans="1:52">
      <c r="A811" s="14" t="s">
        <v>804</v>
      </c>
      <c r="B811" s="26">
        <v>46251</v>
      </c>
      <c r="C811" s="14" t="s">
        <v>52</v>
      </c>
      <c r="D811" s="27" t="str">
        <f>IFERROR(VLOOKUP(C811,'Chart of Accounts'!$A$4:$F$30,2,FALSE),"")</f>
        <v>Bank</v>
      </c>
      <c r="E811" s="27" t="str">
        <f>IFERROR(VLOOKUP(C811,'Chart of Accounts'!$A$4:$F$30,4,FALSE),"")</f>
        <v>Cash</v>
      </c>
      <c r="F811" s="27" t="str">
        <f>IFERROR(VLOOKUP(C811,'Chart of Accounts'!$A$4:$F$30,5,FALSE),"")</f>
        <v>BS</v>
      </c>
      <c r="G811" s="15">
        <v>0</v>
      </c>
      <c r="H811" s="15">
        <v>129986.70339155789</v>
      </c>
      <c r="I811" s="10">
        <f t="shared" si="36"/>
        <v>-129986.70339155789</v>
      </c>
      <c r="J811" s="14" t="s">
        <v>805</v>
      </c>
      <c r="K811" s="14" t="s">
        <v>207</v>
      </c>
      <c r="L811" s="14" t="s">
        <v>208</v>
      </c>
      <c r="M811" s="8" t="str">
        <f t="shared" si="37"/>
        <v>2026-08</v>
      </c>
      <c r="N811" s="8" t="str">
        <f t="shared" si="38"/>
        <v>OK</v>
      </c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 spans="1:52">
      <c r="A812" s="14" t="s">
        <v>806</v>
      </c>
      <c r="B812" s="26">
        <v>46257</v>
      </c>
      <c r="C812" s="14" t="s">
        <v>71</v>
      </c>
      <c r="D812" s="27" t="str">
        <f>IFERROR(VLOOKUP(C812,'Chart of Accounts'!$A$4:$F$30,2,FALSE),"")</f>
        <v>Trade Payables</v>
      </c>
      <c r="E812" s="27" t="str">
        <f>IFERROR(VLOOKUP(C812,'Chart of Accounts'!$A$4:$F$30,4,FALSE),"")</f>
        <v>Trade Payables</v>
      </c>
      <c r="F812" s="27" t="str">
        <f>IFERROR(VLOOKUP(C812,'Chart of Accounts'!$A$4:$F$30,5,FALSE),"")</f>
        <v>BS</v>
      </c>
      <c r="G812" s="15">
        <v>107565.59804041489</v>
      </c>
      <c r="H812" s="15">
        <v>0</v>
      </c>
      <c r="I812" s="10">
        <f t="shared" si="36"/>
        <v>107565.59804041489</v>
      </c>
      <c r="J812" s="14" t="s">
        <v>807</v>
      </c>
      <c r="K812" s="14" t="s">
        <v>207</v>
      </c>
      <c r="L812" s="14" t="s">
        <v>208</v>
      </c>
      <c r="M812" s="8" t="str">
        <f t="shared" si="37"/>
        <v>2026-08</v>
      </c>
      <c r="N812" s="8" t="str">
        <f t="shared" si="38"/>
        <v>OK</v>
      </c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 spans="1:52">
      <c r="A813" s="14" t="s">
        <v>806</v>
      </c>
      <c r="B813" s="26">
        <v>46257</v>
      </c>
      <c r="C813" s="14" t="s">
        <v>52</v>
      </c>
      <c r="D813" s="27" t="str">
        <f>IFERROR(VLOOKUP(C813,'Chart of Accounts'!$A$4:$F$30,2,FALSE),"")</f>
        <v>Bank</v>
      </c>
      <c r="E813" s="27" t="str">
        <f>IFERROR(VLOOKUP(C813,'Chart of Accounts'!$A$4:$F$30,4,FALSE),"")</f>
        <v>Cash</v>
      </c>
      <c r="F813" s="27" t="str">
        <f>IFERROR(VLOOKUP(C813,'Chart of Accounts'!$A$4:$F$30,5,FALSE),"")</f>
        <v>BS</v>
      </c>
      <c r="G813" s="15">
        <v>0</v>
      </c>
      <c r="H813" s="15">
        <v>107565.59804041489</v>
      </c>
      <c r="I813" s="10">
        <f t="shared" si="36"/>
        <v>-107565.59804041489</v>
      </c>
      <c r="J813" s="14" t="s">
        <v>807</v>
      </c>
      <c r="K813" s="14" t="s">
        <v>207</v>
      </c>
      <c r="L813" s="14" t="s">
        <v>208</v>
      </c>
      <c r="M813" s="8" t="str">
        <f t="shared" si="37"/>
        <v>2026-08</v>
      </c>
      <c r="N813" s="8" t="str">
        <f t="shared" si="38"/>
        <v>OK</v>
      </c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 spans="1:52">
      <c r="A814" s="14" t="s">
        <v>808</v>
      </c>
      <c r="B814" s="26">
        <v>46252</v>
      </c>
      <c r="C814" s="14" t="s">
        <v>71</v>
      </c>
      <c r="D814" s="27" t="str">
        <f>IFERROR(VLOOKUP(C814,'Chart of Accounts'!$A$4:$F$30,2,FALSE),"")</f>
        <v>Trade Payables</v>
      </c>
      <c r="E814" s="27" t="str">
        <f>IFERROR(VLOOKUP(C814,'Chart of Accounts'!$A$4:$F$30,4,FALSE),"")</f>
        <v>Trade Payables</v>
      </c>
      <c r="F814" s="27" t="str">
        <f>IFERROR(VLOOKUP(C814,'Chart of Accounts'!$A$4:$F$30,5,FALSE),"")</f>
        <v>BS</v>
      </c>
      <c r="G814" s="15">
        <v>103833.19932352888</v>
      </c>
      <c r="H814" s="15">
        <v>0</v>
      </c>
      <c r="I814" s="10">
        <f t="shared" si="36"/>
        <v>103833.19932352888</v>
      </c>
      <c r="J814" s="14" t="s">
        <v>809</v>
      </c>
      <c r="K814" s="14" t="s">
        <v>207</v>
      </c>
      <c r="L814" s="14" t="s">
        <v>208</v>
      </c>
      <c r="M814" s="8" t="str">
        <f t="shared" si="37"/>
        <v>2026-08</v>
      </c>
      <c r="N814" s="8" t="str">
        <f t="shared" si="38"/>
        <v>OK</v>
      </c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 spans="1:52">
      <c r="A815" s="14" t="s">
        <v>808</v>
      </c>
      <c r="B815" s="26">
        <v>46252</v>
      </c>
      <c r="C815" s="14" t="s">
        <v>52</v>
      </c>
      <c r="D815" s="27" t="str">
        <f>IFERROR(VLOOKUP(C815,'Chart of Accounts'!$A$4:$F$30,2,FALSE),"")</f>
        <v>Bank</v>
      </c>
      <c r="E815" s="27" t="str">
        <f>IFERROR(VLOOKUP(C815,'Chart of Accounts'!$A$4:$F$30,4,FALSE),"")</f>
        <v>Cash</v>
      </c>
      <c r="F815" s="27" t="str">
        <f>IFERROR(VLOOKUP(C815,'Chart of Accounts'!$A$4:$F$30,5,FALSE),"")</f>
        <v>BS</v>
      </c>
      <c r="G815" s="15">
        <v>0</v>
      </c>
      <c r="H815" s="15">
        <v>103833.19932352888</v>
      </c>
      <c r="I815" s="10">
        <f t="shared" si="36"/>
        <v>-103833.19932352888</v>
      </c>
      <c r="J815" s="14" t="s">
        <v>809</v>
      </c>
      <c r="K815" s="14" t="s">
        <v>207</v>
      </c>
      <c r="L815" s="14" t="s">
        <v>208</v>
      </c>
      <c r="M815" s="8" t="str">
        <f t="shared" si="37"/>
        <v>2026-08</v>
      </c>
      <c r="N815" s="8" t="str">
        <f t="shared" si="38"/>
        <v>OK</v>
      </c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 spans="1:52">
      <c r="A816" s="14" t="s">
        <v>810</v>
      </c>
      <c r="B816" s="26">
        <v>46256</v>
      </c>
      <c r="C816" s="14" t="s">
        <v>71</v>
      </c>
      <c r="D816" s="27" t="str">
        <f>IFERROR(VLOOKUP(C816,'Chart of Accounts'!$A$4:$F$30,2,FALSE),"")</f>
        <v>Trade Payables</v>
      </c>
      <c r="E816" s="27" t="str">
        <f>IFERROR(VLOOKUP(C816,'Chart of Accounts'!$A$4:$F$30,4,FALSE),"")</f>
        <v>Trade Payables</v>
      </c>
      <c r="F816" s="27" t="str">
        <f>IFERROR(VLOOKUP(C816,'Chart of Accounts'!$A$4:$F$30,5,FALSE),"")</f>
        <v>BS</v>
      </c>
      <c r="G816" s="15">
        <v>93593.40010695711</v>
      </c>
      <c r="H816" s="15">
        <v>0</v>
      </c>
      <c r="I816" s="10">
        <f t="shared" si="36"/>
        <v>93593.40010695711</v>
      </c>
      <c r="J816" s="14" t="s">
        <v>811</v>
      </c>
      <c r="K816" s="14" t="s">
        <v>207</v>
      </c>
      <c r="L816" s="14" t="s">
        <v>208</v>
      </c>
      <c r="M816" s="8" t="str">
        <f t="shared" si="37"/>
        <v>2026-08</v>
      </c>
      <c r="N816" s="8" t="str">
        <f t="shared" si="38"/>
        <v>OK</v>
      </c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 spans="1:52">
      <c r="A817" s="14" t="s">
        <v>810</v>
      </c>
      <c r="B817" s="26">
        <v>46256</v>
      </c>
      <c r="C817" s="14" t="s">
        <v>52</v>
      </c>
      <c r="D817" s="27" t="str">
        <f>IFERROR(VLOOKUP(C817,'Chart of Accounts'!$A$4:$F$30,2,FALSE),"")</f>
        <v>Bank</v>
      </c>
      <c r="E817" s="27" t="str">
        <f>IFERROR(VLOOKUP(C817,'Chart of Accounts'!$A$4:$F$30,4,FALSE),"")</f>
        <v>Cash</v>
      </c>
      <c r="F817" s="27" t="str">
        <f>IFERROR(VLOOKUP(C817,'Chart of Accounts'!$A$4:$F$30,5,FALSE),"")</f>
        <v>BS</v>
      </c>
      <c r="G817" s="15">
        <v>0</v>
      </c>
      <c r="H817" s="15">
        <v>93593.40010695711</v>
      </c>
      <c r="I817" s="10">
        <f t="shared" si="36"/>
        <v>-93593.40010695711</v>
      </c>
      <c r="J817" s="14" t="s">
        <v>811</v>
      </c>
      <c r="K817" s="14" t="s">
        <v>207</v>
      </c>
      <c r="L817" s="14" t="s">
        <v>208</v>
      </c>
      <c r="M817" s="8" t="str">
        <f t="shared" si="37"/>
        <v>2026-08</v>
      </c>
      <c r="N817" s="8" t="str">
        <f t="shared" si="38"/>
        <v>OK</v>
      </c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 spans="1:52">
      <c r="A818" s="14" t="s">
        <v>812</v>
      </c>
      <c r="B818" s="26">
        <v>46251</v>
      </c>
      <c r="C818" s="14" t="s">
        <v>71</v>
      </c>
      <c r="D818" s="27" t="str">
        <f>IFERROR(VLOOKUP(C818,'Chart of Accounts'!$A$4:$F$30,2,FALSE),"")</f>
        <v>Trade Payables</v>
      </c>
      <c r="E818" s="27" t="str">
        <f>IFERROR(VLOOKUP(C818,'Chart of Accounts'!$A$4:$F$30,4,FALSE),"")</f>
        <v>Trade Payables</v>
      </c>
      <c r="F818" s="27" t="str">
        <f>IFERROR(VLOOKUP(C818,'Chart of Accounts'!$A$4:$F$30,5,FALSE),"")</f>
        <v>BS</v>
      </c>
      <c r="G818" s="15">
        <v>90966.519137541269</v>
      </c>
      <c r="H818" s="15">
        <v>0</v>
      </c>
      <c r="I818" s="10">
        <f t="shared" si="36"/>
        <v>90966.519137541269</v>
      </c>
      <c r="J818" s="14" t="s">
        <v>813</v>
      </c>
      <c r="K818" s="14" t="s">
        <v>207</v>
      </c>
      <c r="L818" s="14" t="s">
        <v>208</v>
      </c>
      <c r="M818" s="8" t="str">
        <f t="shared" si="37"/>
        <v>2026-08</v>
      </c>
      <c r="N818" s="8" t="str">
        <f t="shared" si="38"/>
        <v>OK</v>
      </c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 spans="1:52">
      <c r="A819" s="14" t="s">
        <v>812</v>
      </c>
      <c r="B819" s="26">
        <v>46251</v>
      </c>
      <c r="C819" s="14" t="s">
        <v>52</v>
      </c>
      <c r="D819" s="27" t="str">
        <f>IFERROR(VLOOKUP(C819,'Chart of Accounts'!$A$4:$F$30,2,FALSE),"")</f>
        <v>Bank</v>
      </c>
      <c r="E819" s="27" t="str">
        <f>IFERROR(VLOOKUP(C819,'Chart of Accounts'!$A$4:$F$30,4,FALSE),"")</f>
        <v>Cash</v>
      </c>
      <c r="F819" s="27" t="str">
        <f>IFERROR(VLOOKUP(C819,'Chart of Accounts'!$A$4:$F$30,5,FALSE),"")</f>
        <v>BS</v>
      </c>
      <c r="G819" s="15">
        <v>0</v>
      </c>
      <c r="H819" s="15">
        <v>90966.519137541269</v>
      </c>
      <c r="I819" s="10">
        <f t="shared" si="36"/>
        <v>-90966.519137541269</v>
      </c>
      <c r="J819" s="14" t="s">
        <v>813</v>
      </c>
      <c r="K819" s="14" t="s">
        <v>207</v>
      </c>
      <c r="L819" s="14" t="s">
        <v>208</v>
      </c>
      <c r="M819" s="8" t="str">
        <f t="shared" si="37"/>
        <v>2026-08</v>
      </c>
      <c r="N819" s="8" t="str">
        <f t="shared" si="38"/>
        <v>OK</v>
      </c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 spans="1:52">
      <c r="A820" s="14" t="s">
        <v>814</v>
      </c>
      <c r="B820" s="26">
        <v>46259</v>
      </c>
      <c r="C820" s="14" t="s">
        <v>94</v>
      </c>
      <c r="D820" s="27" t="str">
        <f>IFERROR(VLOOKUP(C820,'Chart of Accounts'!$A$4:$F$30,2,FALSE),"")</f>
        <v>Salaries &amp; Wages</v>
      </c>
      <c r="E820" s="27" t="str">
        <f>IFERROR(VLOOKUP(C820,'Chart of Accounts'!$A$4:$F$30,4,FALSE),"")</f>
        <v>Salaries</v>
      </c>
      <c r="F820" s="27" t="str">
        <f>IFERROR(VLOOKUP(C820,'Chart of Accounts'!$A$4:$F$30,5,FALSE),"")</f>
        <v>PL</v>
      </c>
      <c r="G820" s="15">
        <v>190383.34638119073</v>
      </c>
      <c r="H820" s="15">
        <v>0</v>
      </c>
      <c r="I820" s="10">
        <f t="shared" si="36"/>
        <v>190383.34638119073</v>
      </c>
      <c r="J820" s="14" t="s">
        <v>815</v>
      </c>
      <c r="K820" s="14" t="s">
        <v>219</v>
      </c>
      <c r="L820" s="14" t="s">
        <v>220</v>
      </c>
      <c r="M820" s="8" t="str">
        <f t="shared" si="37"/>
        <v>2026-08</v>
      </c>
      <c r="N820" s="8" t="str">
        <f t="shared" si="38"/>
        <v>OK</v>
      </c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 spans="1:52">
      <c r="A821" s="14" t="s">
        <v>814</v>
      </c>
      <c r="B821" s="26">
        <v>46259</v>
      </c>
      <c r="C821" s="14" t="s">
        <v>97</v>
      </c>
      <c r="D821" s="27" t="str">
        <f>IFERROR(VLOOKUP(C821,'Chart of Accounts'!$A$4:$F$30,2,FALSE),"")</f>
        <v>Employer NI &amp; Pension</v>
      </c>
      <c r="E821" s="27" t="str">
        <f>IFERROR(VLOOKUP(C821,'Chart of Accounts'!$A$4:$F$30,4,FALSE),"")</f>
        <v>Employer Costs</v>
      </c>
      <c r="F821" s="27" t="str">
        <f>IFERROR(VLOOKUP(C821,'Chart of Accounts'!$A$4:$F$30,5,FALSE),"")</f>
        <v>PL</v>
      </c>
      <c r="G821" s="15">
        <v>25701.75176146075</v>
      </c>
      <c r="H821" s="15">
        <v>0</v>
      </c>
      <c r="I821" s="10">
        <f t="shared" si="36"/>
        <v>25701.75176146075</v>
      </c>
      <c r="J821" s="14" t="s">
        <v>815</v>
      </c>
      <c r="K821" s="14" t="s">
        <v>219</v>
      </c>
      <c r="L821" s="14" t="s">
        <v>220</v>
      </c>
      <c r="M821" s="8" t="str">
        <f t="shared" si="37"/>
        <v>2026-08</v>
      </c>
      <c r="N821" s="8" t="str">
        <f t="shared" si="38"/>
        <v>OK</v>
      </c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 spans="1:52">
      <c r="A822" s="14" t="s">
        <v>814</v>
      </c>
      <c r="B822" s="26">
        <v>46259</v>
      </c>
      <c r="C822" s="14" t="s">
        <v>52</v>
      </c>
      <c r="D822" s="27" t="str">
        <f>IFERROR(VLOOKUP(C822,'Chart of Accounts'!$A$4:$F$30,2,FALSE),"")</f>
        <v>Bank</v>
      </c>
      <c r="E822" s="27" t="str">
        <f>IFERROR(VLOOKUP(C822,'Chart of Accounts'!$A$4:$F$30,4,FALSE),"")</f>
        <v>Cash</v>
      </c>
      <c r="F822" s="27" t="str">
        <f>IFERROR(VLOOKUP(C822,'Chart of Accounts'!$A$4:$F$30,5,FALSE),"")</f>
        <v>BS</v>
      </c>
      <c r="G822" s="15">
        <v>0</v>
      </c>
      <c r="H822" s="15">
        <v>201806.3471640622</v>
      </c>
      <c r="I822" s="10">
        <f t="shared" si="36"/>
        <v>-201806.3471640622</v>
      </c>
      <c r="J822" s="14" t="s">
        <v>815</v>
      </c>
      <c r="K822" s="14" t="s">
        <v>219</v>
      </c>
      <c r="L822" s="14" t="s">
        <v>220</v>
      </c>
      <c r="M822" s="8" t="str">
        <f t="shared" si="37"/>
        <v>2026-08</v>
      </c>
      <c r="N822" s="8" t="str">
        <f t="shared" si="38"/>
        <v>OK</v>
      </c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 spans="1:52">
      <c r="A823" s="14" t="s">
        <v>814</v>
      </c>
      <c r="B823" s="26">
        <v>46259</v>
      </c>
      <c r="C823" s="14" t="s">
        <v>76</v>
      </c>
      <c r="D823" s="27" t="str">
        <f>IFERROR(VLOOKUP(C823,'Chart of Accounts'!$A$4:$F$30,2,FALSE),"")</f>
        <v>Payroll Liabilities</v>
      </c>
      <c r="E823" s="27" t="str">
        <f>IFERROR(VLOOKUP(C823,'Chart of Accounts'!$A$4:$F$30,4,FALSE),"")</f>
        <v>Payroll Liabilities</v>
      </c>
      <c r="F823" s="27" t="str">
        <f>IFERROR(VLOOKUP(C823,'Chart of Accounts'!$A$4:$F$30,5,FALSE),"")</f>
        <v>BS</v>
      </c>
      <c r="G823" s="15">
        <v>0</v>
      </c>
      <c r="H823" s="15">
        <v>14278.750978589303</v>
      </c>
      <c r="I823" s="10">
        <f t="shared" si="36"/>
        <v>-14278.750978589303</v>
      </c>
      <c r="J823" s="14" t="s">
        <v>815</v>
      </c>
      <c r="K823" s="14" t="s">
        <v>219</v>
      </c>
      <c r="L823" s="14" t="s">
        <v>220</v>
      </c>
      <c r="M823" s="8" t="str">
        <f t="shared" si="37"/>
        <v>2026-08</v>
      </c>
      <c r="N823" s="8" t="str">
        <f t="shared" si="38"/>
        <v>OK</v>
      </c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 spans="1:52">
      <c r="A824" s="14" t="s">
        <v>816</v>
      </c>
      <c r="B824" s="26">
        <v>46262</v>
      </c>
      <c r="C824" s="14" t="s">
        <v>76</v>
      </c>
      <c r="D824" s="27" t="str">
        <f>IFERROR(VLOOKUP(C824,'Chart of Accounts'!$A$4:$F$30,2,FALSE),"")</f>
        <v>Payroll Liabilities</v>
      </c>
      <c r="E824" s="27" t="str">
        <f>IFERROR(VLOOKUP(C824,'Chart of Accounts'!$A$4:$F$30,4,FALSE),"")</f>
        <v>Payroll Liabilities</v>
      </c>
      <c r="F824" s="27" t="str">
        <f>IFERROR(VLOOKUP(C824,'Chart of Accounts'!$A$4:$F$30,5,FALSE),"")</f>
        <v>BS</v>
      </c>
      <c r="G824" s="15">
        <v>14278.750978589303</v>
      </c>
      <c r="H824" s="15">
        <v>0</v>
      </c>
      <c r="I824" s="10">
        <f t="shared" si="36"/>
        <v>14278.750978589303</v>
      </c>
      <c r="J824" s="14" t="s">
        <v>817</v>
      </c>
      <c r="K824" s="14" t="s">
        <v>223</v>
      </c>
      <c r="L824" s="14" t="s">
        <v>220</v>
      </c>
      <c r="M824" s="8" t="str">
        <f t="shared" si="37"/>
        <v>2026-08</v>
      </c>
      <c r="N824" s="8" t="str">
        <f t="shared" si="38"/>
        <v>OK</v>
      </c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 spans="1:52">
      <c r="A825" s="14" t="s">
        <v>816</v>
      </c>
      <c r="B825" s="26">
        <v>46262</v>
      </c>
      <c r="C825" s="14" t="s">
        <v>52</v>
      </c>
      <c r="D825" s="27" t="str">
        <f>IFERROR(VLOOKUP(C825,'Chart of Accounts'!$A$4:$F$30,2,FALSE),"")</f>
        <v>Bank</v>
      </c>
      <c r="E825" s="27" t="str">
        <f>IFERROR(VLOOKUP(C825,'Chart of Accounts'!$A$4:$F$30,4,FALSE),"")</f>
        <v>Cash</v>
      </c>
      <c r="F825" s="27" t="str">
        <f>IFERROR(VLOOKUP(C825,'Chart of Accounts'!$A$4:$F$30,5,FALSE),"")</f>
        <v>BS</v>
      </c>
      <c r="G825" s="15">
        <v>0</v>
      </c>
      <c r="H825" s="15">
        <v>14278.750978589303</v>
      </c>
      <c r="I825" s="10">
        <f t="shared" si="36"/>
        <v>-14278.750978589303</v>
      </c>
      <c r="J825" s="14" t="s">
        <v>817</v>
      </c>
      <c r="K825" s="14" t="s">
        <v>223</v>
      </c>
      <c r="L825" s="14" t="s">
        <v>220</v>
      </c>
      <c r="M825" s="8" t="str">
        <f t="shared" si="37"/>
        <v>2026-08</v>
      </c>
      <c r="N825" s="8" t="str">
        <f t="shared" si="38"/>
        <v>OK</v>
      </c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 spans="1:52">
      <c r="A826" s="14" t="s">
        <v>818</v>
      </c>
      <c r="B826" s="26">
        <v>46252</v>
      </c>
      <c r="C826" s="14" t="s">
        <v>100</v>
      </c>
      <c r="D826" s="27" t="str">
        <f>IFERROR(VLOOKUP(C826,'Chart of Accounts'!$A$4:$F$30,2,FALSE),"")</f>
        <v>Marketing</v>
      </c>
      <c r="E826" s="27" t="str">
        <f>IFERROR(VLOOKUP(C826,'Chart of Accounts'!$A$4:$F$30,4,FALSE),"")</f>
        <v>Marketing</v>
      </c>
      <c r="F826" s="27" t="str">
        <f>IFERROR(VLOOKUP(C826,'Chart of Accounts'!$A$4:$F$30,5,FALSE),"")</f>
        <v>PL</v>
      </c>
      <c r="G826" s="15">
        <v>76119.339655008647</v>
      </c>
      <c r="H826" s="15">
        <v>0</v>
      </c>
      <c r="I826" s="10">
        <f t="shared" si="36"/>
        <v>76119.339655008647</v>
      </c>
      <c r="J826" s="14" t="s">
        <v>819</v>
      </c>
      <c r="K826" s="14" t="s">
        <v>226</v>
      </c>
      <c r="L826" s="14" t="s">
        <v>190</v>
      </c>
      <c r="M826" s="8" t="str">
        <f t="shared" si="37"/>
        <v>2026-08</v>
      </c>
      <c r="N826" s="8" t="str">
        <f t="shared" si="38"/>
        <v>OK</v>
      </c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 spans="1:52">
      <c r="A827" s="14" t="s">
        <v>818</v>
      </c>
      <c r="B827" s="26">
        <v>46252</v>
      </c>
      <c r="C827" s="14" t="s">
        <v>71</v>
      </c>
      <c r="D827" s="27" t="str">
        <f>IFERROR(VLOOKUP(C827,'Chart of Accounts'!$A$4:$F$30,2,FALSE),"")</f>
        <v>Trade Payables</v>
      </c>
      <c r="E827" s="27" t="str">
        <f>IFERROR(VLOOKUP(C827,'Chart of Accounts'!$A$4:$F$30,4,FALSE),"")</f>
        <v>Trade Payables</v>
      </c>
      <c r="F827" s="27" t="str">
        <f>IFERROR(VLOOKUP(C827,'Chart of Accounts'!$A$4:$F$30,5,FALSE),"")</f>
        <v>BS</v>
      </c>
      <c r="G827" s="15">
        <v>0</v>
      </c>
      <c r="H827" s="15">
        <v>76119.339655008647</v>
      </c>
      <c r="I827" s="10">
        <f t="shared" si="36"/>
        <v>-76119.339655008647</v>
      </c>
      <c r="J827" s="14" t="s">
        <v>819</v>
      </c>
      <c r="K827" s="14" t="s">
        <v>226</v>
      </c>
      <c r="L827" s="14" t="s">
        <v>190</v>
      </c>
      <c r="M827" s="8" t="str">
        <f t="shared" si="37"/>
        <v>2026-08</v>
      </c>
      <c r="N827" s="8" t="str">
        <f t="shared" si="38"/>
        <v>OK</v>
      </c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 spans="1:52">
      <c r="A828" s="14" t="s">
        <v>820</v>
      </c>
      <c r="B828" s="26">
        <v>46235</v>
      </c>
      <c r="C828" s="14" t="s">
        <v>102</v>
      </c>
      <c r="D828" s="27" t="str">
        <f>IFERROR(VLOOKUP(C828,'Chart of Accounts'!$A$4:$F$30,2,FALSE),"")</f>
        <v>Rent</v>
      </c>
      <c r="E828" s="27" t="str">
        <f>IFERROR(VLOOKUP(C828,'Chart of Accounts'!$A$4:$F$30,4,FALSE),"")</f>
        <v>Rent</v>
      </c>
      <c r="F828" s="27" t="str">
        <f>IFERROR(VLOOKUP(C828,'Chart of Accounts'!$A$4:$F$30,5,FALSE),"")</f>
        <v>PL</v>
      </c>
      <c r="G828" s="15">
        <v>52000</v>
      </c>
      <c r="H828" s="15">
        <v>0</v>
      </c>
      <c r="I828" s="10">
        <f t="shared" si="36"/>
        <v>52000</v>
      </c>
      <c r="J828" s="14" t="s">
        <v>821</v>
      </c>
      <c r="K828" s="14" t="s">
        <v>229</v>
      </c>
      <c r="L828" s="14" t="s">
        <v>53</v>
      </c>
      <c r="M828" s="8" t="str">
        <f t="shared" si="37"/>
        <v>2026-08</v>
      </c>
      <c r="N828" s="8" t="str">
        <f t="shared" si="38"/>
        <v>OK</v>
      </c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 spans="1:52">
      <c r="A829" s="14" t="s">
        <v>820</v>
      </c>
      <c r="B829" s="26">
        <v>46235</v>
      </c>
      <c r="C829" s="14" t="s">
        <v>52</v>
      </c>
      <c r="D829" s="27" t="str">
        <f>IFERROR(VLOOKUP(C829,'Chart of Accounts'!$A$4:$F$30,2,FALSE),"")</f>
        <v>Bank</v>
      </c>
      <c r="E829" s="27" t="str">
        <f>IFERROR(VLOOKUP(C829,'Chart of Accounts'!$A$4:$F$30,4,FALSE),"")</f>
        <v>Cash</v>
      </c>
      <c r="F829" s="27" t="str">
        <f>IFERROR(VLOOKUP(C829,'Chart of Accounts'!$A$4:$F$30,5,FALSE),"")</f>
        <v>BS</v>
      </c>
      <c r="G829" s="15">
        <v>0</v>
      </c>
      <c r="H829" s="15">
        <v>52000</v>
      </c>
      <c r="I829" s="10">
        <f t="shared" si="36"/>
        <v>-52000</v>
      </c>
      <c r="J829" s="14" t="s">
        <v>821</v>
      </c>
      <c r="K829" s="14" t="s">
        <v>229</v>
      </c>
      <c r="L829" s="14" t="s">
        <v>53</v>
      </c>
      <c r="M829" s="8" t="str">
        <f t="shared" si="37"/>
        <v>2026-08</v>
      </c>
      <c r="N829" s="8" t="str">
        <f t="shared" si="38"/>
        <v>OK</v>
      </c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 spans="1:52">
      <c r="A830" s="14" t="s">
        <v>822</v>
      </c>
      <c r="B830" s="26">
        <v>46254</v>
      </c>
      <c r="C830" s="14" t="s">
        <v>104</v>
      </c>
      <c r="D830" s="27" t="str">
        <f>IFERROR(VLOOKUP(C830,'Chart of Accounts'!$A$4:$F$30,2,FALSE),"")</f>
        <v>Utilities</v>
      </c>
      <c r="E830" s="27" t="str">
        <f>IFERROR(VLOOKUP(C830,'Chart of Accounts'!$A$4:$F$30,4,FALSE),"")</f>
        <v>Utilities</v>
      </c>
      <c r="F830" s="27" t="str">
        <f>IFERROR(VLOOKUP(C830,'Chart of Accounts'!$A$4:$F$30,5,FALSE),"")</f>
        <v>PL</v>
      </c>
      <c r="G830" s="15">
        <v>21739.113364880981</v>
      </c>
      <c r="H830" s="15">
        <v>0</v>
      </c>
      <c r="I830" s="10">
        <f t="shared" si="36"/>
        <v>21739.113364880981</v>
      </c>
      <c r="J830" s="14" t="s">
        <v>823</v>
      </c>
      <c r="K830" s="14" t="s">
        <v>232</v>
      </c>
      <c r="L830" s="14" t="s">
        <v>190</v>
      </c>
      <c r="M830" s="8" t="str">
        <f t="shared" si="37"/>
        <v>2026-08</v>
      </c>
      <c r="N830" s="8" t="str">
        <f t="shared" si="38"/>
        <v>OK</v>
      </c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 spans="1:52">
      <c r="A831" s="14" t="s">
        <v>822</v>
      </c>
      <c r="B831" s="26">
        <v>46254</v>
      </c>
      <c r="C831" s="14" t="s">
        <v>71</v>
      </c>
      <c r="D831" s="27" t="str">
        <f>IFERROR(VLOOKUP(C831,'Chart of Accounts'!$A$4:$F$30,2,FALSE),"")</f>
        <v>Trade Payables</v>
      </c>
      <c r="E831" s="27" t="str">
        <f>IFERROR(VLOOKUP(C831,'Chart of Accounts'!$A$4:$F$30,4,FALSE),"")</f>
        <v>Trade Payables</v>
      </c>
      <c r="F831" s="27" t="str">
        <f>IFERROR(VLOOKUP(C831,'Chart of Accounts'!$A$4:$F$30,5,FALSE),"")</f>
        <v>BS</v>
      </c>
      <c r="G831" s="15">
        <v>0</v>
      </c>
      <c r="H831" s="15">
        <v>21739.113364880981</v>
      </c>
      <c r="I831" s="10">
        <f t="shared" si="36"/>
        <v>-21739.113364880981</v>
      </c>
      <c r="J831" s="14" t="s">
        <v>823</v>
      </c>
      <c r="K831" s="14" t="s">
        <v>232</v>
      </c>
      <c r="L831" s="14" t="s">
        <v>190</v>
      </c>
      <c r="M831" s="8" t="str">
        <f t="shared" si="37"/>
        <v>2026-08</v>
      </c>
      <c r="N831" s="8" t="str">
        <f t="shared" si="38"/>
        <v>OK</v>
      </c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 spans="1:52">
      <c r="A832" s="14" t="s">
        <v>824</v>
      </c>
      <c r="B832" s="26">
        <v>46250</v>
      </c>
      <c r="C832" s="14" t="s">
        <v>106</v>
      </c>
      <c r="D832" s="27" t="str">
        <f>IFERROR(VLOOKUP(C832,'Chart of Accounts'!$A$4:$F$30,2,FALSE),"")</f>
        <v>Professional Fees</v>
      </c>
      <c r="E832" s="27" t="str">
        <f>IFERROR(VLOOKUP(C832,'Chart of Accounts'!$A$4:$F$30,4,FALSE),"")</f>
        <v>Professional Fees</v>
      </c>
      <c r="F832" s="27" t="str">
        <f>IFERROR(VLOOKUP(C832,'Chart of Accounts'!$A$4:$F$30,5,FALSE),"")</f>
        <v>PL</v>
      </c>
      <c r="G832" s="15">
        <v>16573.924446055295</v>
      </c>
      <c r="H832" s="15">
        <v>0</v>
      </c>
      <c r="I832" s="10">
        <f t="shared" si="36"/>
        <v>16573.924446055295</v>
      </c>
      <c r="J832" s="14" t="s">
        <v>825</v>
      </c>
      <c r="K832" s="14" t="s">
        <v>235</v>
      </c>
      <c r="L832" s="14" t="s">
        <v>190</v>
      </c>
      <c r="M832" s="8" t="str">
        <f t="shared" si="37"/>
        <v>2026-08</v>
      </c>
      <c r="N832" s="8" t="str">
        <f t="shared" si="38"/>
        <v>OK</v>
      </c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 spans="1:52">
      <c r="A833" s="14" t="s">
        <v>824</v>
      </c>
      <c r="B833" s="26">
        <v>46250</v>
      </c>
      <c r="C833" s="14" t="s">
        <v>71</v>
      </c>
      <c r="D833" s="27" t="str">
        <f>IFERROR(VLOOKUP(C833,'Chart of Accounts'!$A$4:$F$30,2,FALSE),"")</f>
        <v>Trade Payables</v>
      </c>
      <c r="E833" s="27" t="str">
        <f>IFERROR(VLOOKUP(C833,'Chart of Accounts'!$A$4:$F$30,4,FALSE),"")</f>
        <v>Trade Payables</v>
      </c>
      <c r="F833" s="27" t="str">
        <f>IFERROR(VLOOKUP(C833,'Chart of Accounts'!$A$4:$F$30,5,FALSE),"")</f>
        <v>BS</v>
      </c>
      <c r="G833" s="15">
        <v>0</v>
      </c>
      <c r="H833" s="15">
        <v>16573.924446055295</v>
      </c>
      <c r="I833" s="10">
        <f t="shared" si="36"/>
        <v>-16573.924446055295</v>
      </c>
      <c r="J833" s="14" t="s">
        <v>825</v>
      </c>
      <c r="K833" s="14" t="s">
        <v>235</v>
      </c>
      <c r="L833" s="14" t="s">
        <v>190</v>
      </c>
      <c r="M833" s="8" t="str">
        <f t="shared" si="37"/>
        <v>2026-08</v>
      </c>
      <c r="N833" s="8" t="str">
        <f t="shared" si="38"/>
        <v>OK</v>
      </c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 spans="1:52">
      <c r="A834" s="14" t="s">
        <v>826</v>
      </c>
      <c r="B834" s="26">
        <v>46239</v>
      </c>
      <c r="C834" s="14" t="s">
        <v>110</v>
      </c>
      <c r="D834" s="27" t="str">
        <f>IFERROR(VLOOKUP(C834,'Chart of Accounts'!$A$4:$F$30,2,FALSE),"")</f>
        <v>Software &amp; IT</v>
      </c>
      <c r="E834" s="27" t="str">
        <f>IFERROR(VLOOKUP(C834,'Chart of Accounts'!$A$4:$F$30,4,FALSE),"")</f>
        <v>Software &amp; IT</v>
      </c>
      <c r="F834" s="27" t="str">
        <f>IFERROR(VLOOKUP(C834,'Chart of Accounts'!$A$4:$F$30,5,FALSE),"")</f>
        <v>PL</v>
      </c>
      <c r="G834" s="15">
        <v>25600</v>
      </c>
      <c r="H834" s="15">
        <v>0</v>
      </c>
      <c r="I834" s="10">
        <f t="shared" si="36"/>
        <v>25600</v>
      </c>
      <c r="J834" s="14" t="s">
        <v>827</v>
      </c>
      <c r="K834" s="14" t="s">
        <v>238</v>
      </c>
      <c r="L834" s="14" t="s">
        <v>53</v>
      </c>
      <c r="M834" s="8" t="str">
        <f t="shared" si="37"/>
        <v>2026-08</v>
      </c>
      <c r="N834" s="8" t="str">
        <f t="shared" si="38"/>
        <v>OK</v>
      </c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 spans="1:52">
      <c r="A835" s="14" t="s">
        <v>826</v>
      </c>
      <c r="B835" s="26">
        <v>46239</v>
      </c>
      <c r="C835" s="14" t="s">
        <v>52</v>
      </c>
      <c r="D835" s="27" t="str">
        <f>IFERROR(VLOOKUP(C835,'Chart of Accounts'!$A$4:$F$30,2,FALSE),"")</f>
        <v>Bank</v>
      </c>
      <c r="E835" s="27" t="str">
        <f>IFERROR(VLOOKUP(C835,'Chart of Accounts'!$A$4:$F$30,4,FALSE),"")</f>
        <v>Cash</v>
      </c>
      <c r="F835" s="27" t="str">
        <f>IFERROR(VLOOKUP(C835,'Chart of Accounts'!$A$4:$F$30,5,FALSE),"")</f>
        <v>BS</v>
      </c>
      <c r="G835" s="15">
        <v>0</v>
      </c>
      <c r="H835" s="15">
        <v>25600</v>
      </c>
      <c r="I835" s="10">
        <f t="shared" si="36"/>
        <v>-25600</v>
      </c>
      <c r="J835" s="14" t="s">
        <v>827</v>
      </c>
      <c r="K835" s="14" t="s">
        <v>238</v>
      </c>
      <c r="L835" s="14" t="s">
        <v>53</v>
      </c>
      <c r="M835" s="8" t="str">
        <f t="shared" si="37"/>
        <v>2026-08</v>
      </c>
      <c r="N835" s="8" t="str">
        <f t="shared" si="38"/>
        <v>OK</v>
      </c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 spans="1:52">
      <c r="A836" s="14" t="s">
        <v>828</v>
      </c>
      <c r="B836" s="26">
        <v>46256</v>
      </c>
      <c r="C836" s="14" t="s">
        <v>112</v>
      </c>
      <c r="D836" s="27" t="str">
        <f>IFERROR(VLOOKUP(C836,'Chart of Accounts'!$A$4:$F$30,2,FALSE),"")</f>
        <v>Travel &amp; Entertainment</v>
      </c>
      <c r="E836" s="27" t="str">
        <f>IFERROR(VLOOKUP(C836,'Chart of Accounts'!$A$4:$F$30,4,FALSE),"")</f>
        <v>Travel</v>
      </c>
      <c r="F836" s="27" t="str">
        <f>IFERROR(VLOOKUP(C836,'Chart of Accounts'!$A$4:$F$30,5,FALSE),"")</f>
        <v>PL</v>
      </c>
      <c r="G836" s="15">
        <v>11150.296006651577</v>
      </c>
      <c r="H836" s="15">
        <v>0</v>
      </c>
      <c r="I836" s="10">
        <f t="shared" ref="I836:I899" si="39">G836-H836</f>
        <v>11150.296006651577</v>
      </c>
      <c r="J836" s="14" t="s">
        <v>829</v>
      </c>
      <c r="K836" s="14" t="s">
        <v>241</v>
      </c>
      <c r="L836" s="14" t="s">
        <v>53</v>
      </c>
      <c r="M836" s="8" t="str">
        <f t="shared" ref="M836:M899" si="40">TEXT(B836,"yyyy-mm")</f>
        <v>2026-08</v>
      </c>
      <c r="N836" s="8" t="str">
        <f t="shared" ref="N836:N899" si="41">"OK"</f>
        <v>OK</v>
      </c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 spans="1:52">
      <c r="A837" s="14" t="s">
        <v>828</v>
      </c>
      <c r="B837" s="26">
        <v>46256</v>
      </c>
      <c r="C837" s="14" t="s">
        <v>52</v>
      </c>
      <c r="D837" s="27" t="str">
        <f>IFERROR(VLOOKUP(C837,'Chart of Accounts'!$A$4:$F$30,2,FALSE),"")</f>
        <v>Bank</v>
      </c>
      <c r="E837" s="27" t="str">
        <f>IFERROR(VLOOKUP(C837,'Chart of Accounts'!$A$4:$F$30,4,FALSE),"")</f>
        <v>Cash</v>
      </c>
      <c r="F837" s="27" t="str">
        <f>IFERROR(VLOOKUP(C837,'Chart of Accounts'!$A$4:$F$30,5,FALSE),"")</f>
        <v>BS</v>
      </c>
      <c r="G837" s="15">
        <v>0</v>
      </c>
      <c r="H837" s="15">
        <v>11150.296006651577</v>
      </c>
      <c r="I837" s="10">
        <f t="shared" si="39"/>
        <v>-11150.296006651577</v>
      </c>
      <c r="J837" s="14" t="s">
        <v>829</v>
      </c>
      <c r="K837" s="14" t="s">
        <v>241</v>
      </c>
      <c r="L837" s="14" t="s">
        <v>53</v>
      </c>
      <c r="M837" s="8" t="str">
        <f t="shared" si="40"/>
        <v>2026-08</v>
      </c>
      <c r="N837" s="8" t="str">
        <f t="shared" si="41"/>
        <v>OK</v>
      </c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 spans="1:52">
      <c r="A838" s="14" t="s">
        <v>830</v>
      </c>
      <c r="B838" s="26">
        <v>46261</v>
      </c>
      <c r="C838" s="14" t="s">
        <v>120</v>
      </c>
      <c r="D838" s="27" t="str">
        <f>IFERROR(VLOOKUP(C838,'Chart of Accounts'!$A$4:$F$30,2,FALSE),"")</f>
        <v>Interest Expense</v>
      </c>
      <c r="E838" s="27" t="str">
        <f>IFERROR(VLOOKUP(C838,'Chart of Accounts'!$A$4:$F$30,4,FALSE),"")</f>
        <v>Interest</v>
      </c>
      <c r="F838" s="27" t="str">
        <f>IFERROR(VLOOKUP(C838,'Chart of Accounts'!$A$4:$F$30,5,FALSE),"")</f>
        <v>PL</v>
      </c>
      <c r="G838" s="15">
        <v>5500</v>
      </c>
      <c r="H838" s="15">
        <v>0</v>
      </c>
      <c r="I838" s="10">
        <f t="shared" si="39"/>
        <v>5500</v>
      </c>
      <c r="J838" s="14" t="s">
        <v>831</v>
      </c>
      <c r="K838" s="14" t="s">
        <v>244</v>
      </c>
      <c r="L838" s="14" t="s">
        <v>53</v>
      </c>
      <c r="M838" s="8" t="str">
        <f t="shared" si="40"/>
        <v>2026-08</v>
      </c>
      <c r="N838" s="8" t="str">
        <f t="shared" si="41"/>
        <v>OK</v>
      </c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 spans="1:52">
      <c r="A839" s="14" t="s">
        <v>830</v>
      </c>
      <c r="B839" s="26">
        <v>46261</v>
      </c>
      <c r="C839" s="14" t="s">
        <v>52</v>
      </c>
      <c r="D839" s="27" t="str">
        <f>IFERROR(VLOOKUP(C839,'Chart of Accounts'!$A$4:$F$30,2,FALSE),"")</f>
        <v>Bank</v>
      </c>
      <c r="E839" s="27" t="str">
        <f>IFERROR(VLOOKUP(C839,'Chart of Accounts'!$A$4:$F$30,4,FALSE),"")</f>
        <v>Cash</v>
      </c>
      <c r="F839" s="27" t="str">
        <f>IFERROR(VLOOKUP(C839,'Chart of Accounts'!$A$4:$F$30,5,FALSE),"")</f>
        <v>BS</v>
      </c>
      <c r="G839" s="15">
        <v>0</v>
      </c>
      <c r="H839" s="15">
        <v>5500</v>
      </c>
      <c r="I839" s="10">
        <f t="shared" si="39"/>
        <v>-5500</v>
      </c>
      <c r="J839" s="14" t="s">
        <v>831</v>
      </c>
      <c r="K839" s="14" t="s">
        <v>244</v>
      </c>
      <c r="L839" s="14" t="s">
        <v>53</v>
      </c>
      <c r="M839" s="8" t="str">
        <f t="shared" si="40"/>
        <v>2026-08</v>
      </c>
      <c r="N839" s="8" t="str">
        <f t="shared" si="41"/>
        <v>OK</v>
      </c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 spans="1:52">
      <c r="A840" s="14" t="s">
        <v>832</v>
      </c>
      <c r="B840" s="26">
        <v>46262</v>
      </c>
      <c r="C840" s="14" t="s">
        <v>115</v>
      </c>
      <c r="D840" s="27" t="str">
        <f>IFERROR(VLOOKUP(C840,'Chart of Accounts'!$A$4:$F$30,2,FALSE),"")</f>
        <v>Depreciation</v>
      </c>
      <c r="E840" s="27" t="str">
        <f>IFERROR(VLOOKUP(C840,'Chart of Accounts'!$A$4:$F$30,4,FALSE),"")</f>
        <v>Depreciation</v>
      </c>
      <c r="F840" s="27" t="str">
        <f>IFERROR(VLOOKUP(C840,'Chart of Accounts'!$A$4:$F$30,5,FALSE),"")</f>
        <v>PL</v>
      </c>
      <c r="G840" s="15">
        <v>15000</v>
      </c>
      <c r="H840" s="15">
        <v>0</v>
      </c>
      <c r="I840" s="10">
        <f t="shared" si="39"/>
        <v>15000</v>
      </c>
      <c r="J840" s="14" t="s">
        <v>833</v>
      </c>
      <c r="K840" s="14" t="s">
        <v>247</v>
      </c>
      <c r="L840" s="14" t="s">
        <v>248</v>
      </c>
      <c r="M840" s="8" t="str">
        <f t="shared" si="40"/>
        <v>2026-08</v>
      </c>
      <c r="N840" s="8" t="str">
        <f t="shared" si="41"/>
        <v>OK</v>
      </c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 spans="1:52">
      <c r="A841" s="14" t="s">
        <v>832</v>
      </c>
      <c r="B841" s="26">
        <v>46262</v>
      </c>
      <c r="C841" s="14" t="s">
        <v>69</v>
      </c>
      <c r="D841" s="27" t="str">
        <f>IFERROR(VLOOKUP(C841,'Chart of Accounts'!$A$4:$F$30,2,FALSE),"")</f>
        <v>Accumulated Depreciation</v>
      </c>
      <c r="E841" s="27" t="str">
        <f>IFERROR(VLOOKUP(C841,'Chart of Accounts'!$A$4:$F$30,4,FALSE),"")</f>
        <v>Accumulated Depreciation</v>
      </c>
      <c r="F841" s="27" t="str">
        <f>IFERROR(VLOOKUP(C841,'Chart of Accounts'!$A$4:$F$30,5,FALSE),"")</f>
        <v>BS</v>
      </c>
      <c r="G841" s="15">
        <v>0</v>
      </c>
      <c r="H841" s="15">
        <v>15000</v>
      </c>
      <c r="I841" s="10">
        <f t="shared" si="39"/>
        <v>-15000</v>
      </c>
      <c r="J841" s="14" t="s">
        <v>833</v>
      </c>
      <c r="K841" s="14" t="s">
        <v>247</v>
      </c>
      <c r="L841" s="14" t="s">
        <v>248</v>
      </c>
      <c r="M841" s="8" t="str">
        <f t="shared" si="40"/>
        <v>2026-08</v>
      </c>
      <c r="N841" s="8" t="str">
        <f t="shared" si="41"/>
        <v>OK</v>
      </c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 spans="1:52">
      <c r="A842" s="14" t="s">
        <v>834</v>
      </c>
      <c r="B842" s="26">
        <v>46278</v>
      </c>
      <c r="C842" s="14" t="s">
        <v>58</v>
      </c>
      <c r="D842" s="27" t="str">
        <f>IFERROR(VLOOKUP(C842,'Chart of Accounts'!$A$4:$F$30,2,FALSE),"")</f>
        <v>Trade Receivables</v>
      </c>
      <c r="E842" s="27" t="str">
        <f>IFERROR(VLOOKUP(C842,'Chart of Accounts'!$A$4:$F$30,4,FALSE),"")</f>
        <v>Trade Receivables</v>
      </c>
      <c r="F842" s="27" t="str">
        <f>IFERROR(VLOOKUP(C842,'Chart of Accounts'!$A$4:$F$30,5,FALSE),"")</f>
        <v>BS</v>
      </c>
      <c r="G842" s="15">
        <v>75286.824838898829</v>
      </c>
      <c r="H842" s="15">
        <v>0</v>
      </c>
      <c r="I842" s="10">
        <f t="shared" si="39"/>
        <v>75286.824838898829</v>
      </c>
      <c r="J842" s="14" t="s">
        <v>835</v>
      </c>
      <c r="K842" s="14" t="s">
        <v>139</v>
      </c>
      <c r="L842" s="14" t="s">
        <v>140</v>
      </c>
      <c r="M842" s="8" t="str">
        <f t="shared" si="40"/>
        <v>2026-09</v>
      </c>
      <c r="N842" s="8" t="str">
        <f t="shared" si="41"/>
        <v>OK</v>
      </c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 spans="1:52">
      <c r="A843" s="14" t="s">
        <v>834</v>
      </c>
      <c r="B843" s="26">
        <v>46278</v>
      </c>
      <c r="C843" s="14" t="s">
        <v>86</v>
      </c>
      <c r="D843" s="27" t="str">
        <f>IFERROR(VLOOKUP(C843,'Chart of Accounts'!$A$4:$F$30,2,FALSE),"")</f>
        <v>Product Sales</v>
      </c>
      <c r="E843" s="27" t="str">
        <f>IFERROR(VLOOKUP(C843,'Chart of Accounts'!$A$4:$F$30,4,FALSE),"")</f>
        <v>Revenue</v>
      </c>
      <c r="F843" s="27" t="str">
        <f>IFERROR(VLOOKUP(C843,'Chart of Accounts'!$A$4:$F$30,5,FALSE),"")</f>
        <v>PL</v>
      </c>
      <c r="G843" s="15">
        <v>0</v>
      </c>
      <c r="H843" s="15">
        <v>75286.824838898829</v>
      </c>
      <c r="I843" s="10">
        <f t="shared" si="39"/>
        <v>-75286.824838898829</v>
      </c>
      <c r="J843" s="14" t="s">
        <v>835</v>
      </c>
      <c r="K843" s="14" t="s">
        <v>139</v>
      </c>
      <c r="L843" s="14" t="s">
        <v>140</v>
      </c>
      <c r="M843" s="8" t="str">
        <f t="shared" si="40"/>
        <v>2026-09</v>
      </c>
      <c r="N843" s="8" t="str">
        <f t="shared" si="41"/>
        <v>OK</v>
      </c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 spans="1:52">
      <c r="A844" s="14" t="s">
        <v>834</v>
      </c>
      <c r="B844" s="26">
        <v>46278</v>
      </c>
      <c r="C844" s="14" t="s">
        <v>90</v>
      </c>
      <c r="D844" s="27" t="str">
        <f>IFERROR(VLOOKUP(C844,'Chart of Accounts'!$A$4:$F$30,2,FALSE),"")</f>
        <v>Cost of Goods Sold</v>
      </c>
      <c r="E844" s="27" t="str">
        <f>IFERROR(VLOOKUP(C844,'Chart of Accounts'!$A$4:$F$30,4,FALSE),"")</f>
        <v>COGS</v>
      </c>
      <c r="F844" s="27" t="str">
        <f>IFERROR(VLOOKUP(C844,'Chart of Accounts'!$A$4:$F$30,5,FALSE),"")</f>
        <v>PL</v>
      </c>
      <c r="G844" s="15">
        <v>41031.319537199852</v>
      </c>
      <c r="H844" s="15">
        <v>0</v>
      </c>
      <c r="I844" s="10">
        <f t="shared" si="39"/>
        <v>41031.319537199852</v>
      </c>
      <c r="J844" s="14" t="s">
        <v>835</v>
      </c>
      <c r="K844" s="14" t="s">
        <v>139</v>
      </c>
      <c r="L844" s="14" t="s">
        <v>140</v>
      </c>
      <c r="M844" s="8" t="str">
        <f t="shared" si="40"/>
        <v>2026-09</v>
      </c>
      <c r="N844" s="8" t="str">
        <f t="shared" si="41"/>
        <v>OK</v>
      </c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 spans="1:52">
      <c r="A845" s="14" t="s">
        <v>834</v>
      </c>
      <c r="B845" s="26">
        <v>46278</v>
      </c>
      <c r="C845" s="14" t="s">
        <v>63</v>
      </c>
      <c r="D845" s="27" t="str">
        <f>IFERROR(VLOOKUP(C845,'Chart of Accounts'!$A$4:$F$30,2,FALSE),"")</f>
        <v>Inventory</v>
      </c>
      <c r="E845" s="27" t="str">
        <f>IFERROR(VLOOKUP(C845,'Chart of Accounts'!$A$4:$F$30,4,FALSE),"")</f>
        <v>Inventory</v>
      </c>
      <c r="F845" s="27" t="str">
        <f>IFERROR(VLOOKUP(C845,'Chart of Accounts'!$A$4:$F$30,5,FALSE),"")</f>
        <v>BS</v>
      </c>
      <c r="G845" s="15">
        <v>0</v>
      </c>
      <c r="H845" s="15">
        <v>41031.319537199852</v>
      </c>
      <c r="I845" s="10">
        <f t="shared" si="39"/>
        <v>-41031.319537199852</v>
      </c>
      <c r="J845" s="14" t="s">
        <v>835</v>
      </c>
      <c r="K845" s="14" t="s">
        <v>139</v>
      </c>
      <c r="L845" s="14" t="s">
        <v>140</v>
      </c>
      <c r="M845" s="8" t="str">
        <f t="shared" si="40"/>
        <v>2026-09</v>
      </c>
      <c r="N845" s="8" t="str">
        <f t="shared" si="41"/>
        <v>OK</v>
      </c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 spans="1:52">
      <c r="A846" s="14" t="s">
        <v>836</v>
      </c>
      <c r="B846" s="26">
        <v>46273</v>
      </c>
      <c r="C846" s="14" t="s">
        <v>58</v>
      </c>
      <c r="D846" s="27" t="str">
        <f>IFERROR(VLOOKUP(C846,'Chart of Accounts'!$A$4:$F$30,2,FALSE),"")</f>
        <v>Trade Receivables</v>
      </c>
      <c r="E846" s="27" t="str">
        <f>IFERROR(VLOOKUP(C846,'Chart of Accounts'!$A$4:$F$30,4,FALSE),"")</f>
        <v>Trade Receivables</v>
      </c>
      <c r="F846" s="27" t="str">
        <f>IFERROR(VLOOKUP(C846,'Chart of Accounts'!$A$4:$F$30,5,FALSE),"")</f>
        <v>BS</v>
      </c>
      <c r="G846" s="15">
        <v>73277.021421457976</v>
      </c>
      <c r="H846" s="15">
        <v>0</v>
      </c>
      <c r="I846" s="10">
        <f t="shared" si="39"/>
        <v>73277.021421457976</v>
      </c>
      <c r="J846" s="14" t="s">
        <v>837</v>
      </c>
      <c r="K846" s="14" t="s">
        <v>268</v>
      </c>
      <c r="L846" s="14" t="s">
        <v>140</v>
      </c>
      <c r="M846" s="8" t="str">
        <f t="shared" si="40"/>
        <v>2026-09</v>
      </c>
      <c r="N846" s="8" t="str">
        <f t="shared" si="41"/>
        <v>OK</v>
      </c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 spans="1:52">
      <c r="A847" s="14" t="s">
        <v>836</v>
      </c>
      <c r="B847" s="26">
        <v>46273</v>
      </c>
      <c r="C847" s="14" t="s">
        <v>86</v>
      </c>
      <c r="D847" s="27" t="str">
        <f>IFERROR(VLOOKUP(C847,'Chart of Accounts'!$A$4:$F$30,2,FALSE),"")</f>
        <v>Product Sales</v>
      </c>
      <c r="E847" s="27" t="str">
        <f>IFERROR(VLOOKUP(C847,'Chart of Accounts'!$A$4:$F$30,4,FALSE),"")</f>
        <v>Revenue</v>
      </c>
      <c r="F847" s="27" t="str">
        <f>IFERROR(VLOOKUP(C847,'Chart of Accounts'!$A$4:$F$30,5,FALSE),"")</f>
        <v>PL</v>
      </c>
      <c r="G847" s="15">
        <v>0</v>
      </c>
      <c r="H847" s="15">
        <v>73277.021421457976</v>
      </c>
      <c r="I847" s="10">
        <f t="shared" si="39"/>
        <v>-73277.021421457976</v>
      </c>
      <c r="J847" s="14" t="s">
        <v>837</v>
      </c>
      <c r="K847" s="14" t="s">
        <v>268</v>
      </c>
      <c r="L847" s="14" t="s">
        <v>140</v>
      </c>
      <c r="M847" s="8" t="str">
        <f t="shared" si="40"/>
        <v>2026-09</v>
      </c>
      <c r="N847" s="8" t="str">
        <f t="shared" si="41"/>
        <v>OK</v>
      </c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 spans="1:52">
      <c r="A848" s="14" t="s">
        <v>836</v>
      </c>
      <c r="B848" s="26">
        <v>46273</v>
      </c>
      <c r="C848" s="14" t="s">
        <v>90</v>
      </c>
      <c r="D848" s="27" t="str">
        <f>IFERROR(VLOOKUP(C848,'Chart of Accounts'!$A$4:$F$30,2,FALSE),"")</f>
        <v>Cost of Goods Sold</v>
      </c>
      <c r="E848" s="27" t="str">
        <f>IFERROR(VLOOKUP(C848,'Chart of Accounts'!$A$4:$F$30,4,FALSE),"")</f>
        <v>COGS</v>
      </c>
      <c r="F848" s="27" t="str">
        <f>IFERROR(VLOOKUP(C848,'Chart of Accounts'!$A$4:$F$30,5,FALSE),"")</f>
        <v>PL</v>
      </c>
      <c r="G848" s="15">
        <v>39935.97667469459</v>
      </c>
      <c r="H848" s="15">
        <v>0</v>
      </c>
      <c r="I848" s="10">
        <f t="shared" si="39"/>
        <v>39935.97667469459</v>
      </c>
      <c r="J848" s="14" t="s">
        <v>837</v>
      </c>
      <c r="K848" s="14" t="s">
        <v>268</v>
      </c>
      <c r="L848" s="14" t="s">
        <v>140</v>
      </c>
      <c r="M848" s="8" t="str">
        <f t="shared" si="40"/>
        <v>2026-09</v>
      </c>
      <c r="N848" s="8" t="str">
        <f t="shared" si="41"/>
        <v>OK</v>
      </c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 spans="1:52">
      <c r="A849" s="14" t="s">
        <v>836</v>
      </c>
      <c r="B849" s="26">
        <v>46273</v>
      </c>
      <c r="C849" s="14" t="s">
        <v>63</v>
      </c>
      <c r="D849" s="27" t="str">
        <f>IFERROR(VLOOKUP(C849,'Chart of Accounts'!$A$4:$F$30,2,FALSE),"")</f>
        <v>Inventory</v>
      </c>
      <c r="E849" s="27" t="str">
        <f>IFERROR(VLOOKUP(C849,'Chart of Accounts'!$A$4:$F$30,4,FALSE),"")</f>
        <v>Inventory</v>
      </c>
      <c r="F849" s="27" t="str">
        <f>IFERROR(VLOOKUP(C849,'Chart of Accounts'!$A$4:$F$30,5,FALSE),"")</f>
        <v>BS</v>
      </c>
      <c r="G849" s="15">
        <v>0</v>
      </c>
      <c r="H849" s="15">
        <v>39935.97667469459</v>
      </c>
      <c r="I849" s="10">
        <f t="shared" si="39"/>
        <v>-39935.97667469459</v>
      </c>
      <c r="J849" s="14" t="s">
        <v>837</v>
      </c>
      <c r="K849" s="14" t="s">
        <v>268</v>
      </c>
      <c r="L849" s="14" t="s">
        <v>140</v>
      </c>
      <c r="M849" s="8" t="str">
        <f t="shared" si="40"/>
        <v>2026-09</v>
      </c>
      <c r="N849" s="8" t="str">
        <f t="shared" si="41"/>
        <v>OK</v>
      </c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 spans="1:52">
      <c r="A850" s="14" t="s">
        <v>838</v>
      </c>
      <c r="B850" s="26">
        <v>46273</v>
      </c>
      <c r="C850" s="14" t="s">
        <v>58</v>
      </c>
      <c r="D850" s="27" t="str">
        <f>IFERROR(VLOOKUP(C850,'Chart of Accounts'!$A$4:$F$30,2,FALSE),"")</f>
        <v>Trade Receivables</v>
      </c>
      <c r="E850" s="27" t="str">
        <f>IFERROR(VLOOKUP(C850,'Chart of Accounts'!$A$4:$F$30,4,FALSE),"")</f>
        <v>Trade Receivables</v>
      </c>
      <c r="F850" s="27" t="str">
        <f>IFERROR(VLOOKUP(C850,'Chart of Accounts'!$A$4:$F$30,5,FALSE),"")</f>
        <v>BS</v>
      </c>
      <c r="G850" s="15">
        <v>102310.49515626818</v>
      </c>
      <c r="H850" s="15">
        <v>0</v>
      </c>
      <c r="I850" s="10">
        <f t="shared" si="39"/>
        <v>102310.49515626818</v>
      </c>
      <c r="J850" s="14" t="s">
        <v>839</v>
      </c>
      <c r="K850" s="14" t="s">
        <v>146</v>
      </c>
      <c r="L850" s="14" t="s">
        <v>140</v>
      </c>
      <c r="M850" s="8" t="str">
        <f t="shared" si="40"/>
        <v>2026-09</v>
      </c>
      <c r="N850" s="8" t="str">
        <f t="shared" si="41"/>
        <v>OK</v>
      </c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 spans="1:52">
      <c r="A851" s="14" t="s">
        <v>838</v>
      </c>
      <c r="B851" s="26">
        <v>46273</v>
      </c>
      <c r="C851" s="14" t="s">
        <v>86</v>
      </c>
      <c r="D851" s="27" t="str">
        <f>IFERROR(VLOOKUP(C851,'Chart of Accounts'!$A$4:$F$30,2,FALSE),"")</f>
        <v>Product Sales</v>
      </c>
      <c r="E851" s="27" t="str">
        <f>IFERROR(VLOOKUP(C851,'Chart of Accounts'!$A$4:$F$30,4,FALSE),"")</f>
        <v>Revenue</v>
      </c>
      <c r="F851" s="27" t="str">
        <f>IFERROR(VLOOKUP(C851,'Chart of Accounts'!$A$4:$F$30,5,FALSE),"")</f>
        <v>PL</v>
      </c>
      <c r="G851" s="15">
        <v>0</v>
      </c>
      <c r="H851" s="15">
        <v>102310.49515626818</v>
      </c>
      <c r="I851" s="10">
        <f t="shared" si="39"/>
        <v>-102310.49515626818</v>
      </c>
      <c r="J851" s="14" t="s">
        <v>839</v>
      </c>
      <c r="K851" s="14" t="s">
        <v>146</v>
      </c>
      <c r="L851" s="14" t="s">
        <v>140</v>
      </c>
      <c r="M851" s="8" t="str">
        <f t="shared" si="40"/>
        <v>2026-09</v>
      </c>
      <c r="N851" s="8" t="str">
        <f t="shared" si="41"/>
        <v>OK</v>
      </c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 spans="1:52">
      <c r="A852" s="14" t="s">
        <v>838</v>
      </c>
      <c r="B852" s="26">
        <v>46273</v>
      </c>
      <c r="C852" s="14" t="s">
        <v>90</v>
      </c>
      <c r="D852" s="27" t="str">
        <f>IFERROR(VLOOKUP(C852,'Chart of Accounts'!$A$4:$F$30,2,FALSE),"")</f>
        <v>Cost of Goods Sold</v>
      </c>
      <c r="E852" s="27" t="str">
        <f>IFERROR(VLOOKUP(C852,'Chart of Accounts'!$A$4:$F$30,4,FALSE),"")</f>
        <v>COGS</v>
      </c>
      <c r="F852" s="27" t="str">
        <f>IFERROR(VLOOKUP(C852,'Chart of Accounts'!$A$4:$F$30,5,FALSE),"")</f>
        <v>PL</v>
      </c>
      <c r="G852" s="15">
        <v>55759.219860166151</v>
      </c>
      <c r="H852" s="15">
        <v>0</v>
      </c>
      <c r="I852" s="10">
        <f t="shared" si="39"/>
        <v>55759.219860166151</v>
      </c>
      <c r="J852" s="14" t="s">
        <v>839</v>
      </c>
      <c r="K852" s="14" t="s">
        <v>146</v>
      </c>
      <c r="L852" s="14" t="s">
        <v>140</v>
      </c>
      <c r="M852" s="8" t="str">
        <f t="shared" si="40"/>
        <v>2026-09</v>
      </c>
      <c r="N852" s="8" t="str">
        <f t="shared" si="41"/>
        <v>OK</v>
      </c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 spans="1:52">
      <c r="A853" s="14" t="s">
        <v>838</v>
      </c>
      <c r="B853" s="26">
        <v>46273</v>
      </c>
      <c r="C853" s="14" t="s">
        <v>63</v>
      </c>
      <c r="D853" s="27" t="str">
        <f>IFERROR(VLOOKUP(C853,'Chart of Accounts'!$A$4:$F$30,2,FALSE),"")</f>
        <v>Inventory</v>
      </c>
      <c r="E853" s="27" t="str">
        <f>IFERROR(VLOOKUP(C853,'Chart of Accounts'!$A$4:$F$30,4,FALSE),"")</f>
        <v>Inventory</v>
      </c>
      <c r="F853" s="27" t="str">
        <f>IFERROR(VLOOKUP(C853,'Chart of Accounts'!$A$4:$F$30,5,FALSE),"")</f>
        <v>BS</v>
      </c>
      <c r="G853" s="15">
        <v>0</v>
      </c>
      <c r="H853" s="15">
        <v>55759.219860166151</v>
      </c>
      <c r="I853" s="10">
        <f t="shared" si="39"/>
        <v>-55759.219860166151</v>
      </c>
      <c r="J853" s="14" t="s">
        <v>839</v>
      </c>
      <c r="K853" s="14" t="s">
        <v>146</v>
      </c>
      <c r="L853" s="14" t="s">
        <v>140</v>
      </c>
      <c r="M853" s="8" t="str">
        <f t="shared" si="40"/>
        <v>2026-09</v>
      </c>
      <c r="N853" s="8" t="str">
        <f t="shared" si="41"/>
        <v>OK</v>
      </c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 spans="1:52">
      <c r="A854" s="14" t="s">
        <v>840</v>
      </c>
      <c r="B854" s="26">
        <v>46290</v>
      </c>
      <c r="C854" s="14" t="s">
        <v>58</v>
      </c>
      <c r="D854" s="27" t="str">
        <f>IFERROR(VLOOKUP(C854,'Chart of Accounts'!$A$4:$F$30,2,FALSE),"")</f>
        <v>Trade Receivables</v>
      </c>
      <c r="E854" s="27" t="str">
        <f>IFERROR(VLOOKUP(C854,'Chart of Accounts'!$A$4:$F$30,4,FALSE),"")</f>
        <v>Trade Receivables</v>
      </c>
      <c r="F854" s="27" t="str">
        <f>IFERROR(VLOOKUP(C854,'Chart of Accounts'!$A$4:$F$30,5,FALSE),"")</f>
        <v>BS</v>
      </c>
      <c r="G854" s="15">
        <v>89664.128179437888</v>
      </c>
      <c r="H854" s="15">
        <v>0</v>
      </c>
      <c r="I854" s="10">
        <f t="shared" si="39"/>
        <v>89664.128179437888</v>
      </c>
      <c r="J854" s="14" t="s">
        <v>841</v>
      </c>
      <c r="K854" s="14" t="s">
        <v>149</v>
      </c>
      <c r="L854" s="14" t="s">
        <v>140</v>
      </c>
      <c r="M854" s="8" t="str">
        <f t="shared" si="40"/>
        <v>2026-09</v>
      </c>
      <c r="N854" s="8" t="str">
        <f t="shared" si="41"/>
        <v>OK</v>
      </c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 spans="1:52">
      <c r="A855" s="14" t="s">
        <v>840</v>
      </c>
      <c r="B855" s="26">
        <v>46290</v>
      </c>
      <c r="C855" s="14" t="s">
        <v>86</v>
      </c>
      <c r="D855" s="27" t="str">
        <f>IFERROR(VLOOKUP(C855,'Chart of Accounts'!$A$4:$F$30,2,FALSE),"")</f>
        <v>Product Sales</v>
      </c>
      <c r="E855" s="27" t="str">
        <f>IFERROR(VLOOKUP(C855,'Chart of Accounts'!$A$4:$F$30,4,FALSE),"")</f>
        <v>Revenue</v>
      </c>
      <c r="F855" s="27" t="str">
        <f>IFERROR(VLOOKUP(C855,'Chart of Accounts'!$A$4:$F$30,5,FALSE),"")</f>
        <v>PL</v>
      </c>
      <c r="G855" s="15">
        <v>0</v>
      </c>
      <c r="H855" s="15">
        <v>89664.128179437888</v>
      </c>
      <c r="I855" s="10">
        <f t="shared" si="39"/>
        <v>-89664.128179437888</v>
      </c>
      <c r="J855" s="14" t="s">
        <v>841</v>
      </c>
      <c r="K855" s="14" t="s">
        <v>149</v>
      </c>
      <c r="L855" s="14" t="s">
        <v>140</v>
      </c>
      <c r="M855" s="8" t="str">
        <f t="shared" si="40"/>
        <v>2026-09</v>
      </c>
      <c r="N855" s="8" t="str">
        <f t="shared" si="41"/>
        <v>OK</v>
      </c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 spans="1:52">
      <c r="A856" s="14" t="s">
        <v>840</v>
      </c>
      <c r="B856" s="26">
        <v>46290</v>
      </c>
      <c r="C856" s="14" t="s">
        <v>90</v>
      </c>
      <c r="D856" s="27" t="str">
        <f>IFERROR(VLOOKUP(C856,'Chart of Accounts'!$A$4:$F$30,2,FALSE),"")</f>
        <v>Cost of Goods Sold</v>
      </c>
      <c r="E856" s="27" t="str">
        <f>IFERROR(VLOOKUP(C856,'Chart of Accounts'!$A$4:$F$30,4,FALSE),"")</f>
        <v>COGS</v>
      </c>
      <c r="F856" s="27" t="str">
        <f>IFERROR(VLOOKUP(C856,'Chart of Accounts'!$A$4:$F$30,5,FALSE),"")</f>
        <v>PL</v>
      </c>
      <c r="G856" s="15">
        <v>48866.949857793647</v>
      </c>
      <c r="H856" s="15">
        <v>0</v>
      </c>
      <c r="I856" s="10">
        <f t="shared" si="39"/>
        <v>48866.949857793647</v>
      </c>
      <c r="J856" s="14" t="s">
        <v>841</v>
      </c>
      <c r="K856" s="14" t="s">
        <v>149</v>
      </c>
      <c r="L856" s="14" t="s">
        <v>140</v>
      </c>
      <c r="M856" s="8" t="str">
        <f t="shared" si="40"/>
        <v>2026-09</v>
      </c>
      <c r="N856" s="8" t="str">
        <f t="shared" si="41"/>
        <v>OK</v>
      </c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 spans="1:52">
      <c r="A857" s="14" t="s">
        <v>840</v>
      </c>
      <c r="B857" s="26">
        <v>46290</v>
      </c>
      <c r="C857" s="14" t="s">
        <v>63</v>
      </c>
      <c r="D857" s="27" t="str">
        <f>IFERROR(VLOOKUP(C857,'Chart of Accounts'!$A$4:$F$30,2,FALSE),"")</f>
        <v>Inventory</v>
      </c>
      <c r="E857" s="27" t="str">
        <f>IFERROR(VLOOKUP(C857,'Chart of Accounts'!$A$4:$F$30,4,FALSE),"")</f>
        <v>Inventory</v>
      </c>
      <c r="F857" s="27" t="str">
        <f>IFERROR(VLOOKUP(C857,'Chart of Accounts'!$A$4:$F$30,5,FALSE),"")</f>
        <v>BS</v>
      </c>
      <c r="G857" s="15">
        <v>0</v>
      </c>
      <c r="H857" s="15">
        <v>48866.949857793647</v>
      </c>
      <c r="I857" s="10">
        <f t="shared" si="39"/>
        <v>-48866.949857793647</v>
      </c>
      <c r="J857" s="14" t="s">
        <v>841</v>
      </c>
      <c r="K857" s="14" t="s">
        <v>149</v>
      </c>
      <c r="L857" s="14" t="s">
        <v>140</v>
      </c>
      <c r="M857" s="8" t="str">
        <f t="shared" si="40"/>
        <v>2026-09</v>
      </c>
      <c r="N857" s="8" t="str">
        <f t="shared" si="41"/>
        <v>OK</v>
      </c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 spans="1:52">
      <c r="A858" s="14" t="s">
        <v>842</v>
      </c>
      <c r="B858" s="26">
        <v>46274</v>
      </c>
      <c r="C858" s="14" t="s">
        <v>58</v>
      </c>
      <c r="D858" s="27" t="str">
        <f>IFERROR(VLOOKUP(C858,'Chart of Accounts'!$A$4:$F$30,2,FALSE),"")</f>
        <v>Trade Receivables</v>
      </c>
      <c r="E858" s="27" t="str">
        <f>IFERROR(VLOOKUP(C858,'Chart of Accounts'!$A$4:$F$30,4,FALSE),"")</f>
        <v>Trade Receivables</v>
      </c>
      <c r="F858" s="27" t="str">
        <f>IFERROR(VLOOKUP(C858,'Chart of Accounts'!$A$4:$F$30,5,FALSE),"")</f>
        <v>BS</v>
      </c>
      <c r="G858" s="15">
        <v>117392.38069258348</v>
      </c>
      <c r="H858" s="15">
        <v>0</v>
      </c>
      <c r="I858" s="10">
        <f t="shared" si="39"/>
        <v>117392.38069258348</v>
      </c>
      <c r="J858" s="14" t="s">
        <v>843</v>
      </c>
      <c r="K858" s="14" t="s">
        <v>155</v>
      </c>
      <c r="L858" s="14" t="s">
        <v>140</v>
      </c>
      <c r="M858" s="8" t="str">
        <f t="shared" si="40"/>
        <v>2026-09</v>
      </c>
      <c r="N858" s="8" t="str">
        <f t="shared" si="41"/>
        <v>OK</v>
      </c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 spans="1:52">
      <c r="A859" s="14" t="s">
        <v>842</v>
      </c>
      <c r="B859" s="26">
        <v>46274</v>
      </c>
      <c r="C859" s="14" t="s">
        <v>86</v>
      </c>
      <c r="D859" s="27" t="str">
        <f>IFERROR(VLOOKUP(C859,'Chart of Accounts'!$A$4:$F$30,2,FALSE),"")</f>
        <v>Product Sales</v>
      </c>
      <c r="E859" s="27" t="str">
        <f>IFERROR(VLOOKUP(C859,'Chart of Accounts'!$A$4:$F$30,4,FALSE),"")</f>
        <v>Revenue</v>
      </c>
      <c r="F859" s="27" t="str">
        <f>IFERROR(VLOOKUP(C859,'Chart of Accounts'!$A$4:$F$30,5,FALSE),"")</f>
        <v>PL</v>
      </c>
      <c r="G859" s="15">
        <v>0</v>
      </c>
      <c r="H859" s="15">
        <v>117392.38069258348</v>
      </c>
      <c r="I859" s="10">
        <f t="shared" si="39"/>
        <v>-117392.38069258348</v>
      </c>
      <c r="J859" s="14" t="s">
        <v>843</v>
      </c>
      <c r="K859" s="14" t="s">
        <v>155</v>
      </c>
      <c r="L859" s="14" t="s">
        <v>140</v>
      </c>
      <c r="M859" s="8" t="str">
        <f t="shared" si="40"/>
        <v>2026-09</v>
      </c>
      <c r="N859" s="8" t="str">
        <f t="shared" si="41"/>
        <v>OK</v>
      </c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 spans="1:52">
      <c r="A860" s="14" t="s">
        <v>842</v>
      </c>
      <c r="B860" s="26">
        <v>46274</v>
      </c>
      <c r="C860" s="14" t="s">
        <v>90</v>
      </c>
      <c r="D860" s="27" t="str">
        <f>IFERROR(VLOOKUP(C860,'Chart of Accounts'!$A$4:$F$30,2,FALSE),"")</f>
        <v>Cost of Goods Sold</v>
      </c>
      <c r="E860" s="27" t="str">
        <f>IFERROR(VLOOKUP(C860,'Chart of Accounts'!$A$4:$F$30,4,FALSE),"")</f>
        <v>COGS</v>
      </c>
      <c r="F860" s="27" t="str">
        <f>IFERROR(VLOOKUP(C860,'Chart of Accounts'!$A$4:$F$30,5,FALSE),"")</f>
        <v>PL</v>
      </c>
      <c r="G860" s="15">
        <v>63978.847477457988</v>
      </c>
      <c r="H860" s="15">
        <v>0</v>
      </c>
      <c r="I860" s="10">
        <f t="shared" si="39"/>
        <v>63978.847477457988</v>
      </c>
      <c r="J860" s="14" t="s">
        <v>843</v>
      </c>
      <c r="K860" s="14" t="s">
        <v>155</v>
      </c>
      <c r="L860" s="14" t="s">
        <v>140</v>
      </c>
      <c r="M860" s="8" t="str">
        <f t="shared" si="40"/>
        <v>2026-09</v>
      </c>
      <c r="N860" s="8" t="str">
        <f t="shared" si="41"/>
        <v>OK</v>
      </c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 spans="1:52">
      <c r="A861" s="14" t="s">
        <v>842</v>
      </c>
      <c r="B861" s="26">
        <v>46274</v>
      </c>
      <c r="C861" s="14" t="s">
        <v>63</v>
      </c>
      <c r="D861" s="27" t="str">
        <f>IFERROR(VLOOKUP(C861,'Chart of Accounts'!$A$4:$F$30,2,FALSE),"")</f>
        <v>Inventory</v>
      </c>
      <c r="E861" s="27" t="str">
        <f>IFERROR(VLOOKUP(C861,'Chart of Accounts'!$A$4:$F$30,4,FALSE),"")</f>
        <v>Inventory</v>
      </c>
      <c r="F861" s="27" t="str">
        <f>IFERROR(VLOOKUP(C861,'Chart of Accounts'!$A$4:$F$30,5,FALSE),"")</f>
        <v>BS</v>
      </c>
      <c r="G861" s="15">
        <v>0</v>
      </c>
      <c r="H861" s="15">
        <v>63978.847477457988</v>
      </c>
      <c r="I861" s="10">
        <f t="shared" si="39"/>
        <v>-63978.847477457988</v>
      </c>
      <c r="J861" s="14" t="s">
        <v>843</v>
      </c>
      <c r="K861" s="14" t="s">
        <v>155</v>
      </c>
      <c r="L861" s="14" t="s">
        <v>140</v>
      </c>
      <c r="M861" s="8" t="str">
        <f t="shared" si="40"/>
        <v>2026-09</v>
      </c>
      <c r="N861" s="8" t="str">
        <f t="shared" si="41"/>
        <v>OK</v>
      </c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 spans="1:52">
      <c r="A862" s="14" t="s">
        <v>844</v>
      </c>
      <c r="B862" s="26">
        <v>46268</v>
      </c>
      <c r="C862" s="14" t="s">
        <v>58</v>
      </c>
      <c r="D862" s="27" t="str">
        <f>IFERROR(VLOOKUP(C862,'Chart of Accounts'!$A$4:$F$30,2,FALSE),"")</f>
        <v>Trade Receivables</v>
      </c>
      <c r="E862" s="27" t="str">
        <f>IFERROR(VLOOKUP(C862,'Chart of Accounts'!$A$4:$F$30,4,FALSE),"")</f>
        <v>Trade Receivables</v>
      </c>
      <c r="F862" s="27" t="str">
        <f>IFERROR(VLOOKUP(C862,'Chart of Accounts'!$A$4:$F$30,5,FALSE),"")</f>
        <v>BS</v>
      </c>
      <c r="G862" s="15">
        <v>76493.211142537068</v>
      </c>
      <c r="H862" s="15">
        <v>0</v>
      </c>
      <c r="I862" s="10">
        <f t="shared" si="39"/>
        <v>76493.211142537068</v>
      </c>
      <c r="J862" s="14" t="s">
        <v>845</v>
      </c>
      <c r="K862" s="14" t="s">
        <v>595</v>
      </c>
      <c r="L862" s="14" t="s">
        <v>140</v>
      </c>
      <c r="M862" s="8" t="str">
        <f t="shared" si="40"/>
        <v>2026-09</v>
      </c>
      <c r="N862" s="8" t="str">
        <f t="shared" si="41"/>
        <v>OK</v>
      </c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 spans="1:52">
      <c r="A863" s="14" t="s">
        <v>844</v>
      </c>
      <c r="B863" s="26">
        <v>46268</v>
      </c>
      <c r="C863" s="14" t="s">
        <v>86</v>
      </c>
      <c r="D863" s="27" t="str">
        <f>IFERROR(VLOOKUP(C863,'Chart of Accounts'!$A$4:$F$30,2,FALSE),"")</f>
        <v>Product Sales</v>
      </c>
      <c r="E863" s="27" t="str">
        <f>IFERROR(VLOOKUP(C863,'Chart of Accounts'!$A$4:$F$30,4,FALSE),"")</f>
        <v>Revenue</v>
      </c>
      <c r="F863" s="27" t="str">
        <f>IFERROR(VLOOKUP(C863,'Chart of Accounts'!$A$4:$F$30,5,FALSE),"")</f>
        <v>PL</v>
      </c>
      <c r="G863" s="15">
        <v>0</v>
      </c>
      <c r="H863" s="15">
        <v>76493.211142537068</v>
      </c>
      <c r="I863" s="10">
        <f t="shared" si="39"/>
        <v>-76493.211142537068</v>
      </c>
      <c r="J863" s="14" t="s">
        <v>845</v>
      </c>
      <c r="K863" s="14" t="s">
        <v>595</v>
      </c>
      <c r="L863" s="14" t="s">
        <v>140</v>
      </c>
      <c r="M863" s="8" t="str">
        <f t="shared" si="40"/>
        <v>2026-09</v>
      </c>
      <c r="N863" s="8" t="str">
        <f t="shared" si="41"/>
        <v>OK</v>
      </c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 spans="1:52">
      <c r="A864" s="14" t="s">
        <v>844</v>
      </c>
      <c r="B864" s="26">
        <v>46268</v>
      </c>
      <c r="C864" s="14" t="s">
        <v>90</v>
      </c>
      <c r="D864" s="27" t="str">
        <f>IFERROR(VLOOKUP(C864,'Chart of Accounts'!$A$4:$F$30,2,FALSE),"")</f>
        <v>Cost of Goods Sold</v>
      </c>
      <c r="E864" s="27" t="str">
        <f>IFERROR(VLOOKUP(C864,'Chart of Accounts'!$A$4:$F$30,4,FALSE),"")</f>
        <v>COGS</v>
      </c>
      <c r="F864" s="27" t="str">
        <f>IFERROR(VLOOKUP(C864,'Chart of Accounts'!$A$4:$F$30,5,FALSE),"")</f>
        <v>PL</v>
      </c>
      <c r="G864" s="15">
        <v>41688.800072682687</v>
      </c>
      <c r="H864" s="15">
        <v>0</v>
      </c>
      <c r="I864" s="10">
        <f t="shared" si="39"/>
        <v>41688.800072682687</v>
      </c>
      <c r="J864" s="14" t="s">
        <v>845</v>
      </c>
      <c r="K864" s="14" t="s">
        <v>595</v>
      </c>
      <c r="L864" s="14" t="s">
        <v>140</v>
      </c>
      <c r="M864" s="8" t="str">
        <f t="shared" si="40"/>
        <v>2026-09</v>
      </c>
      <c r="N864" s="8" t="str">
        <f t="shared" si="41"/>
        <v>OK</v>
      </c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 spans="1:52">
      <c r="A865" s="14" t="s">
        <v>844</v>
      </c>
      <c r="B865" s="26">
        <v>46268</v>
      </c>
      <c r="C865" s="14" t="s">
        <v>63</v>
      </c>
      <c r="D865" s="27" t="str">
        <f>IFERROR(VLOOKUP(C865,'Chart of Accounts'!$A$4:$F$30,2,FALSE),"")</f>
        <v>Inventory</v>
      </c>
      <c r="E865" s="27" t="str">
        <f>IFERROR(VLOOKUP(C865,'Chart of Accounts'!$A$4:$F$30,4,FALSE),"")</f>
        <v>Inventory</v>
      </c>
      <c r="F865" s="27" t="str">
        <f>IFERROR(VLOOKUP(C865,'Chart of Accounts'!$A$4:$F$30,5,FALSE),"")</f>
        <v>BS</v>
      </c>
      <c r="G865" s="15">
        <v>0</v>
      </c>
      <c r="H865" s="15">
        <v>41688.800072682687</v>
      </c>
      <c r="I865" s="10">
        <f t="shared" si="39"/>
        <v>-41688.800072682687</v>
      </c>
      <c r="J865" s="14" t="s">
        <v>845</v>
      </c>
      <c r="K865" s="14" t="s">
        <v>595</v>
      </c>
      <c r="L865" s="14" t="s">
        <v>140</v>
      </c>
      <c r="M865" s="8" t="str">
        <f t="shared" si="40"/>
        <v>2026-09</v>
      </c>
      <c r="N865" s="8" t="str">
        <f t="shared" si="41"/>
        <v>OK</v>
      </c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 spans="1:52">
      <c r="A866" s="14" t="s">
        <v>846</v>
      </c>
      <c r="B866" s="26">
        <v>46278</v>
      </c>
      <c r="C866" s="14" t="s">
        <v>58</v>
      </c>
      <c r="D866" s="27" t="str">
        <f>IFERROR(VLOOKUP(C866,'Chart of Accounts'!$A$4:$F$30,2,FALSE),"")</f>
        <v>Trade Receivables</v>
      </c>
      <c r="E866" s="27" t="str">
        <f>IFERROR(VLOOKUP(C866,'Chart of Accounts'!$A$4:$F$30,4,FALSE),"")</f>
        <v>Trade Receivables</v>
      </c>
      <c r="F866" s="27" t="str">
        <f>IFERROR(VLOOKUP(C866,'Chart of Accounts'!$A$4:$F$30,5,FALSE),"")</f>
        <v>BS</v>
      </c>
      <c r="G866" s="15">
        <v>64427.111543471794</v>
      </c>
      <c r="H866" s="15">
        <v>0</v>
      </c>
      <c r="I866" s="10">
        <f t="shared" si="39"/>
        <v>64427.111543471794</v>
      </c>
      <c r="J866" s="14" t="s">
        <v>847</v>
      </c>
      <c r="K866" s="14" t="s">
        <v>155</v>
      </c>
      <c r="L866" s="14" t="s">
        <v>140</v>
      </c>
      <c r="M866" s="8" t="str">
        <f t="shared" si="40"/>
        <v>2026-09</v>
      </c>
      <c r="N866" s="8" t="str">
        <f t="shared" si="41"/>
        <v>OK</v>
      </c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 spans="1:52">
      <c r="A867" s="14" t="s">
        <v>846</v>
      </c>
      <c r="B867" s="26">
        <v>46278</v>
      </c>
      <c r="C867" s="14" t="s">
        <v>86</v>
      </c>
      <c r="D867" s="27" t="str">
        <f>IFERROR(VLOOKUP(C867,'Chart of Accounts'!$A$4:$F$30,2,FALSE),"")</f>
        <v>Product Sales</v>
      </c>
      <c r="E867" s="27" t="str">
        <f>IFERROR(VLOOKUP(C867,'Chart of Accounts'!$A$4:$F$30,4,FALSE),"")</f>
        <v>Revenue</v>
      </c>
      <c r="F867" s="27" t="str">
        <f>IFERROR(VLOOKUP(C867,'Chart of Accounts'!$A$4:$F$30,5,FALSE),"")</f>
        <v>PL</v>
      </c>
      <c r="G867" s="15">
        <v>0</v>
      </c>
      <c r="H867" s="15">
        <v>64427.111543471794</v>
      </c>
      <c r="I867" s="10">
        <f t="shared" si="39"/>
        <v>-64427.111543471794</v>
      </c>
      <c r="J867" s="14" t="s">
        <v>847</v>
      </c>
      <c r="K867" s="14" t="s">
        <v>155</v>
      </c>
      <c r="L867" s="14" t="s">
        <v>140</v>
      </c>
      <c r="M867" s="8" t="str">
        <f t="shared" si="40"/>
        <v>2026-09</v>
      </c>
      <c r="N867" s="8" t="str">
        <f t="shared" si="41"/>
        <v>OK</v>
      </c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 spans="1:52">
      <c r="A868" s="14" t="s">
        <v>846</v>
      </c>
      <c r="B868" s="26">
        <v>46278</v>
      </c>
      <c r="C868" s="14" t="s">
        <v>90</v>
      </c>
      <c r="D868" s="27" t="str">
        <f>IFERROR(VLOOKUP(C868,'Chart of Accounts'!$A$4:$F$30,2,FALSE),"")</f>
        <v>Cost of Goods Sold</v>
      </c>
      <c r="E868" s="27" t="str">
        <f>IFERROR(VLOOKUP(C868,'Chart of Accounts'!$A$4:$F$30,4,FALSE),"")</f>
        <v>COGS</v>
      </c>
      <c r="F868" s="27" t="str">
        <f>IFERROR(VLOOKUP(C868,'Chart of Accounts'!$A$4:$F$30,5,FALSE),"")</f>
        <v>PL</v>
      </c>
      <c r="G868" s="15">
        <v>35112.775791192122</v>
      </c>
      <c r="H868" s="15">
        <v>0</v>
      </c>
      <c r="I868" s="10">
        <f t="shared" si="39"/>
        <v>35112.775791192122</v>
      </c>
      <c r="J868" s="14" t="s">
        <v>847</v>
      </c>
      <c r="K868" s="14" t="s">
        <v>155</v>
      </c>
      <c r="L868" s="14" t="s">
        <v>140</v>
      </c>
      <c r="M868" s="8" t="str">
        <f t="shared" si="40"/>
        <v>2026-09</v>
      </c>
      <c r="N868" s="8" t="str">
        <f t="shared" si="41"/>
        <v>OK</v>
      </c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 spans="1:52">
      <c r="A869" s="14" t="s">
        <v>846</v>
      </c>
      <c r="B869" s="26">
        <v>46278</v>
      </c>
      <c r="C869" s="14" t="s">
        <v>63</v>
      </c>
      <c r="D869" s="27" t="str">
        <f>IFERROR(VLOOKUP(C869,'Chart of Accounts'!$A$4:$F$30,2,FALSE),"")</f>
        <v>Inventory</v>
      </c>
      <c r="E869" s="27" t="str">
        <f>IFERROR(VLOOKUP(C869,'Chart of Accounts'!$A$4:$F$30,4,FALSE),"")</f>
        <v>Inventory</v>
      </c>
      <c r="F869" s="27" t="str">
        <f>IFERROR(VLOOKUP(C869,'Chart of Accounts'!$A$4:$F$30,5,FALSE),"")</f>
        <v>BS</v>
      </c>
      <c r="G869" s="15">
        <v>0</v>
      </c>
      <c r="H869" s="15">
        <v>35112.775791192122</v>
      </c>
      <c r="I869" s="10">
        <f t="shared" si="39"/>
        <v>-35112.775791192122</v>
      </c>
      <c r="J869" s="14" t="s">
        <v>847</v>
      </c>
      <c r="K869" s="14" t="s">
        <v>155</v>
      </c>
      <c r="L869" s="14" t="s">
        <v>140</v>
      </c>
      <c r="M869" s="8" t="str">
        <f t="shared" si="40"/>
        <v>2026-09</v>
      </c>
      <c r="N869" s="8" t="str">
        <f t="shared" si="41"/>
        <v>OK</v>
      </c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 spans="1:52">
      <c r="A870" s="14" t="s">
        <v>848</v>
      </c>
      <c r="B870" s="26">
        <v>46276</v>
      </c>
      <c r="C870" s="14" t="s">
        <v>58</v>
      </c>
      <c r="D870" s="27" t="str">
        <f>IFERROR(VLOOKUP(C870,'Chart of Accounts'!$A$4:$F$30,2,FALSE),"")</f>
        <v>Trade Receivables</v>
      </c>
      <c r="E870" s="27" t="str">
        <f>IFERROR(VLOOKUP(C870,'Chart of Accounts'!$A$4:$F$30,4,FALSE),"")</f>
        <v>Trade Receivables</v>
      </c>
      <c r="F870" s="27" t="str">
        <f>IFERROR(VLOOKUP(C870,'Chart of Accounts'!$A$4:$F$30,5,FALSE),"")</f>
        <v>BS</v>
      </c>
      <c r="G870" s="15">
        <v>82885.718930832081</v>
      </c>
      <c r="H870" s="15">
        <v>0</v>
      </c>
      <c r="I870" s="10">
        <f t="shared" si="39"/>
        <v>82885.718930832081</v>
      </c>
      <c r="J870" s="14" t="s">
        <v>849</v>
      </c>
      <c r="K870" s="14" t="s">
        <v>149</v>
      </c>
      <c r="L870" s="14" t="s">
        <v>140</v>
      </c>
      <c r="M870" s="8" t="str">
        <f t="shared" si="40"/>
        <v>2026-09</v>
      </c>
      <c r="N870" s="8" t="str">
        <f t="shared" si="41"/>
        <v>OK</v>
      </c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 spans="1:52">
      <c r="A871" s="14" t="s">
        <v>848</v>
      </c>
      <c r="B871" s="26">
        <v>46276</v>
      </c>
      <c r="C871" s="14" t="s">
        <v>86</v>
      </c>
      <c r="D871" s="27" t="str">
        <f>IFERROR(VLOOKUP(C871,'Chart of Accounts'!$A$4:$F$30,2,FALSE),"")</f>
        <v>Product Sales</v>
      </c>
      <c r="E871" s="27" t="str">
        <f>IFERROR(VLOOKUP(C871,'Chart of Accounts'!$A$4:$F$30,4,FALSE),"")</f>
        <v>Revenue</v>
      </c>
      <c r="F871" s="27" t="str">
        <f>IFERROR(VLOOKUP(C871,'Chart of Accounts'!$A$4:$F$30,5,FALSE),"")</f>
        <v>PL</v>
      </c>
      <c r="G871" s="15">
        <v>0</v>
      </c>
      <c r="H871" s="15">
        <v>82885.718930832081</v>
      </c>
      <c r="I871" s="10">
        <f t="shared" si="39"/>
        <v>-82885.718930832081</v>
      </c>
      <c r="J871" s="14" t="s">
        <v>849</v>
      </c>
      <c r="K871" s="14" t="s">
        <v>149</v>
      </c>
      <c r="L871" s="14" t="s">
        <v>140</v>
      </c>
      <c r="M871" s="8" t="str">
        <f t="shared" si="40"/>
        <v>2026-09</v>
      </c>
      <c r="N871" s="8" t="str">
        <f t="shared" si="41"/>
        <v>OK</v>
      </c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 spans="1:52">
      <c r="A872" s="14" t="s">
        <v>848</v>
      </c>
      <c r="B872" s="26">
        <v>46276</v>
      </c>
      <c r="C872" s="14" t="s">
        <v>90</v>
      </c>
      <c r="D872" s="27" t="str">
        <f>IFERROR(VLOOKUP(C872,'Chart of Accounts'!$A$4:$F$30,2,FALSE),"")</f>
        <v>Cost of Goods Sold</v>
      </c>
      <c r="E872" s="27" t="str">
        <f>IFERROR(VLOOKUP(C872,'Chart of Accounts'!$A$4:$F$30,4,FALSE),"")</f>
        <v>COGS</v>
      </c>
      <c r="F872" s="27" t="str">
        <f>IFERROR(VLOOKUP(C872,'Chart of Accounts'!$A$4:$F$30,5,FALSE),"")</f>
        <v>PL</v>
      </c>
      <c r="G872" s="15">
        <v>45172.716817303473</v>
      </c>
      <c r="H872" s="15">
        <v>0</v>
      </c>
      <c r="I872" s="10">
        <f t="shared" si="39"/>
        <v>45172.716817303473</v>
      </c>
      <c r="J872" s="14" t="s">
        <v>849</v>
      </c>
      <c r="K872" s="14" t="s">
        <v>149</v>
      </c>
      <c r="L872" s="14" t="s">
        <v>140</v>
      </c>
      <c r="M872" s="8" t="str">
        <f t="shared" si="40"/>
        <v>2026-09</v>
      </c>
      <c r="N872" s="8" t="str">
        <f t="shared" si="41"/>
        <v>OK</v>
      </c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 spans="1:52">
      <c r="A873" s="14" t="s">
        <v>848</v>
      </c>
      <c r="B873" s="26">
        <v>46276</v>
      </c>
      <c r="C873" s="14" t="s">
        <v>63</v>
      </c>
      <c r="D873" s="27" t="str">
        <f>IFERROR(VLOOKUP(C873,'Chart of Accounts'!$A$4:$F$30,2,FALSE),"")</f>
        <v>Inventory</v>
      </c>
      <c r="E873" s="27" t="str">
        <f>IFERROR(VLOOKUP(C873,'Chart of Accounts'!$A$4:$F$30,4,FALSE),"")</f>
        <v>Inventory</v>
      </c>
      <c r="F873" s="27" t="str">
        <f>IFERROR(VLOOKUP(C873,'Chart of Accounts'!$A$4:$F$30,5,FALSE),"")</f>
        <v>BS</v>
      </c>
      <c r="G873" s="15">
        <v>0</v>
      </c>
      <c r="H873" s="15">
        <v>45172.716817303473</v>
      </c>
      <c r="I873" s="10">
        <f t="shared" si="39"/>
        <v>-45172.716817303473</v>
      </c>
      <c r="J873" s="14" t="s">
        <v>849</v>
      </c>
      <c r="K873" s="14" t="s">
        <v>149</v>
      </c>
      <c r="L873" s="14" t="s">
        <v>140</v>
      </c>
      <c r="M873" s="8" t="str">
        <f t="shared" si="40"/>
        <v>2026-09</v>
      </c>
      <c r="N873" s="8" t="str">
        <f t="shared" si="41"/>
        <v>OK</v>
      </c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 spans="1:52">
      <c r="A874" s="14" t="s">
        <v>850</v>
      </c>
      <c r="B874" s="26">
        <v>46277</v>
      </c>
      <c r="C874" s="14" t="s">
        <v>58</v>
      </c>
      <c r="D874" s="27" t="str">
        <f>IFERROR(VLOOKUP(C874,'Chart of Accounts'!$A$4:$F$30,2,FALSE),"")</f>
        <v>Trade Receivables</v>
      </c>
      <c r="E874" s="27" t="str">
        <f>IFERROR(VLOOKUP(C874,'Chart of Accounts'!$A$4:$F$30,4,FALSE),"")</f>
        <v>Trade Receivables</v>
      </c>
      <c r="F874" s="27" t="str">
        <f>IFERROR(VLOOKUP(C874,'Chart of Accounts'!$A$4:$F$30,5,FALSE),"")</f>
        <v>BS</v>
      </c>
      <c r="G874" s="15">
        <v>76125.559335277401</v>
      </c>
      <c r="H874" s="15">
        <v>0</v>
      </c>
      <c r="I874" s="10">
        <f t="shared" si="39"/>
        <v>76125.559335277401</v>
      </c>
      <c r="J874" s="14" t="s">
        <v>851</v>
      </c>
      <c r="K874" s="14" t="s">
        <v>681</v>
      </c>
      <c r="L874" s="14" t="s">
        <v>140</v>
      </c>
      <c r="M874" s="8" t="str">
        <f t="shared" si="40"/>
        <v>2026-09</v>
      </c>
      <c r="N874" s="8" t="str">
        <f t="shared" si="41"/>
        <v>OK</v>
      </c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 spans="1:52">
      <c r="A875" s="14" t="s">
        <v>850</v>
      </c>
      <c r="B875" s="26">
        <v>46277</v>
      </c>
      <c r="C875" s="14" t="s">
        <v>86</v>
      </c>
      <c r="D875" s="27" t="str">
        <f>IFERROR(VLOOKUP(C875,'Chart of Accounts'!$A$4:$F$30,2,FALSE),"")</f>
        <v>Product Sales</v>
      </c>
      <c r="E875" s="27" t="str">
        <f>IFERROR(VLOOKUP(C875,'Chart of Accounts'!$A$4:$F$30,4,FALSE),"")</f>
        <v>Revenue</v>
      </c>
      <c r="F875" s="27" t="str">
        <f>IFERROR(VLOOKUP(C875,'Chart of Accounts'!$A$4:$F$30,5,FALSE),"")</f>
        <v>PL</v>
      </c>
      <c r="G875" s="15">
        <v>0</v>
      </c>
      <c r="H875" s="15">
        <v>76125.559335277401</v>
      </c>
      <c r="I875" s="10">
        <f t="shared" si="39"/>
        <v>-76125.559335277401</v>
      </c>
      <c r="J875" s="14" t="s">
        <v>851</v>
      </c>
      <c r="K875" s="14" t="s">
        <v>681</v>
      </c>
      <c r="L875" s="14" t="s">
        <v>140</v>
      </c>
      <c r="M875" s="8" t="str">
        <f t="shared" si="40"/>
        <v>2026-09</v>
      </c>
      <c r="N875" s="8" t="str">
        <f t="shared" si="41"/>
        <v>OK</v>
      </c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 spans="1:52">
      <c r="A876" s="14" t="s">
        <v>850</v>
      </c>
      <c r="B876" s="26">
        <v>46277</v>
      </c>
      <c r="C876" s="14" t="s">
        <v>90</v>
      </c>
      <c r="D876" s="27" t="str">
        <f>IFERROR(VLOOKUP(C876,'Chart of Accounts'!$A$4:$F$30,2,FALSE),"")</f>
        <v>Cost of Goods Sold</v>
      </c>
      <c r="E876" s="27" t="str">
        <f>IFERROR(VLOOKUP(C876,'Chart of Accounts'!$A$4:$F$30,4,FALSE),"")</f>
        <v>COGS</v>
      </c>
      <c r="F876" s="27" t="str">
        <f>IFERROR(VLOOKUP(C876,'Chart of Accounts'!$A$4:$F$30,5,FALSE),"")</f>
        <v>PL</v>
      </c>
      <c r="G876" s="15">
        <v>41488.429837726173</v>
      </c>
      <c r="H876" s="15">
        <v>0</v>
      </c>
      <c r="I876" s="10">
        <f t="shared" si="39"/>
        <v>41488.429837726173</v>
      </c>
      <c r="J876" s="14" t="s">
        <v>851</v>
      </c>
      <c r="K876" s="14" t="s">
        <v>681</v>
      </c>
      <c r="L876" s="14" t="s">
        <v>140</v>
      </c>
      <c r="M876" s="8" t="str">
        <f t="shared" si="40"/>
        <v>2026-09</v>
      </c>
      <c r="N876" s="8" t="str">
        <f t="shared" si="41"/>
        <v>OK</v>
      </c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 spans="1:52">
      <c r="A877" s="14" t="s">
        <v>850</v>
      </c>
      <c r="B877" s="26">
        <v>46277</v>
      </c>
      <c r="C877" s="14" t="s">
        <v>63</v>
      </c>
      <c r="D877" s="27" t="str">
        <f>IFERROR(VLOOKUP(C877,'Chart of Accounts'!$A$4:$F$30,2,FALSE),"")</f>
        <v>Inventory</v>
      </c>
      <c r="E877" s="27" t="str">
        <f>IFERROR(VLOOKUP(C877,'Chart of Accounts'!$A$4:$F$30,4,FALSE),"")</f>
        <v>Inventory</v>
      </c>
      <c r="F877" s="27" t="str">
        <f>IFERROR(VLOOKUP(C877,'Chart of Accounts'!$A$4:$F$30,5,FALSE),"")</f>
        <v>BS</v>
      </c>
      <c r="G877" s="15">
        <v>0</v>
      </c>
      <c r="H877" s="15">
        <v>41488.429837726173</v>
      </c>
      <c r="I877" s="10">
        <f t="shared" si="39"/>
        <v>-41488.429837726173</v>
      </c>
      <c r="J877" s="14" t="s">
        <v>851</v>
      </c>
      <c r="K877" s="14" t="s">
        <v>681</v>
      </c>
      <c r="L877" s="14" t="s">
        <v>140</v>
      </c>
      <c r="M877" s="8" t="str">
        <f t="shared" si="40"/>
        <v>2026-09</v>
      </c>
      <c r="N877" s="8" t="str">
        <f t="shared" si="41"/>
        <v>OK</v>
      </c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 spans="1:52">
      <c r="A878" s="14" t="s">
        <v>852</v>
      </c>
      <c r="B878" s="26">
        <v>46280</v>
      </c>
      <c r="C878" s="14" t="s">
        <v>58</v>
      </c>
      <c r="D878" s="27" t="str">
        <f>IFERROR(VLOOKUP(C878,'Chart of Accounts'!$A$4:$F$30,2,FALSE),"")</f>
        <v>Trade Receivables</v>
      </c>
      <c r="E878" s="27" t="str">
        <f>IFERROR(VLOOKUP(C878,'Chart of Accounts'!$A$4:$F$30,4,FALSE),"")</f>
        <v>Trade Receivables</v>
      </c>
      <c r="F878" s="27" t="str">
        <f>IFERROR(VLOOKUP(C878,'Chart of Accounts'!$A$4:$F$30,5,FALSE),"")</f>
        <v>BS</v>
      </c>
      <c r="G878" s="15">
        <v>108180.42024898498</v>
      </c>
      <c r="H878" s="15">
        <v>0</v>
      </c>
      <c r="I878" s="10">
        <f t="shared" si="39"/>
        <v>108180.42024898498</v>
      </c>
      <c r="J878" s="14" t="s">
        <v>853</v>
      </c>
      <c r="K878" s="14" t="s">
        <v>149</v>
      </c>
      <c r="L878" s="14" t="s">
        <v>140</v>
      </c>
      <c r="M878" s="8" t="str">
        <f t="shared" si="40"/>
        <v>2026-09</v>
      </c>
      <c r="N878" s="8" t="str">
        <f t="shared" si="41"/>
        <v>OK</v>
      </c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 spans="1:52">
      <c r="A879" s="14" t="s">
        <v>852</v>
      </c>
      <c r="B879" s="26">
        <v>46280</v>
      </c>
      <c r="C879" s="14" t="s">
        <v>86</v>
      </c>
      <c r="D879" s="27" t="str">
        <f>IFERROR(VLOOKUP(C879,'Chart of Accounts'!$A$4:$F$30,2,FALSE),"")</f>
        <v>Product Sales</v>
      </c>
      <c r="E879" s="27" t="str">
        <f>IFERROR(VLOOKUP(C879,'Chart of Accounts'!$A$4:$F$30,4,FALSE),"")</f>
        <v>Revenue</v>
      </c>
      <c r="F879" s="27" t="str">
        <f>IFERROR(VLOOKUP(C879,'Chart of Accounts'!$A$4:$F$30,5,FALSE),"")</f>
        <v>PL</v>
      </c>
      <c r="G879" s="15">
        <v>0</v>
      </c>
      <c r="H879" s="15">
        <v>108180.42024898498</v>
      </c>
      <c r="I879" s="10">
        <f t="shared" si="39"/>
        <v>-108180.42024898498</v>
      </c>
      <c r="J879" s="14" t="s">
        <v>853</v>
      </c>
      <c r="K879" s="14" t="s">
        <v>149</v>
      </c>
      <c r="L879" s="14" t="s">
        <v>140</v>
      </c>
      <c r="M879" s="8" t="str">
        <f t="shared" si="40"/>
        <v>2026-09</v>
      </c>
      <c r="N879" s="8" t="str">
        <f t="shared" si="41"/>
        <v>OK</v>
      </c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 spans="1:52">
      <c r="A880" s="14" t="s">
        <v>852</v>
      </c>
      <c r="B880" s="26">
        <v>46280</v>
      </c>
      <c r="C880" s="14" t="s">
        <v>90</v>
      </c>
      <c r="D880" s="27" t="str">
        <f>IFERROR(VLOOKUP(C880,'Chart of Accounts'!$A$4:$F$30,2,FALSE),"")</f>
        <v>Cost of Goods Sold</v>
      </c>
      <c r="E880" s="27" t="str">
        <f>IFERROR(VLOOKUP(C880,'Chart of Accounts'!$A$4:$F$30,4,FALSE),"")</f>
        <v>COGS</v>
      </c>
      <c r="F880" s="27" t="str">
        <f>IFERROR(VLOOKUP(C880,'Chart of Accounts'!$A$4:$F$30,5,FALSE),"")</f>
        <v>PL</v>
      </c>
      <c r="G880" s="15">
        <v>58958.329035696806</v>
      </c>
      <c r="H880" s="15">
        <v>0</v>
      </c>
      <c r="I880" s="10">
        <f t="shared" si="39"/>
        <v>58958.329035696806</v>
      </c>
      <c r="J880" s="14" t="s">
        <v>853</v>
      </c>
      <c r="K880" s="14" t="s">
        <v>149</v>
      </c>
      <c r="L880" s="14" t="s">
        <v>140</v>
      </c>
      <c r="M880" s="8" t="str">
        <f t="shared" si="40"/>
        <v>2026-09</v>
      </c>
      <c r="N880" s="8" t="str">
        <f t="shared" si="41"/>
        <v>OK</v>
      </c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 spans="1:52">
      <c r="A881" s="14" t="s">
        <v>852</v>
      </c>
      <c r="B881" s="26">
        <v>46280</v>
      </c>
      <c r="C881" s="14" t="s">
        <v>63</v>
      </c>
      <c r="D881" s="27" t="str">
        <f>IFERROR(VLOOKUP(C881,'Chart of Accounts'!$A$4:$F$30,2,FALSE),"")</f>
        <v>Inventory</v>
      </c>
      <c r="E881" s="27" t="str">
        <f>IFERROR(VLOOKUP(C881,'Chart of Accounts'!$A$4:$F$30,4,FALSE),"")</f>
        <v>Inventory</v>
      </c>
      <c r="F881" s="27" t="str">
        <f>IFERROR(VLOOKUP(C881,'Chart of Accounts'!$A$4:$F$30,5,FALSE),"")</f>
        <v>BS</v>
      </c>
      <c r="G881" s="15">
        <v>0</v>
      </c>
      <c r="H881" s="15">
        <v>58958.329035696806</v>
      </c>
      <c r="I881" s="10">
        <f t="shared" si="39"/>
        <v>-58958.329035696806</v>
      </c>
      <c r="J881" s="14" t="s">
        <v>853</v>
      </c>
      <c r="K881" s="14" t="s">
        <v>149</v>
      </c>
      <c r="L881" s="14" t="s">
        <v>140</v>
      </c>
      <c r="M881" s="8" t="str">
        <f t="shared" si="40"/>
        <v>2026-09</v>
      </c>
      <c r="N881" s="8" t="str">
        <f t="shared" si="41"/>
        <v>OK</v>
      </c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 spans="1:52">
      <c r="A882" s="14" t="s">
        <v>854</v>
      </c>
      <c r="B882" s="26">
        <v>46283</v>
      </c>
      <c r="C882" s="14" t="s">
        <v>58</v>
      </c>
      <c r="D882" s="27" t="str">
        <f>IFERROR(VLOOKUP(C882,'Chart of Accounts'!$A$4:$F$30,2,FALSE),"")</f>
        <v>Trade Receivables</v>
      </c>
      <c r="E882" s="27" t="str">
        <f>IFERROR(VLOOKUP(C882,'Chart of Accounts'!$A$4:$F$30,4,FALSE),"")</f>
        <v>Trade Receivables</v>
      </c>
      <c r="F882" s="27" t="str">
        <f>IFERROR(VLOOKUP(C882,'Chart of Accounts'!$A$4:$F$30,5,FALSE),"")</f>
        <v>BS</v>
      </c>
      <c r="G882" s="15">
        <v>68381.035665052899</v>
      </c>
      <c r="H882" s="15">
        <v>0</v>
      </c>
      <c r="I882" s="10">
        <f t="shared" si="39"/>
        <v>68381.035665052899</v>
      </c>
      <c r="J882" s="14" t="s">
        <v>855</v>
      </c>
      <c r="K882" s="14" t="s">
        <v>350</v>
      </c>
      <c r="L882" s="14" t="s">
        <v>140</v>
      </c>
      <c r="M882" s="8" t="str">
        <f t="shared" si="40"/>
        <v>2026-09</v>
      </c>
      <c r="N882" s="8" t="str">
        <f t="shared" si="41"/>
        <v>OK</v>
      </c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 spans="1:52">
      <c r="A883" s="14" t="s">
        <v>854</v>
      </c>
      <c r="B883" s="26">
        <v>46283</v>
      </c>
      <c r="C883" s="14" t="s">
        <v>86</v>
      </c>
      <c r="D883" s="27" t="str">
        <f>IFERROR(VLOOKUP(C883,'Chart of Accounts'!$A$4:$F$30,2,FALSE),"")</f>
        <v>Product Sales</v>
      </c>
      <c r="E883" s="27" t="str">
        <f>IFERROR(VLOOKUP(C883,'Chart of Accounts'!$A$4:$F$30,4,FALSE),"")</f>
        <v>Revenue</v>
      </c>
      <c r="F883" s="27" t="str">
        <f>IFERROR(VLOOKUP(C883,'Chart of Accounts'!$A$4:$F$30,5,FALSE),"")</f>
        <v>PL</v>
      </c>
      <c r="G883" s="15">
        <v>0</v>
      </c>
      <c r="H883" s="15">
        <v>68381.035665052899</v>
      </c>
      <c r="I883" s="10">
        <f t="shared" si="39"/>
        <v>-68381.035665052899</v>
      </c>
      <c r="J883" s="14" t="s">
        <v>855</v>
      </c>
      <c r="K883" s="14" t="s">
        <v>350</v>
      </c>
      <c r="L883" s="14" t="s">
        <v>140</v>
      </c>
      <c r="M883" s="8" t="str">
        <f t="shared" si="40"/>
        <v>2026-09</v>
      </c>
      <c r="N883" s="8" t="str">
        <f t="shared" si="41"/>
        <v>OK</v>
      </c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 spans="1:52">
      <c r="A884" s="14" t="s">
        <v>854</v>
      </c>
      <c r="B884" s="26">
        <v>46283</v>
      </c>
      <c r="C884" s="14" t="s">
        <v>90</v>
      </c>
      <c r="D884" s="27" t="str">
        <f>IFERROR(VLOOKUP(C884,'Chart of Accounts'!$A$4:$F$30,2,FALSE),"")</f>
        <v>Cost of Goods Sold</v>
      </c>
      <c r="E884" s="27" t="str">
        <f>IFERROR(VLOOKUP(C884,'Chart of Accounts'!$A$4:$F$30,4,FALSE),"")</f>
        <v>COGS</v>
      </c>
      <c r="F884" s="27" t="str">
        <f>IFERROR(VLOOKUP(C884,'Chart of Accounts'!$A$4:$F$30,5,FALSE),"")</f>
        <v>PL</v>
      </c>
      <c r="G884" s="15">
        <v>37267.664437453823</v>
      </c>
      <c r="H884" s="15">
        <v>0</v>
      </c>
      <c r="I884" s="10">
        <f t="shared" si="39"/>
        <v>37267.664437453823</v>
      </c>
      <c r="J884" s="14" t="s">
        <v>855</v>
      </c>
      <c r="K884" s="14" t="s">
        <v>350</v>
      </c>
      <c r="L884" s="14" t="s">
        <v>140</v>
      </c>
      <c r="M884" s="8" t="str">
        <f t="shared" si="40"/>
        <v>2026-09</v>
      </c>
      <c r="N884" s="8" t="str">
        <f t="shared" si="41"/>
        <v>OK</v>
      </c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 spans="1:52">
      <c r="A885" s="14" t="s">
        <v>854</v>
      </c>
      <c r="B885" s="26">
        <v>46283</v>
      </c>
      <c r="C885" s="14" t="s">
        <v>63</v>
      </c>
      <c r="D885" s="27" t="str">
        <f>IFERROR(VLOOKUP(C885,'Chart of Accounts'!$A$4:$F$30,2,FALSE),"")</f>
        <v>Inventory</v>
      </c>
      <c r="E885" s="27" t="str">
        <f>IFERROR(VLOOKUP(C885,'Chart of Accounts'!$A$4:$F$30,4,FALSE),"")</f>
        <v>Inventory</v>
      </c>
      <c r="F885" s="27" t="str">
        <f>IFERROR(VLOOKUP(C885,'Chart of Accounts'!$A$4:$F$30,5,FALSE),"")</f>
        <v>BS</v>
      </c>
      <c r="G885" s="15">
        <v>0</v>
      </c>
      <c r="H885" s="15">
        <v>37267.664437453823</v>
      </c>
      <c r="I885" s="10">
        <f t="shared" si="39"/>
        <v>-37267.664437453823</v>
      </c>
      <c r="J885" s="14" t="s">
        <v>855</v>
      </c>
      <c r="K885" s="14" t="s">
        <v>350</v>
      </c>
      <c r="L885" s="14" t="s">
        <v>140</v>
      </c>
      <c r="M885" s="8" t="str">
        <f t="shared" si="40"/>
        <v>2026-09</v>
      </c>
      <c r="N885" s="8" t="str">
        <f t="shared" si="41"/>
        <v>OK</v>
      </c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 spans="1:52">
      <c r="A886" s="14" t="s">
        <v>856</v>
      </c>
      <c r="B886" s="26">
        <v>46273</v>
      </c>
      <c r="C886" s="14" t="s">
        <v>58</v>
      </c>
      <c r="D886" s="27" t="str">
        <f>IFERROR(VLOOKUP(C886,'Chart of Accounts'!$A$4:$F$30,2,FALSE),"")</f>
        <v>Trade Receivables</v>
      </c>
      <c r="E886" s="27" t="str">
        <f>IFERROR(VLOOKUP(C886,'Chart of Accounts'!$A$4:$F$30,4,FALSE),"")</f>
        <v>Trade Receivables</v>
      </c>
      <c r="F886" s="27" t="str">
        <f>IFERROR(VLOOKUP(C886,'Chart of Accounts'!$A$4:$F$30,5,FALSE),"")</f>
        <v>BS</v>
      </c>
      <c r="G886" s="15">
        <v>80576.092845197505</v>
      </c>
      <c r="H886" s="15">
        <v>0</v>
      </c>
      <c r="I886" s="10">
        <f t="shared" si="39"/>
        <v>80576.092845197505</v>
      </c>
      <c r="J886" s="14" t="s">
        <v>857</v>
      </c>
      <c r="K886" s="14" t="s">
        <v>442</v>
      </c>
      <c r="L886" s="14" t="s">
        <v>140</v>
      </c>
      <c r="M886" s="8" t="str">
        <f t="shared" si="40"/>
        <v>2026-09</v>
      </c>
      <c r="N886" s="8" t="str">
        <f t="shared" si="41"/>
        <v>OK</v>
      </c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 spans="1:52">
      <c r="A887" s="14" t="s">
        <v>856</v>
      </c>
      <c r="B887" s="26">
        <v>46273</v>
      </c>
      <c r="C887" s="14" t="s">
        <v>86</v>
      </c>
      <c r="D887" s="27" t="str">
        <f>IFERROR(VLOOKUP(C887,'Chart of Accounts'!$A$4:$F$30,2,FALSE),"")</f>
        <v>Product Sales</v>
      </c>
      <c r="E887" s="27" t="str">
        <f>IFERROR(VLOOKUP(C887,'Chart of Accounts'!$A$4:$F$30,4,FALSE),"")</f>
        <v>Revenue</v>
      </c>
      <c r="F887" s="27" t="str">
        <f>IFERROR(VLOOKUP(C887,'Chart of Accounts'!$A$4:$F$30,5,FALSE),"")</f>
        <v>PL</v>
      </c>
      <c r="G887" s="15">
        <v>0</v>
      </c>
      <c r="H887" s="15">
        <v>80576.092845197505</v>
      </c>
      <c r="I887" s="10">
        <f t="shared" si="39"/>
        <v>-80576.092845197505</v>
      </c>
      <c r="J887" s="14" t="s">
        <v>857</v>
      </c>
      <c r="K887" s="14" t="s">
        <v>442</v>
      </c>
      <c r="L887" s="14" t="s">
        <v>140</v>
      </c>
      <c r="M887" s="8" t="str">
        <f t="shared" si="40"/>
        <v>2026-09</v>
      </c>
      <c r="N887" s="8" t="str">
        <f t="shared" si="41"/>
        <v>OK</v>
      </c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 spans="1:52">
      <c r="A888" s="14" t="s">
        <v>856</v>
      </c>
      <c r="B888" s="26">
        <v>46273</v>
      </c>
      <c r="C888" s="14" t="s">
        <v>90</v>
      </c>
      <c r="D888" s="27" t="str">
        <f>IFERROR(VLOOKUP(C888,'Chart of Accounts'!$A$4:$F$30,2,FALSE),"")</f>
        <v>Cost of Goods Sold</v>
      </c>
      <c r="E888" s="27" t="str">
        <f>IFERROR(VLOOKUP(C888,'Chart of Accounts'!$A$4:$F$30,4,FALSE),"")</f>
        <v>COGS</v>
      </c>
      <c r="F888" s="27" t="str">
        <f>IFERROR(VLOOKUP(C888,'Chart of Accounts'!$A$4:$F$30,5,FALSE),"")</f>
        <v>PL</v>
      </c>
      <c r="G888" s="15">
        <v>43913.970600632638</v>
      </c>
      <c r="H888" s="15">
        <v>0</v>
      </c>
      <c r="I888" s="10">
        <f t="shared" si="39"/>
        <v>43913.970600632638</v>
      </c>
      <c r="J888" s="14" t="s">
        <v>857</v>
      </c>
      <c r="K888" s="14" t="s">
        <v>442</v>
      </c>
      <c r="L888" s="14" t="s">
        <v>140</v>
      </c>
      <c r="M888" s="8" t="str">
        <f t="shared" si="40"/>
        <v>2026-09</v>
      </c>
      <c r="N888" s="8" t="str">
        <f t="shared" si="41"/>
        <v>OK</v>
      </c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 spans="1:52">
      <c r="A889" s="14" t="s">
        <v>856</v>
      </c>
      <c r="B889" s="26">
        <v>46273</v>
      </c>
      <c r="C889" s="14" t="s">
        <v>63</v>
      </c>
      <c r="D889" s="27" t="str">
        <f>IFERROR(VLOOKUP(C889,'Chart of Accounts'!$A$4:$F$30,2,FALSE),"")</f>
        <v>Inventory</v>
      </c>
      <c r="E889" s="27" t="str">
        <f>IFERROR(VLOOKUP(C889,'Chart of Accounts'!$A$4:$F$30,4,FALSE),"")</f>
        <v>Inventory</v>
      </c>
      <c r="F889" s="27" t="str">
        <f>IFERROR(VLOOKUP(C889,'Chart of Accounts'!$A$4:$F$30,5,FALSE),"")</f>
        <v>BS</v>
      </c>
      <c r="G889" s="15">
        <v>0</v>
      </c>
      <c r="H889" s="15">
        <v>43913.970600632638</v>
      </c>
      <c r="I889" s="10">
        <f t="shared" si="39"/>
        <v>-43913.970600632638</v>
      </c>
      <c r="J889" s="14" t="s">
        <v>857</v>
      </c>
      <c r="K889" s="14" t="s">
        <v>442</v>
      </c>
      <c r="L889" s="14" t="s">
        <v>140</v>
      </c>
      <c r="M889" s="8" t="str">
        <f t="shared" si="40"/>
        <v>2026-09</v>
      </c>
      <c r="N889" s="8" t="str">
        <f t="shared" si="41"/>
        <v>OK</v>
      </c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 spans="1:52">
      <c r="A890" s="14" t="s">
        <v>858</v>
      </c>
      <c r="B890" s="26">
        <v>46271</v>
      </c>
      <c r="C890" s="14" t="s">
        <v>52</v>
      </c>
      <c r="D890" s="27" t="str">
        <f>IFERROR(VLOOKUP(C890,'Chart of Accounts'!$A$4:$F$30,2,FALSE),"")</f>
        <v>Bank</v>
      </c>
      <c r="E890" s="27" t="str">
        <f>IFERROR(VLOOKUP(C890,'Chart of Accounts'!$A$4:$F$30,4,FALSE),"")</f>
        <v>Cash</v>
      </c>
      <c r="F890" s="27" t="str">
        <f>IFERROR(VLOOKUP(C890,'Chart of Accounts'!$A$4:$F$30,5,FALSE),"")</f>
        <v>BS</v>
      </c>
      <c r="G890" s="15">
        <v>144192.00823893322</v>
      </c>
      <c r="H890" s="15">
        <v>0</v>
      </c>
      <c r="I890" s="10">
        <f t="shared" si="39"/>
        <v>144192.00823893322</v>
      </c>
      <c r="J890" s="14" t="s">
        <v>859</v>
      </c>
      <c r="K890" s="14" t="s">
        <v>175</v>
      </c>
      <c r="L890" s="14" t="s">
        <v>176</v>
      </c>
      <c r="M890" s="8" t="str">
        <f t="shared" si="40"/>
        <v>2026-09</v>
      </c>
      <c r="N890" s="8" t="str">
        <f t="shared" si="41"/>
        <v>OK</v>
      </c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 spans="1:52">
      <c r="A891" s="14" t="s">
        <v>858</v>
      </c>
      <c r="B891" s="26">
        <v>46271</v>
      </c>
      <c r="C891" s="14" t="s">
        <v>58</v>
      </c>
      <c r="D891" s="27" t="str">
        <f>IFERROR(VLOOKUP(C891,'Chart of Accounts'!$A$4:$F$30,2,FALSE),"")</f>
        <v>Trade Receivables</v>
      </c>
      <c r="E891" s="27" t="str">
        <f>IFERROR(VLOOKUP(C891,'Chart of Accounts'!$A$4:$F$30,4,FALSE),"")</f>
        <v>Trade Receivables</v>
      </c>
      <c r="F891" s="27" t="str">
        <f>IFERROR(VLOOKUP(C891,'Chart of Accounts'!$A$4:$F$30,5,FALSE),"")</f>
        <v>BS</v>
      </c>
      <c r="G891" s="15">
        <v>0</v>
      </c>
      <c r="H891" s="15">
        <v>144192.00823893322</v>
      </c>
      <c r="I891" s="10">
        <f t="shared" si="39"/>
        <v>-144192.00823893322</v>
      </c>
      <c r="J891" s="14" t="s">
        <v>859</v>
      </c>
      <c r="K891" s="14" t="s">
        <v>175</v>
      </c>
      <c r="L891" s="14" t="s">
        <v>176</v>
      </c>
      <c r="M891" s="8" t="str">
        <f t="shared" si="40"/>
        <v>2026-09</v>
      </c>
      <c r="N891" s="8" t="str">
        <f t="shared" si="41"/>
        <v>OK</v>
      </c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 spans="1:52">
      <c r="A892" s="14" t="s">
        <v>860</v>
      </c>
      <c r="B892" s="26">
        <v>46289</v>
      </c>
      <c r="C892" s="14" t="s">
        <v>52</v>
      </c>
      <c r="D892" s="27" t="str">
        <f>IFERROR(VLOOKUP(C892,'Chart of Accounts'!$A$4:$F$30,2,FALSE),"")</f>
        <v>Bank</v>
      </c>
      <c r="E892" s="27" t="str">
        <f>IFERROR(VLOOKUP(C892,'Chart of Accounts'!$A$4:$F$30,4,FALSE),"")</f>
        <v>Cash</v>
      </c>
      <c r="F892" s="27" t="str">
        <f>IFERROR(VLOOKUP(C892,'Chart of Accounts'!$A$4:$F$30,5,FALSE),"")</f>
        <v>BS</v>
      </c>
      <c r="G892" s="15">
        <v>136135.27750708046</v>
      </c>
      <c r="H892" s="15">
        <v>0</v>
      </c>
      <c r="I892" s="10">
        <f t="shared" si="39"/>
        <v>136135.27750708046</v>
      </c>
      <c r="J892" s="14" t="s">
        <v>861</v>
      </c>
      <c r="K892" s="14" t="s">
        <v>175</v>
      </c>
      <c r="L892" s="14" t="s">
        <v>176</v>
      </c>
      <c r="M892" s="8" t="str">
        <f t="shared" si="40"/>
        <v>2026-09</v>
      </c>
      <c r="N892" s="8" t="str">
        <f t="shared" si="41"/>
        <v>OK</v>
      </c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 spans="1:52">
      <c r="A893" s="14" t="s">
        <v>860</v>
      </c>
      <c r="B893" s="26">
        <v>46289</v>
      </c>
      <c r="C893" s="14" t="s">
        <v>58</v>
      </c>
      <c r="D893" s="27" t="str">
        <f>IFERROR(VLOOKUP(C893,'Chart of Accounts'!$A$4:$F$30,2,FALSE),"")</f>
        <v>Trade Receivables</v>
      </c>
      <c r="E893" s="27" t="str">
        <f>IFERROR(VLOOKUP(C893,'Chart of Accounts'!$A$4:$F$30,4,FALSE),"")</f>
        <v>Trade Receivables</v>
      </c>
      <c r="F893" s="27" t="str">
        <f>IFERROR(VLOOKUP(C893,'Chart of Accounts'!$A$4:$F$30,5,FALSE),"")</f>
        <v>BS</v>
      </c>
      <c r="G893" s="15">
        <v>0</v>
      </c>
      <c r="H893" s="15">
        <v>136135.27750708046</v>
      </c>
      <c r="I893" s="10">
        <f t="shared" si="39"/>
        <v>-136135.27750708046</v>
      </c>
      <c r="J893" s="14" t="s">
        <v>861</v>
      </c>
      <c r="K893" s="14" t="s">
        <v>175</v>
      </c>
      <c r="L893" s="14" t="s">
        <v>176</v>
      </c>
      <c r="M893" s="8" t="str">
        <f t="shared" si="40"/>
        <v>2026-09</v>
      </c>
      <c r="N893" s="8" t="str">
        <f t="shared" si="41"/>
        <v>OK</v>
      </c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 spans="1:52">
      <c r="A894" s="14" t="s">
        <v>862</v>
      </c>
      <c r="B894" s="26">
        <v>46279</v>
      </c>
      <c r="C894" s="14" t="s">
        <v>52</v>
      </c>
      <c r="D894" s="27" t="str">
        <f>IFERROR(VLOOKUP(C894,'Chart of Accounts'!$A$4:$F$30,2,FALSE),"")</f>
        <v>Bank</v>
      </c>
      <c r="E894" s="27" t="str">
        <f>IFERROR(VLOOKUP(C894,'Chart of Accounts'!$A$4:$F$30,4,FALSE),"")</f>
        <v>Cash</v>
      </c>
      <c r="F894" s="27" t="str">
        <f>IFERROR(VLOOKUP(C894,'Chart of Accounts'!$A$4:$F$30,5,FALSE),"")</f>
        <v>BS</v>
      </c>
      <c r="G894" s="15">
        <v>185693.31740468129</v>
      </c>
      <c r="H894" s="15">
        <v>0</v>
      </c>
      <c r="I894" s="10">
        <f t="shared" si="39"/>
        <v>185693.31740468129</v>
      </c>
      <c r="J894" s="14" t="s">
        <v>863</v>
      </c>
      <c r="K894" s="14" t="s">
        <v>175</v>
      </c>
      <c r="L894" s="14" t="s">
        <v>176</v>
      </c>
      <c r="M894" s="8" t="str">
        <f t="shared" si="40"/>
        <v>2026-09</v>
      </c>
      <c r="N894" s="8" t="str">
        <f t="shared" si="41"/>
        <v>OK</v>
      </c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 spans="1:52">
      <c r="A895" s="14" t="s">
        <v>862</v>
      </c>
      <c r="B895" s="26">
        <v>46279</v>
      </c>
      <c r="C895" s="14" t="s">
        <v>58</v>
      </c>
      <c r="D895" s="27" t="str">
        <f>IFERROR(VLOOKUP(C895,'Chart of Accounts'!$A$4:$F$30,2,FALSE),"")</f>
        <v>Trade Receivables</v>
      </c>
      <c r="E895" s="27" t="str">
        <f>IFERROR(VLOOKUP(C895,'Chart of Accounts'!$A$4:$F$30,4,FALSE),"")</f>
        <v>Trade Receivables</v>
      </c>
      <c r="F895" s="27" t="str">
        <f>IFERROR(VLOOKUP(C895,'Chart of Accounts'!$A$4:$F$30,5,FALSE),"")</f>
        <v>BS</v>
      </c>
      <c r="G895" s="15">
        <v>0</v>
      </c>
      <c r="H895" s="15">
        <v>185693.31740468129</v>
      </c>
      <c r="I895" s="10">
        <f t="shared" si="39"/>
        <v>-185693.31740468129</v>
      </c>
      <c r="J895" s="14" t="s">
        <v>863</v>
      </c>
      <c r="K895" s="14" t="s">
        <v>175</v>
      </c>
      <c r="L895" s="14" t="s">
        <v>176</v>
      </c>
      <c r="M895" s="8" t="str">
        <f t="shared" si="40"/>
        <v>2026-09</v>
      </c>
      <c r="N895" s="8" t="str">
        <f t="shared" si="41"/>
        <v>OK</v>
      </c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 spans="1:52">
      <c r="A896" s="14" t="s">
        <v>864</v>
      </c>
      <c r="B896" s="26">
        <v>46286</v>
      </c>
      <c r="C896" s="14" t="s">
        <v>52</v>
      </c>
      <c r="D896" s="27" t="str">
        <f>IFERROR(VLOOKUP(C896,'Chart of Accounts'!$A$4:$F$30,2,FALSE),"")</f>
        <v>Bank</v>
      </c>
      <c r="E896" s="27" t="str">
        <f>IFERROR(VLOOKUP(C896,'Chart of Accounts'!$A$4:$F$30,4,FALSE),"")</f>
        <v>Cash</v>
      </c>
      <c r="F896" s="27" t="str">
        <f>IFERROR(VLOOKUP(C896,'Chart of Accounts'!$A$4:$F$30,5,FALSE),"")</f>
        <v>BS</v>
      </c>
      <c r="G896" s="15">
        <v>204284.99567283207</v>
      </c>
      <c r="H896" s="15">
        <v>0</v>
      </c>
      <c r="I896" s="10">
        <f t="shared" si="39"/>
        <v>204284.99567283207</v>
      </c>
      <c r="J896" s="14" t="s">
        <v>865</v>
      </c>
      <c r="K896" s="14" t="s">
        <v>175</v>
      </c>
      <c r="L896" s="14" t="s">
        <v>176</v>
      </c>
      <c r="M896" s="8" t="str">
        <f t="shared" si="40"/>
        <v>2026-09</v>
      </c>
      <c r="N896" s="8" t="str">
        <f t="shared" si="41"/>
        <v>OK</v>
      </c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 spans="1:52">
      <c r="A897" s="14" t="s">
        <v>864</v>
      </c>
      <c r="B897" s="26">
        <v>46286</v>
      </c>
      <c r="C897" s="14" t="s">
        <v>58</v>
      </c>
      <c r="D897" s="27" t="str">
        <f>IFERROR(VLOOKUP(C897,'Chart of Accounts'!$A$4:$F$30,2,FALSE),"")</f>
        <v>Trade Receivables</v>
      </c>
      <c r="E897" s="27" t="str">
        <f>IFERROR(VLOOKUP(C897,'Chart of Accounts'!$A$4:$F$30,4,FALSE),"")</f>
        <v>Trade Receivables</v>
      </c>
      <c r="F897" s="27" t="str">
        <f>IFERROR(VLOOKUP(C897,'Chart of Accounts'!$A$4:$F$30,5,FALSE),"")</f>
        <v>BS</v>
      </c>
      <c r="G897" s="15">
        <v>0</v>
      </c>
      <c r="H897" s="15">
        <v>204284.99567283207</v>
      </c>
      <c r="I897" s="10">
        <f t="shared" si="39"/>
        <v>-204284.99567283207</v>
      </c>
      <c r="J897" s="14" t="s">
        <v>865</v>
      </c>
      <c r="K897" s="14" t="s">
        <v>175</v>
      </c>
      <c r="L897" s="14" t="s">
        <v>176</v>
      </c>
      <c r="M897" s="8" t="str">
        <f t="shared" si="40"/>
        <v>2026-09</v>
      </c>
      <c r="N897" s="8" t="str">
        <f t="shared" si="41"/>
        <v>OK</v>
      </c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 spans="1:52">
      <c r="A898" s="14" t="s">
        <v>866</v>
      </c>
      <c r="B898" s="26">
        <v>46273</v>
      </c>
      <c r="C898" s="14" t="s">
        <v>52</v>
      </c>
      <c r="D898" s="27" t="str">
        <f>IFERROR(VLOOKUP(C898,'Chart of Accounts'!$A$4:$F$30,2,FALSE),"")</f>
        <v>Bank</v>
      </c>
      <c r="E898" s="27" t="str">
        <f>IFERROR(VLOOKUP(C898,'Chart of Accounts'!$A$4:$F$30,4,FALSE),"")</f>
        <v>Cash</v>
      </c>
      <c r="F898" s="27" t="str">
        <f>IFERROR(VLOOKUP(C898,'Chart of Accounts'!$A$4:$F$30,5,FALSE),"")</f>
        <v>BS</v>
      </c>
      <c r="G898" s="15">
        <v>135558.98957009151</v>
      </c>
      <c r="H898" s="15">
        <v>0</v>
      </c>
      <c r="I898" s="10">
        <f t="shared" si="39"/>
        <v>135558.98957009151</v>
      </c>
      <c r="J898" s="14" t="s">
        <v>867</v>
      </c>
      <c r="K898" s="14" t="s">
        <v>175</v>
      </c>
      <c r="L898" s="14" t="s">
        <v>176</v>
      </c>
      <c r="M898" s="8" t="str">
        <f t="shared" si="40"/>
        <v>2026-09</v>
      </c>
      <c r="N898" s="8" t="str">
        <f t="shared" si="41"/>
        <v>OK</v>
      </c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 spans="1:52">
      <c r="A899" s="14" t="s">
        <v>866</v>
      </c>
      <c r="B899" s="26">
        <v>46273</v>
      </c>
      <c r="C899" s="14" t="s">
        <v>58</v>
      </c>
      <c r="D899" s="27" t="str">
        <f>IFERROR(VLOOKUP(C899,'Chart of Accounts'!$A$4:$F$30,2,FALSE),"")</f>
        <v>Trade Receivables</v>
      </c>
      <c r="E899" s="27" t="str">
        <f>IFERROR(VLOOKUP(C899,'Chart of Accounts'!$A$4:$F$30,4,FALSE),"")</f>
        <v>Trade Receivables</v>
      </c>
      <c r="F899" s="27" t="str">
        <f>IFERROR(VLOOKUP(C899,'Chart of Accounts'!$A$4:$F$30,5,FALSE),"")</f>
        <v>BS</v>
      </c>
      <c r="G899" s="15">
        <v>0</v>
      </c>
      <c r="H899" s="15">
        <v>135558.98957009151</v>
      </c>
      <c r="I899" s="10">
        <f t="shared" si="39"/>
        <v>-135558.98957009151</v>
      </c>
      <c r="J899" s="14" t="s">
        <v>867</v>
      </c>
      <c r="K899" s="14" t="s">
        <v>175</v>
      </c>
      <c r="L899" s="14" t="s">
        <v>176</v>
      </c>
      <c r="M899" s="8" t="str">
        <f t="shared" si="40"/>
        <v>2026-09</v>
      </c>
      <c r="N899" s="8" t="str">
        <f t="shared" si="41"/>
        <v>OK</v>
      </c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 spans="1:52">
      <c r="A900" s="14" t="s">
        <v>868</v>
      </c>
      <c r="B900" s="26">
        <v>46289</v>
      </c>
      <c r="C900" s="14" t="s">
        <v>52</v>
      </c>
      <c r="D900" s="27" t="str">
        <f>IFERROR(VLOOKUP(C900,'Chart of Accounts'!$A$4:$F$30,2,FALSE),"")</f>
        <v>Bank</v>
      </c>
      <c r="E900" s="27" t="str">
        <f>IFERROR(VLOOKUP(C900,'Chart of Accounts'!$A$4:$F$30,4,FALSE),"")</f>
        <v>Cash</v>
      </c>
      <c r="F900" s="27" t="str">
        <f>IFERROR(VLOOKUP(C900,'Chart of Accounts'!$A$4:$F$30,5,FALSE),"")</f>
        <v>BS</v>
      </c>
      <c r="G900" s="15">
        <v>165490.41160638147</v>
      </c>
      <c r="H900" s="15">
        <v>0</v>
      </c>
      <c r="I900" s="10">
        <f t="shared" ref="I900:I963" si="42">G900-H900</f>
        <v>165490.41160638147</v>
      </c>
      <c r="J900" s="14" t="s">
        <v>869</v>
      </c>
      <c r="K900" s="14" t="s">
        <v>175</v>
      </c>
      <c r="L900" s="14" t="s">
        <v>176</v>
      </c>
      <c r="M900" s="8" t="str">
        <f t="shared" ref="M900:M943" si="43">TEXT(B900,"yyyy-mm")</f>
        <v>2026-09</v>
      </c>
      <c r="N900" s="8" t="str">
        <f t="shared" ref="N900:N943" si="44">"OK"</f>
        <v>OK</v>
      </c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 spans="1:52">
      <c r="A901" s="14" t="s">
        <v>868</v>
      </c>
      <c r="B901" s="26">
        <v>46289</v>
      </c>
      <c r="C901" s="14" t="s">
        <v>58</v>
      </c>
      <c r="D901" s="27" t="str">
        <f>IFERROR(VLOOKUP(C901,'Chart of Accounts'!$A$4:$F$30,2,FALSE),"")</f>
        <v>Trade Receivables</v>
      </c>
      <c r="E901" s="27" t="str">
        <f>IFERROR(VLOOKUP(C901,'Chart of Accounts'!$A$4:$F$30,4,FALSE),"")</f>
        <v>Trade Receivables</v>
      </c>
      <c r="F901" s="27" t="str">
        <f>IFERROR(VLOOKUP(C901,'Chart of Accounts'!$A$4:$F$30,5,FALSE),"")</f>
        <v>BS</v>
      </c>
      <c r="G901" s="15">
        <v>0</v>
      </c>
      <c r="H901" s="15">
        <v>165490.41160638147</v>
      </c>
      <c r="I901" s="10">
        <f t="shared" si="42"/>
        <v>-165490.41160638147</v>
      </c>
      <c r="J901" s="14" t="s">
        <v>869</v>
      </c>
      <c r="K901" s="14" t="s">
        <v>175</v>
      </c>
      <c r="L901" s="14" t="s">
        <v>176</v>
      </c>
      <c r="M901" s="8" t="str">
        <f t="shared" si="43"/>
        <v>2026-09</v>
      </c>
      <c r="N901" s="8" t="str">
        <f t="shared" si="44"/>
        <v>OK</v>
      </c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 spans="1:52">
      <c r="A902" s="14" t="s">
        <v>870</v>
      </c>
      <c r="B902" s="26">
        <v>46284</v>
      </c>
      <c r="C902" s="14" t="s">
        <v>63</v>
      </c>
      <c r="D902" s="27" t="str">
        <f>IFERROR(VLOOKUP(C902,'Chart of Accounts'!$A$4:$F$30,2,FALSE),"")</f>
        <v>Inventory</v>
      </c>
      <c r="E902" s="27" t="str">
        <f>IFERROR(VLOOKUP(C902,'Chart of Accounts'!$A$4:$F$30,4,FALSE),"")</f>
        <v>Inventory</v>
      </c>
      <c r="F902" s="27" t="str">
        <f>IFERROR(VLOOKUP(C902,'Chart of Accounts'!$A$4:$F$30,5,FALSE),"")</f>
        <v>BS</v>
      </c>
      <c r="G902" s="15">
        <v>88884.321595343325</v>
      </c>
      <c r="H902" s="15">
        <v>0</v>
      </c>
      <c r="I902" s="10">
        <f t="shared" si="42"/>
        <v>88884.321595343325</v>
      </c>
      <c r="J902" s="14" t="s">
        <v>871</v>
      </c>
      <c r="K902" s="14" t="s">
        <v>642</v>
      </c>
      <c r="L902" s="14" t="s">
        <v>190</v>
      </c>
      <c r="M902" s="8" t="str">
        <f t="shared" si="43"/>
        <v>2026-09</v>
      </c>
      <c r="N902" s="8" t="str">
        <f t="shared" si="44"/>
        <v>OK</v>
      </c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 spans="1:52">
      <c r="A903" s="14" t="s">
        <v>870</v>
      </c>
      <c r="B903" s="26">
        <v>46284</v>
      </c>
      <c r="C903" s="14" t="s">
        <v>71</v>
      </c>
      <c r="D903" s="27" t="str">
        <f>IFERROR(VLOOKUP(C903,'Chart of Accounts'!$A$4:$F$30,2,FALSE),"")</f>
        <v>Trade Payables</v>
      </c>
      <c r="E903" s="27" t="str">
        <f>IFERROR(VLOOKUP(C903,'Chart of Accounts'!$A$4:$F$30,4,FALSE),"")</f>
        <v>Trade Payables</v>
      </c>
      <c r="F903" s="27" t="str">
        <f>IFERROR(VLOOKUP(C903,'Chart of Accounts'!$A$4:$F$30,5,FALSE),"")</f>
        <v>BS</v>
      </c>
      <c r="G903" s="15">
        <v>0</v>
      </c>
      <c r="H903" s="15">
        <v>88884.321595343325</v>
      </c>
      <c r="I903" s="10">
        <f t="shared" si="42"/>
        <v>-88884.321595343325</v>
      </c>
      <c r="J903" s="14" t="s">
        <v>871</v>
      </c>
      <c r="K903" s="14" t="s">
        <v>642</v>
      </c>
      <c r="L903" s="14" t="s">
        <v>190</v>
      </c>
      <c r="M903" s="8" t="str">
        <f t="shared" si="43"/>
        <v>2026-09</v>
      </c>
      <c r="N903" s="8" t="str">
        <f t="shared" si="44"/>
        <v>OK</v>
      </c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 spans="1:52">
      <c r="A904" s="14" t="s">
        <v>872</v>
      </c>
      <c r="B904" s="26">
        <v>46281</v>
      </c>
      <c r="C904" s="14" t="s">
        <v>63</v>
      </c>
      <c r="D904" s="27" t="str">
        <f>IFERROR(VLOOKUP(C904,'Chart of Accounts'!$A$4:$F$30,2,FALSE),"")</f>
        <v>Inventory</v>
      </c>
      <c r="E904" s="27" t="str">
        <f>IFERROR(VLOOKUP(C904,'Chart of Accounts'!$A$4:$F$30,4,FALSE),"")</f>
        <v>Inventory</v>
      </c>
      <c r="F904" s="27" t="str">
        <f>IFERROR(VLOOKUP(C904,'Chart of Accounts'!$A$4:$F$30,5,FALSE),"")</f>
        <v>BS</v>
      </c>
      <c r="G904" s="15">
        <v>88363.126781559375</v>
      </c>
      <c r="H904" s="15">
        <v>0</v>
      </c>
      <c r="I904" s="10">
        <f t="shared" si="42"/>
        <v>88363.126781559375</v>
      </c>
      <c r="J904" s="14" t="s">
        <v>873</v>
      </c>
      <c r="K904" s="14" t="s">
        <v>196</v>
      </c>
      <c r="L904" s="14" t="s">
        <v>190</v>
      </c>
      <c r="M904" s="8" t="str">
        <f t="shared" si="43"/>
        <v>2026-09</v>
      </c>
      <c r="N904" s="8" t="str">
        <f t="shared" si="44"/>
        <v>OK</v>
      </c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 spans="1:52">
      <c r="A905" s="14" t="s">
        <v>872</v>
      </c>
      <c r="B905" s="26">
        <v>46281</v>
      </c>
      <c r="C905" s="14" t="s">
        <v>71</v>
      </c>
      <c r="D905" s="27" t="str">
        <f>IFERROR(VLOOKUP(C905,'Chart of Accounts'!$A$4:$F$30,2,FALSE),"")</f>
        <v>Trade Payables</v>
      </c>
      <c r="E905" s="27" t="str">
        <f>IFERROR(VLOOKUP(C905,'Chart of Accounts'!$A$4:$F$30,4,FALSE),"")</f>
        <v>Trade Payables</v>
      </c>
      <c r="F905" s="27" t="str">
        <f>IFERROR(VLOOKUP(C905,'Chart of Accounts'!$A$4:$F$30,5,FALSE),"")</f>
        <v>BS</v>
      </c>
      <c r="G905" s="15">
        <v>0</v>
      </c>
      <c r="H905" s="15">
        <v>88363.126781559375</v>
      </c>
      <c r="I905" s="10">
        <f t="shared" si="42"/>
        <v>-88363.126781559375</v>
      </c>
      <c r="J905" s="14" t="s">
        <v>873</v>
      </c>
      <c r="K905" s="14" t="s">
        <v>196</v>
      </c>
      <c r="L905" s="14" t="s">
        <v>190</v>
      </c>
      <c r="M905" s="8" t="str">
        <f t="shared" si="43"/>
        <v>2026-09</v>
      </c>
      <c r="N905" s="8" t="str">
        <f t="shared" si="44"/>
        <v>OK</v>
      </c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 spans="1:52">
      <c r="A906" s="14" t="s">
        <v>874</v>
      </c>
      <c r="B906" s="26">
        <v>46287</v>
      </c>
      <c r="C906" s="14" t="s">
        <v>63</v>
      </c>
      <c r="D906" s="27" t="str">
        <f>IFERROR(VLOOKUP(C906,'Chart of Accounts'!$A$4:$F$30,2,FALSE),"")</f>
        <v>Inventory</v>
      </c>
      <c r="E906" s="27" t="str">
        <f>IFERROR(VLOOKUP(C906,'Chart of Accounts'!$A$4:$F$30,4,FALSE),"")</f>
        <v>Inventory</v>
      </c>
      <c r="F906" s="27" t="str">
        <f>IFERROR(VLOOKUP(C906,'Chart of Accounts'!$A$4:$F$30,5,FALSE),"")</f>
        <v>BS</v>
      </c>
      <c r="G906" s="15">
        <v>77867.473328444728</v>
      </c>
      <c r="H906" s="15">
        <v>0</v>
      </c>
      <c r="I906" s="10">
        <f t="shared" si="42"/>
        <v>77867.473328444728</v>
      </c>
      <c r="J906" s="14" t="s">
        <v>875</v>
      </c>
      <c r="K906" s="14" t="s">
        <v>304</v>
      </c>
      <c r="L906" s="14" t="s">
        <v>190</v>
      </c>
      <c r="M906" s="8" t="str">
        <f t="shared" si="43"/>
        <v>2026-09</v>
      </c>
      <c r="N906" s="8" t="str">
        <f t="shared" si="44"/>
        <v>OK</v>
      </c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 spans="1:52">
      <c r="A907" s="14" t="s">
        <v>874</v>
      </c>
      <c r="B907" s="26">
        <v>46287</v>
      </c>
      <c r="C907" s="14" t="s">
        <v>71</v>
      </c>
      <c r="D907" s="27" t="str">
        <f>IFERROR(VLOOKUP(C907,'Chart of Accounts'!$A$4:$F$30,2,FALSE),"")</f>
        <v>Trade Payables</v>
      </c>
      <c r="E907" s="27" t="str">
        <f>IFERROR(VLOOKUP(C907,'Chart of Accounts'!$A$4:$F$30,4,FALSE),"")</f>
        <v>Trade Payables</v>
      </c>
      <c r="F907" s="27" t="str">
        <f>IFERROR(VLOOKUP(C907,'Chart of Accounts'!$A$4:$F$30,5,FALSE),"")</f>
        <v>BS</v>
      </c>
      <c r="G907" s="15">
        <v>0</v>
      </c>
      <c r="H907" s="15">
        <v>77867.473328444728</v>
      </c>
      <c r="I907" s="10">
        <f t="shared" si="42"/>
        <v>-77867.473328444728</v>
      </c>
      <c r="J907" s="14" t="s">
        <v>875</v>
      </c>
      <c r="K907" s="14" t="s">
        <v>304</v>
      </c>
      <c r="L907" s="14" t="s">
        <v>190</v>
      </c>
      <c r="M907" s="8" t="str">
        <f t="shared" si="43"/>
        <v>2026-09</v>
      </c>
      <c r="N907" s="8" t="str">
        <f t="shared" si="44"/>
        <v>OK</v>
      </c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 spans="1:52">
      <c r="A908" s="14" t="s">
        <v>876</v>
      </c>
      <c r="B908" s="26">
        <v>46267</v>
      </c>
      <c r="C908" s="14" t="s">
        <v>63</v>
      </c>
      <c r="D908" s="27" t="str">
        <f>IFERROR(VLOOKUP(C908,'Chart of Accounts'!$A$4:$F$30,2,FALSE),"")</f>
        <v>Inventory</v>
      </c>
      <c r="E908" s="27" t="str">
        <f>IFERROR(VLOOKUP(C908,'Chart of Accounts'!$A$4:$F$30,4,FALSE),"")</f>
        <v>Inventory</v>
      </c>
      <c r="F908" s="27" t="str">
        <f>IFERROR(VLOOKUP(C908,'Chart of Accounts'!$A$4:$F$30,5,FALSE),"")</f>
        <v>BS</v>
      </c>
      <c r="G908" s="15">
        <v>97832.139296661</v>
      </c>
      <c r="H908" s="15">
        <v>0</v>
      </c>
      <c r="I908" s="10">
        <f t="shared" si="42"/>
        <v>97832.139296661</v>
      </c>
      <c r="J908" s="14" t="s">
        <v>877</v>
      </c>
      <c r="K908" s="14" t="s">
        <v>471</v>
      </c>
      <c r="L908" s="14" t="s">
        <v>190</v>
      </c>
      <c r="M908" s="8" t="str">
        <f t="shared" si="43"/>
        <v>2026-09</v>
      </c>
      <c r="N908" s="8" t="str">
        <f t="shared" si="44"/>
        <v>OK</v>
      </c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 spans="1:52">
      <c r="A909" s="14" t="s">
        <v>876</v>
      </c>
      <c r="B909" s="26">
        <v>46267</v>
      </c>
      <c r="C909" s="14" t="s">
        <v>71</v>
      </c>
      <c r="D909" s="27" t="str">
        <f>IFERROR(VLOOKUP(C909,'Chart of Accounts'!$A$4:$F$30,2,FALSE),"")</f>
        <v>Trade Payables</v>
      </c>
      <c r="E909" s="27" t="str">
        <f>IFERROR(VLOOKUP(C909,'Chart of Accounts'!$A$4:$F$30,4,FALSE),"")</f>
        <v>Trade Payables</v>
      </c>
      <c r="F909" s="27" t="str">
        <f>IFERROR(VLOOKUP(C909,'Chart of Accounts'!$A$4:$F$30,5,FALSE),"")</f>
        <v>BS</v>
      </c>
      <c r="G909" s="15">
        <v>0</v>
      </c>
      <c r="H909" s="15">
        <v>97832.139296661</v>
      </c>
      <c r="I909" s="10">
        <f t="shared" si="42"/>
        <v>-97832.139296661</v>
      </c>
      <c r="J909" s="14" t="s">
        <v>877</v>
      </c>
      <c r="K909" s="14" t="s">
        <v>471</v>
      </c>
      <c r="L909" s="14" t="s">
        <v>190</v>
      </c>
      <c r="M909" s="8" t="str">
        <f t="shared" si="43"/>
        <v>2026-09</v>
      </c>
      <c r="N909" s="8" t="str">
        <f t="shared" si="44"/>
        <v>OK</v>
      </c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 spans="1:52">
      <c r="A910" s="14" t="s">
        <v>878</v>
      </c>
      <c r="B910" s="26">
        <v>46278</v>
      </c>
      <c r="C910" s="14" t="s">
        <v>63</v>
      </c>
      <c r="D910" s="27" t="str">
        <f>IFERROR(VLOOKUP(C910,'Chart of Accounts'!$A$4:$F$30,2,FALSE),"")</f>
        <v>Inventory</v>
      </c>
      <c r="E910" s="27" t="str">
        <f>IFERROR(VLOOKUP(C910,'Chart of Accounts'!$A$4:$F$30,4,FALSE),"")</f>
        <v>Inventory</v>
      </c>
      <c r="F910" s="27" t="str">
        <f>IFERROR(VLOOKUP(C910,'Chart of Accounts'!$A$4:$F$30,5,FALSE),"")</f>
        <v>BS</v>
      </c>
      <c r="G910" s="15">
        <v>90914.544148728339</v>
      </c>
      <c r="H910" s="15">
        <v>0</v>
      </c>
      <c r="I910" s="10">
        <f t="shared" si="42"/>
        <v>90914.544148728339</v>
      </c>
      <c r="J910" s="14" t="s">
        <v>879</v>
      </c>
      <c r="K910" s="14" t="s">
        <v>633</v>
      </c>
      <c r="L910" s="14" t="s">
        <v>190</v>
      </c>
      <c r="M910" s="8" t="str">
        <f t="shared" si="43"/>
        <v>2026-09</v>
      </c>
      <c r="N910" s="8" t="str">
        <f t="shared" si="44"/>
        <v>OK</v>
      </c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 spans="1:52">
      <c r="A911" s="14" t="s">
        <v>878</v>
      </c>
      <c r="B911" s="26">
        <v>46278</v>
      </c>
      <c r="C911" s="14" t="s">
        <v>71</v>
      </c>
      <c r="D911" s="27" t="str">
        <f>IFERROR(VLOOKUP(C911,'Chart of Accounts'!$A$4:$F$30,2,FALSE),"")</f>
        <v>Trade Payables</v>
      </c>
      <c r="E911" s="27" t="str">
        <f>IFERROR(VLOOKUP(C911,'Chart of Accounts'!$A$4:$F$30,4,FALSE),"")</f>
        <v>Trade Payables</v>
      </c>
      <c r="F911" s="27" t="str">
        <f>IFERROR(VLOOKUP(C911,'Chart of Accounts'!$A$4:$F$30,5,FALSE),"")</f>
        <v>BS</v>
      </c>
      <c r="G911" s="15">
        <v>0</v>
      </c>
      <c r="H911" s="15">
        <v>90914.544148728339</v>
      </c>
      <c r="I911" s="10">
        <f t="shared" si="42"/>
        <v>-90914.544148728339</v>
      </c>
      <c r="J911" s="14" t="s">
        <v>879</v>
      </c>
      <c r="K911" s="14" t="s">
        <v>633</v>
      </c>
      <c r="L911" s="14" t="s">
        <v>190</v>
      </c>
      <c r="M911" s="8" t="str">
        <f t="shared" si="43"/>
        <v>2026-09</v>
      </c>
      <c r="N911" s="8" t="str">
        <f t="shared" si="44"/>
        <v>OK</v>
      </c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 spans="1:52">
      <c r="A912" s="14" t="s">
        <v>880</v>
      </c>
      <c r="B912" s="26">
        <v>46267</v>
      </c>
      <c r="C912" s="14" t="s">
        <v>63</v>
      </c>
      <c r="D912" s="27" t="str">
        <f>IFERROR(VLOOKUP(C912,'Chart of Accounts'!$A$4:$F$30,2,FALSE),"")</f>
        <v>Inventory</v>
      </c>
      <c r="E912" s="27" t="str">
        <f>IFERROR(VLOOKUP(C912,'Chart of Accounts'!$A$4:$F$30,4,FALSE),"")</f>
        <v>Inventory</v>
      </c>
      <c r="F912" s="27" t="str">
        <f>IFERROR(VLOOKUP(C912,'Chart of Accounts'!$A$4:$F$30,5,FALSE),"")</f>
        <v>BS</v>
      </c>
      <c r="G912" s="15">
        <v>109313.39484926313</v>
      </c>
      <c r="H912" s="15">
        <v>0</v>
      </c>
      <c r="I912" s="10">
        <f t="shared" si="42"/>
        <v>109313.39484926313</v>
      </c>
      <c r="J912" s="14" t="s">
        <v>881</v>
      </c>
      <c r="K912" s="14" t="s">
        <v>882</v>
      </c>
      <c r="L912" s="14" t="s">
        <v>190</v>
      </c>
      <c r="M912" s="8" t="str">
        <f t="shared" si="43"/>
        <v>2026-09</v>
      </c>
      <c r="N912" s="8" t="str">
        <f t="shared" si="44"/>
        <v>OK</v>
      </c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 spans="1:52">
      <c r="A913" s="14" t="s">
        <v>880</v>
      </c>
      <c r="B913" s="26">
        <v>46267</v>
      </c>
      <c r="C913" s="14" t="s">
        <v>71</v>
      </c>
      <c r="D913" s="27" t="str">
        <f>IFERROR(VLOOKUP(C913,'Chart of Accounts'!$A$4:$F$30,2,FALSE),"")</f>
        <v>Trade Payables</v>
      </c>
      <c r="E913" s="27" t="str">
        <f>IFERROR(VLOOKUP(C913,'Chart of Accounts'!$A$4:$F$30,4,FALSE),"")</f>
        <v>Trade Payables</v>
      </c>
      <c r="F913" s="27" t="str">
        <f>IFERROR(VLOOKUP(C913,'Chart of Accounts'!$A$4:$F$30,5,FALSE),"")</f>
        <v>BS</v>
      </c>
      <c r="G913" s="15">
        <v>0</v>
      </c>
      <c r="H913" s="15">
        <v>109313.39484926313</v>
      </c>
      <c r="I913" s="10">
        <f t="shared" si="42"/>
        <v>-109313.39484926313</v>
      </c>
      <c r="J913" s="14" t="s">
        <v>881</v>
      </c>
      <c r="K913" s="14" t="s">
        <v>882</v>
      </c>
      <c r="L913" s="14" t="s">
        <v>190</v>
      </c>
      <c r="M913" s="8" t="str">
        <f t="shared" si="43"/>
        <v>2026-09</v>
      </c>
      <c r="N913" s="8" t="str">
        <f t="shared" si="44"/>
        <v>OK</v>
      </c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 spans="1:52">
      <c r="A914" s="14" t="s">
        <v>883</v>
      </c>
      <c r="B914" s="26">
        <v>46283</v>
      </c>
      <c r="C914" s="14" t="s">
        <v>71</v>
      </c>
      <c r="D914" s="27" t="str">
        <f>IFERROR(VLOOKUP(C914,'Chart of Accounts'!$A$4:$F$30,2,FALSE),"")</f>
        <v>Trade Payables</v>
      </c>
      <c r="E914" s="27" t="str">
        <f>IFERROR(VLOOKUP(C914,'Chart of Accounts'!$A$4:$F$30,4,FALSE),"")</f>
        <v>Trade Payables</v>
      </c>
      <c r="F914" s="27" t="str">
        <f>IFERROR(VLOOKUP(C914,'Chart of Accounts'!$A$4:$F$30,5,FALSE),"")</f>
        <v>BS</v>
      </c>
      <c r="G914" s="15">
        <v>81375.183804365399</v>
      </c>
      <c r="H914" s="15">
        <v>0</v>
      </c>
      <c r="I914" s="10">
        <f t="shared" si="42"/>
        <v>81375.183804365399</v>
      </c>
      <c r="J914" s="14" t="s">
        <v>884</v>
      </c>
      <c r="K914" s="14" t="s">
        <v>207</v>
      </c>
      <c r="L914" s="14" t="s">
        <v>208</v>
      </c>
      <c r="M914" s="8" t="str">
        <f t="shared" si="43"/>
        <v>2026-09</v>
      </c>
      <c r="N914" s="8" t="str">
        <f t="shared" si="44"/>
        <v>OK</v>
      </c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 spans="1:52">
      <c r="A915" s="14" t="s">
        <v>883</v>
      </c>
      <c r="B915" s="26">
        <v>46283</v>
      </c>
      <c r="C915" s="14" t="s">
        <v>52</v>
      </c>
      <c r="D915" s="27" t="str">
        <f>IFERROR(VLOOKUP(C915,'Chart of Accounts'!$A$4:$F$30,2,FALSE),"")</f>
        <v>Bank</v>
      </c>
      <c r="E915" s="27" t="str">
        <f>IFERROR(VLOOKUP(C915,'Chart of Accounts'!$A$4:$F$30,4,FALSE),"")</f>
        <v>Cash</v>
      </c>
      <c r="F915" s="27" t="str">
        <f>IFERROR(VLOOKUP(C915,'Chart of Accounts'!$A$4:$F$30,5,FALSE),"")</f>
        <v>BS</v>
      </c>
      <c r="G915" s="15">
        <v>0</v>
      </c>
      <c r="H915" s="15">
        <v>81375.183804365399</v>
      </c>
      <c r="I915" s="10">
        <f t="shared" si="42"/>
        <v>-81375.183804365399</v>
      </c>
      <c r="J915" s="14" t="s">
        <v>884</v>
      </c>
      <c r="K915" s="14" t="s">
        <v>207</v>
      </c>
      <c r="L915" s="14" t="s">
        <v>208</v>
      </c>
      <c r="M915" s="8" t="str">
        <f t="shared" si="43"/>
        <v>2026-09</v>
      </c>
      <c r="N915" s="8" t="str">
        <f t="shared" si="44"/>
        <v>OK</v>
      </c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 spans="1:52">
      <c r="A916" s="14" t="s">
        <v>885</v>
      </c>
      <c r="B916" s="26">
        <v>46274</v>
      </c>
      <c r="C916" s="14" t="s">
        <v>71</v>
      </c>
      <c r="D916" s="27" t="str">
        <f>IFERROR(VLOOKUP(C916,'Chart of Accounts'!$A$4:$F$30,2,FALSE),"")</f>
        <v>Trade Payables</v>
      </c>
      <c r="E916" s="27" t="str">
        <f>IFERROR(VLOOKUP(C916,'Chart of Accounts'!$A$4:$F$30,4,FALSE),"")</f>
        <v>Trade Payables</v>
      </c>
      <c r="F916" s="27" t="str">
        <f>IFERROR(VLOOKUP(C916,'Chart of Accounts'!$A$4:$F$30,5,FALSE),"")</f>
        <v>BS</v>
      </c>
      <c r="G916" s="15">
        <v>119451.93978198463</v>
      </c>
      <c r="H916" s="15">
        <v>0</v>
      </c>
      <c r="I916" s="10">
        <f t="shared" si="42"/>
        <v>119451.93978198463</v>
      </c>
      <c r="J916" s="14" t="s">
        <v>886</v>
      </c>
      <c r="K916" s="14" t="s">
        <v>207</v>
      </c>
      <c r="L916" s="14" t="s">
        <v>208</v>
      </c>
      <c r="M916" s="8" t="str">
        <f t="shared" si="43"/>
        <v>2026-09</v>
      </c>
      <c r="N916" s="8" t="str">
        <f t="shared" si="44"/>
        <v>OK</v>
      </c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 spans="1:52">
      <c r="A917" s="14" t="s">
        <v>885</v>
      </c>
      <c r="B917" s="26">
        <v>46274</v>
      </c>
      <c r="C917" s="14" t="s">
        <v>52</v>
      </c>
      <c r="D917" s="27" t="str">
        <f>IFERROR(VLOOKUP(C917,'Chart of Accounts'!$A$4:$F$30,2,FALSE),"")</f>
        <v>Bank</v>
      </c>
      <c r="E917" s="27" t="str">
        <f>IFERROR(VLOOKUP(C917,'Chart of Accounts'!$A$4:$F$30,4,FALSE),"")</f>
        <v>Cash</v>
      </c>
      <c r="F917" s="27" t="str">
        <f>IFERROR(VLOOKUP(C917,'Chart of Accounts'!$A$4:$F$30,5,FALSE),"")</f>
        <v>BS</v>
      </c>
      <c r="G917" s="15">
        <v>0</v>
      </c>
      <c r="H917" s="15">
        <v>119451.93978198463</v>
      </c>
      <c r="I917" s="10">
        <f t="shared" si="42"/>
        <v>-119451.93978198463</v>
      </c>
      <c r="J917" s="14" t="s">
        <v>886</v>
      </c>
      <c r="K917" s="14" t="s">
        <v>207</v>
      </c>
      <c r="L917" s="14" t="s">
        <v>208</v>
      </c>
      <c r="M917" s="8" t="str">
        <f t="shared" si="43"/>
        <v>2026-09</v>
      </c>
      <c r="N917" s="8" t="str">
        <f t="shared" si="44"/>
        <v>OK</v>
      </c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 spans="1:52">
      <c r="A918" s="14" t="s">
        <v>887</v>
      </c>
      <c r="B918" s="26">
        <v>46278</v>
      </c>
      <c r="C918" s="14" t="s">
        <v>71</v>
      </c>
      <c r="D918" s="27" t="str">
        <f>IFERROR(VLOOKUP(C918,'Chart of Accounts'!$A$4:$F$30,2,FALSE),"")</f>
        <v>Trade Payables</v>
      </c>
      <c r="E918" s="27" t="str">
        <f>IFERROR(VLOOKUP(C918,'Chart of Accounts'!$A$4:$F$30,4,FALSE),"")</f>
        <v>Trade Payables</v>
      </c>
      <c r="F918" s="27" t="str">
        <f>IFERROR(VLOOKUP(C918,'Chart of Accounts'!$A$4:$F$30,5,FALSE),"")</f>
        <v>BS</v>
      </c>
      <c r="G918" s="15">
        <v>141895.82697527885</v>
      </c>
      <c r="H918" s="15">
        <v>0</v>
      </c>
      <c r="I918" s="10">
        <f t="shared" si="42"/>
        <v>141895.82697527885</v>
      </c>
      <c r="J918" s="14" t="s">
        <v>888</v>
      </c>
      <c r="K918" s="14" t="s">
        <v>207</v>
      </c>
      <c r="L918" s="14" t="s">
        <v>208</v>
      </c>
      <c r="M918" s="8" t="str">
        <f t="shared" si="43"/>
        <v>2026-09</v>
      </c>
      <c r="N918" s="8" t="str">
        <f t="shared" si="44"/>
        <v>OK</v>
      </c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 spans="1:52">
      <c r="A919" s="14" t="s">
        <v>887</v>
      </c>
      <c r="B919" s="26">
        <v>46278</v>
      </c>
      <c r="C919" s="14" t="s">
        <v>52</v>
      </c>
      <c r="D919" s="27" t="str">
        <f>IFERROR(VLOOKUP(C919,'Chart of Accounts'!$A$4:$F$30,2,FALSE),"")</f>
        <v>Bank</v>
      </c>
      <c r="E919" s="27" t="str">
        <f>IFERROR(VLOOKUP(C919,'Chart of Accounts'!$A$4:$F$30,4,FALSE),"")</f>
        <v>Cash</v>
      </c>
      <c r="F919" s="27" t="str">
        <f>IFERROR(VLOOKUP(C919,'Chart of Accounts'!$A$4:$F$30,5,FALSE),"")</f>
        <v>BS</v>
      </c>
      <c r="G919" s="15">
        <v>0</v>
      </c>
      <c r="H919" s="15">
        <v>141895.82697527885</v>
      </c>
      <c r="I919" s="10">
        <f t="shared" si="42"/>
        <v>-141895.82697527885</v>
      </c>
      <c r="J919" s="14" t="s">
        <v>888</v>
      </c>
      <c r="K919" s="14" t="s">
        <v>207</v>
      </c>
      <c r="L919" s="14" t="s">
        <v>208</v>
      </c>
      <c r="M919" s="8" t="str">
        <f t="shared" si="43"/>
        <v>2026-09</v>
      </c>
      <c r="N919" s="8" t="str">
        <f t="shared" si="44"/>
        <v>OK</v>
      </c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 spans="1:52">
      <c r="A920" s="14" t="s">
        <v>889</v>
      </c>
      <c r="B920" s="26">
        <v>46284</v>
      </c>
      <c r="C920" s="14" t="s">
        <v>71</v>
      </c>
      <c r="D920" s="27" t="str">
        <f>IFERROR(VLOOKUP(C920,'Chart of Accounts'!$A$4:$F$30,2,FALSE),"")</f>
        <v>Trade Payables</v>
      </c>
      <c r="E920" s="27" t="str">
        <f>IFERROR(VLOOKUP(C920,'Chart of Accounts'!$A$4:$F$30,4,FALSE),"")</f>
        <v>Trade Payables</v>
      </c>
      <c r="F920" s="27" t="str">
        <f>IFERROR(VLOOKUP(C920,'Chart of Accounts'!$A$4:$F$30,5,FALSE),"")</f>
        <v>BS</v>
      </c>
      <c r="G920" s="15">
        <v>99967.502837568332</v>
      </c>
      <c r="H920" s="15">
        <v>0</v>
      </c>
      <c r="I920" s="10">
        <f t="shared" si="42"/>
        <v>99967.502837568332</v>
      </c>
      <c r="J920" s="14" t="s">
        <v>890</v>
      </c>
      <c r="K920" s="14" t="s">
        <v>207</v>
      </c>
      <c r="L920" s="14" t="s">
        <v>208</v>
      </c>
      <c r="M920" s="8" t="str">
        <f t="shared" si="43"/>
        <v>2026-09</v>
      </c>
      <c r="N920" s="8" t="str">
        <f t="shared" si="44"/>
        <v>OK</v>
      </c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 spans="1:52">
      <c r="A921" s="14" t="s">
        <v>889</v>
      </c>
      <c r="B921" s="26">
        <v>46284</v>
      </c>
      <c r="C921" s="14" t="s">
        <v>52</v>
      </c>
      <c r="D921" s="27" t="str">
        <f>IFERROR(VLOOKUP(C921,'Chart of Accounts'!$A$4:$F$30,2,FALSE),"")</f>
        <v>Bank</v>
      </c>
      <c r="E921" s="27" t="str">
        <f>IFERROR(VLOOKUP(C921,'Chart of Accounts'!$A$4:$F$30,4,FALSE),"")</f>
        <v>Cash</v>
      </c>
      <c r="F921" s="27" t="str">
        <f>IFERROR(VLOOKUP(C921,'Chart of Accounts'!$A$4:$F$30,5,FALSE),"")</f>
        <v>BS</v>
      </c>
      <c r="G921" s="15">
        <v>0</v>
      </c>
      <c r="H921" s="15">
        <v>99967.502837568332</v>
      </c>
      <c r="I921" s="10">
        <f t="shared" si="42"/>
        <v>-99967.502837568332</v>
      </c>
      <c r="J921" s="14" t="s">
        <v>890</v>
      </c>
      <c r="K921" s="14" t="s">
        <v>207</v>
      </c>
      <c r="L921" s="14" t="s">
        <v>208</v>
      </c>
      <c r="M921" s="8" t="str">
        <f t="shared" si="43"/>
        <v>2026-09</v>
      </c>
      <c r="N921" s="8" t="str">
        <f t="shared" si="44"/>
        <v>OK</v>
      </c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 spans="1:52">
      <c r="A922" s="14" t="s">
        <v>891</v>
      </c>
      <c r="B922" s="26">
        <v>46291</v>
      </c>
      <c r="C922" s="14" t="s">
        <v>71</v>
      </c>
      <c r="D922" s="27" t="str">
        <f>IFERROR(VLOOKUP(C922,'Chart of Accounts'!$A$4:$F$30,2,FALSE),"")</f>
        <v>Trade Payables</v>
      </c>
      <c r="E922" s="27" t="str">
        <f>IFERROR(VLOOKUP(C922,'Chart of Accounts'!$A$4:$F$30,4,FALSE),"")</f>
        <v>Trade Payables</v>
      </c>
      <c r="F922" s="27" t="str">
        <f>IFERROR(VLOOKUP(C922,'Chart of Accounts'!$A$4:$F$30,5,FALSE),"")</f>
        <v>BS</v>
      </c>
      <c r="G922" s="15">
        <v>93889.296600802685</v>
      </c>
      <c r="H922" s="15">
        <v>0</v>
      </c>
      <c r="I922" s="10">
        <f t="shared" si="42"/>
        <v>93889.296600802685</v>
      </c>
      <c r="J922" s="14" t="s">
        <v>892</v>
      </c>
      <c r="K922" s="14" t="s">
        <v>207</v>
      </c>
      <c r="L922" s="14" t="s">
        <v>208</v>
      </c>
      <c r="M922" s="8" t="str">
        <f t="shared" si="43"/>
        <v>2026-09</v>
      </c>
      <c r="N922" s="8" t="str">
        <f t="shared" si="44"/>
        <v>OK</v>
      </c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 spans="1:52">
      <c r="A923" s="14" t="s">
        <v>891</v>
      </c>
      <c r="B923" s="26">
        <v>46291</v>
      </c>
      <c r="C923" s="14" t="s">
        <v>52</v>
      </c>
      <c r="D923" s="27" t="str">
        <f>IFERROR(VLOOKUP(C923,'Chart of Accounts'!$A$4:$F$30,2,FALSE),"")</f>
        <v>Bank</v>
      </c>
      <c r="E923" s="27" t="str">
        <f>IFERROR(VLOOKUP(C923,'Chart of Accounts'!$A$4:$F$30,4,FALSE),"")</f>
        <v>Cash</v>
      </c>
      <c r="F923" s="27" t="str">
        <f>IFERROR(VLOOKUP(C923,'Chart of Accounts'!$A$4:$F$30,5,FALSE),"")</f>
        <v>BS</v>
      </c>
      <c r="G923" s="15">
        <v>0</v>
      </c>
      <c r="H923" s="15">
        <v>93889.296600802685</v>
      </c>
      <c r="I923" s="10">
        <f t="shared" si="42"/>
        <v>-93889.296600802685</v>
      </c>
      <c r="J923" s="14" t="s">
        <v>892</v>
      </c>
      <c r="K923" s="14" t="s">
        <v>207</v>
      </c>
      <c r="L923" s="14" t="s">
        <v>208</v>
      </c>
      <c r="M923" s="8" t="str">
        <f t="shared" si="43"/>
        <v>2026-09</v>
      </c>
      <c r="N923" s="8" t="str">
        <f t="shared" si="44"/>
        <v>OK</v>
      </c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 spans="1:52">
      <c r="A924" s="14" t="s">
        <v>893</v>
      </c>
      <c r="B924" s="26">
        <v>46290</v>
      </c>
      <c r="C924" s="14" t="s">
        <v>94</v>
      </c>
      <c r="D924" s="27" t="str">
        <f>IFERROR(VLOOKUP(C924,'Chart of Accounts'!$A$4:$F$30,2,FALSE),"")</f>
        <v>Salaries &amp; Wages</v>
      </c>
      <c r="E924" s="27" t="str">
        <f>IFERROR(VLOOKUP(C924,'Chart of Accounts'!$A$4:$F$30,4,FALSE),"")</f>
        <v>Salaries</v>
      </c>
      <c r="F924" s="27" t="str">
        <f>IFERROR(VLOOKUP(C924,'Chart of Accounts'!$A$4:$F$30,5,FALSE),"")</f>
        <v>PL</v>
      </c>
      <c r="G924" s="15">
        <v>193218.53594825338</v>
      </c>
      <c r="H924" s="15">
        <v>0</v>
      </c>
      <c r="I924" s="10">
        <f t="shared" si="42"/>
        <v>193218.53594825338</v>
      </c>
      <c r="J924" s="14" t="s">
        <v>894</v>
      </c>
      <c r="K924" s="14" t="s">
        <v>219</v>
      </c>
      <c r="L924" s="14" t="s">
        <v>220</v>
      </c>
      <c r="M924" s="8" t="str">
        <f t="shared" si="43"/>
        <v>2026-09</v>
      </c>
      <c r="N924" s="8" t="str">
        <f t="shared" si="44"/>
        <v>OK</v>
      </c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 spans="1:52">
      <c r="A925" s="14" t="s">
        <v>893</v>
      </c>
      <c r="B925" s="26">
        <v>46290</v>
      </c>
      <c r="C925" s="14" t="s">
        <v>97</v>
      </c>
      <c r="D925" s="27" t="str">
        <f>IFERROR(VLOOKUP(C925,'Chart of Accounts'!$A$4:$F$30,2,FALSE),"")</f>
        <v>Employer NI &amp; Pension</v>
      </c>
      <c r="E925" s="27" t="str">
        <f>IFERROR(VLOOKUP(C925,'Chart of Accounts'!$A$4:$F$30,4,FALSE),"")</f>
        <v>Employer Costs</v>
      </c>
      <c r="F925" s="27" t="str">
        <f>IFERROR(VLOOKUP(C925,'Chart of Accounts'!$A$4:$F$30,5,FALSE),"")</f>
        <v>PL</v>
      </c>
      <c r="G925" s="15">
        <v>26084.50235301421</v>
      </c>
      <c r="H925" s="15">
        <v>0</v>
      </c>
      <c r="I925" s="10">
        <f t="shared" si="42"/>
        <v>26084.50235301421</v>
      </c>
      <c r="J925" s="14" t="s">
        <v>894</v>
      </c>
      <c r="K925" s="14" t="s">
        <v>219</v>
      </c>
      <c r="L925" s="14" t="s">
        <v>220</v>
      </c>
      <c r="M925" s="8" t="str">
        <f t="shared" si="43"/>
        <v>2026-09</v>
      </c>
      <c r="N925" s="8" t="str">
        <f t="shared" si="44"/>
        <v>OK</v>
      </c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 spans="1:52">
      <c r="A926" s="14" t="s">
        <v>893</v>
      </c>
      <c r="B926" s="26">
        <v>46290</v>
      </c>
      <c r="C926" s="14" t="s">
        <v>52</v>
      </c>
      <c r="D926" s="27" t="str">
        <f>IFERROR(VLOOKUP(C926,'Chart of Accounts'!$A$4:$F$30,2,FALSE),"")</f>
        <v>Bank</v>
      </c>
      <c r="E926" s="27" t="str">
        <f>IFERROR(VLOOKUP(C926,'Chart of Accounts'!$A$4:$F$30,4,FALSE),"")</f>
        <v>Cash</v>
      </c>
      <c r="F926" s="27" t="str">
        <f>IFERROR(VLOOKUP(C926,'Chart of Accounts'!$A$4:$F$30,5,FALSE),"")</f>
        <v>BS</v>
      </c>
      <c r="G926" s="15">
        <v>0</v>
      </c>
      <c r="H926" s="15">
        <v>204811.6481051486</v>
      </c>
      <c r="I926" s="10">
        <f t="shared" si="42"/>
        <v>-204811.6481051486</v>
      </c>
      <c r="J926" s="14" t="s">
        <v>894</v>
      </c>
      <c r="K926" s="14" t="s">
        <v>219</v>
      </c>
      <c r="L926" s="14" t="s">
        <v>220</v>
      </c>
      <c r="M926" s="8" t="str">
        <f t="shared" si="43"/>
        <v>2026-09</v>
      </c>
      <c r="N926" s="8" t="str">
        <f t="shared" si="44"/>
        <v>OK</v>
      </c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 spans="1:52">
      <c r="A927" s="14" t="s">
        <v>893</v>
      </c>
      <c r="B927" s="26">
        <v>46290</v>
      </c>
      <c r="C927" s="14" t="s">
        <v>76</v>
      </c>
      <c r="D927" s="27" t="str">
        <f>IFERROR(VLOOKUP(C927,'Chart of Accounts'!$A$4:$F$30,2,FALSE),"")</f>
        <v>Payroll Liabilities</v>
      </c>
      <c r="E927" s="27" t="str">
        <f>IFERROR(VLOOKUP(C927,'Chart of Accounts'!$A$4:$F$30,4,FALSE),"")</f>
        <v>Payroll Liabilities</v>
      </c>
      <c r="F927" s="27" t="str">
        <f>IFERROR(VLOOKUP(C927,'Chart of Accounts'!$A$4:$F$30,5,FALSE),"")</f>
        <v>BS</v>
      </c>
      <c r="G927" s="15">
        <v>0</v>
      </c>
      <c r="H927" s="15">
        <v>14491.390196119004</v>
      </c>
      <c r="I927" s="10">
        <f t="shared" si="42"/>
        <v>-14491.390196119004</v>
      </c>
      <c r="J927" s="14" t="s">
        <v>894</v>
      </c>
      <c r="K927" s="14" t="s">
        <v>219</v>
      </c>
      <c r="L927" s="14" t="s">
        <v>220</v>
      </c>
      <c r="M927" s="8" t="str">
        <f t="shared" si="43"/>
        <v>2026-09</v>
      </c>
      <c r="N927" s="8" t="str">
        <f t="shared" si="44"/>
        <v>OK</v>
      </c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 spans="1:52">
      <c r="A928" s="14" t="s">
        <v>895</v>
      </c>
      <c r="B928" s="26">
        <v>46293</v>
      </c>
      <c r="C928" s="14" t="s">
        <v>76</v>
      </c>
      <c r="D928" s="27" t="str">
        <f>IFERROR(VLOOKUP(C928,'Chart of Accounts'!$A$4:$F$30,2,FALSE),"")</f>
        <v>Payroll Liabilities</v>
      </c>
      <c r="E928" s="27" t="str">
        <f>IFERROR(VLOOKUP(C928,'Chart of Accounts'!$A$4:$F$30,4,FALSE),"")</f>
        <v>Payroll Liabilities</v>
      </c>
      <c r="F928" s="27" t="str">
        <f>IFERROR(VLOOKUP(C928,'Chart of Accounts'!$A$4:$F$30,5,FALSE),"")</f>
        <v>BS</v>
      </c>
      <c r="G928" s="15">
        <v>14491.390196119004</v>
      </c>
      <c r="H928" s="15">
        <v>0</v>
      </c>
      <c r="I928" s="10">
        <f t="shared" si="42"/>
        <v>14491.390196119004</v>
      </c>
      <c r="J928" s="14" t="s">
        <v>896</v>
      </c>
      <c r="K928" s="14" t="s">
        <v>223</v>
      </c>
      <c r="L928" s="14" t="s">
        <v>220</v>
      </c>
      <c r="M928" s="8" t="str">
        <f t="shared" si="43"/>
        <v>2026-09</v>
      </c>
      <c r="N928" s="8" t="str">
        <f t="shared" si="44"/>
        <v>OK</v>
      </c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 spans="1:52">
      <c r="A929" s="14" t="s">
        <v>895</v>
      </c>
      <c r="B929" s="26">
        <v>46293</v>
      </c>
      <c r="C929" s="14" t="s">
        <v>52</v>
      </c>
      <c r="D929" s="27" t="str">
        <f>IFERROR(VLOOKUP(C929,'Chart of Accounts'!$A$4:$F$30,2,FALSE),"")</f>
        <v>Bank</v>
      </c>
      <c r="E929" s="27" t="str">
        <f>IFERROR(VLOOKUP(C929,'Chart of Accounts'!$A$4:$F$30,4,FALSE),"")</f>
        <v>Cash</v>
      </c>
      <c r="F929" s="27" t="str">
        <f>IFERROR(VLOOKUP(C929,'Chart of Accounts'!$A$4:$F$30,5,FALSE),"")</f>
        <v>BS</v>
      </c>
      <c r="G929" s="15">
        <v>0</v>
      </c>
      <c r="H929" s="15">
        <v>14491.390196119004</v>
      </c>
      <c r="I929" s="10">
        <f t="shared" si="42"/>
        <v>-14491.390196119004</v>
      </c>
      <c r="J929" s="14" t="s">
        <v>896</v>
      </c>
      <c r="K929" s="14" t="s">
        <v>223</v>
      </c>
      <c r="L929" s="14" t="s">
        <v>220</v>
      </c>
      <c r="M929" s="8" t="str">
        <f t="shared" si="43"/>
        <v>2026-09</v>
      </c>
      <c r="N929" s="8" t="str">
        <f t="shared" si="44"/>
        <v>OK</v>
      </c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 spans="1:52">
      <c r="A930" s="14" t="s">
        <v>897</v>
      </c>
      <c r="B930" s="26">
        <v>46283</v>
      </c>
      <c r="C930" s="14" t="s">
        <v>100</v>
      </c>
      <c r="D930" s="27" t="str">
        <f>IFERROR(VLOOKUP(C930,'Chart of Accounts'!$A$4:$F$30,2,FALSE),"")</f>
        <v>Marketing</v>
      </c>
      <c r="E930" s="27" t="str">
        <f>IFERROR(VLOOKUP(C930,'Chart of Accounts'!$A$4:$F$30,4,FALSE),"")</f>
        <v>Marketing</v>
      </c>
      <c r="F930" s="27" t="str">
        <f>IFERROR(VLOOKUP(C930,'Chart of Accounts'!$A$4:$F$30,5,FALSE),"")</f>
        <v>PL</v>
      </c>
      <c r="G930" s="15">
        <v>72743.532619597114</v>
      </c>
      <c r="H930" s="15">
        <v>0</v>
      </c>
      <c r="I930" s="10">
        <f t="shared" si="42"/>
        <v>72743.532619597114</v>
      </c>
      <c r="J930" s="14" t="s">
        <v>898</v>
      </c>
      <c r="K930" s="14" t="s">
        <v>226</v>
      </c>
      <c r="L930" s="14" t="s">
        <v>190</v>
      </c>
      <c r="M930" s="8" t="str">
        <f t="shared" si="43"/>
        <v>2026-09</v>
      </c>
      <c r="N930" s="8" t="str">
        <f t="shared" si="44"/>
        <v>OK</v>
      </c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 spans="1:52">
      <c r="A931" s="14" t="s">
        <v>897</v>
      </c>
      <c r="B931" s="26">
        <v>46283</v>
      </c>
      <c r="C931" s="14" t="s">
        <v>71</v>
      </c>
      <c r="D931" s="27" t="str">
        <f>IFERROR(VLOOKUP(C931,'Chart of Accounts'!$A$4:$F$30,2,FALSE),"")</f>
        <v>Trade Payables</v>
      </c>
      <c r="E931" s="27" t="str">
        <f>IFERROR(VLOOKUP(C931,'Chart of Accounts'!$A$4:$F$30,4,FALSE),"")</f>
        <v>Trade Payables</v>
      </c>
      <c r="F931" s="27" t="str">
        <f>IFERROR(VLOOKUP(C931,'Chart of Accounts'!$A$4:$F$30,5,FALSE),"")</f>
        <v>BS</v>
      </c>
      <c r="G931" s="15">
        <v>0</v>
      </c>
      <c r="H931" s="15">
        <v>72743.532619597114</v>
      </c>
      <c r="I931" s="10">
        <f t="shared" si="42"/>
        <v>-72743.532619597114</v>
      </c>
      <c r="J931" s="14" t="s">
        <v>898</v>
      </c>
      <c r="K931" s="14" t="s">
        <v>226</v>
      </c>
      <c r="L931" s="14" t="s">
        <v>190</v>
      </c>
      <c r="M931" s="8" t="str">
        <f t="shared" si="43"/>
        <v>2026-09</v>
      </c>
      <c r="N931" s="8" t="str">
        <f t="shared" si="44"/>
        <v>OK</v>
      </c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 spans="1:52">
      <c r="A932" s="14" t="s">
        <v>899</v>
      </c>
      <c r="B932" s="26">
        <v>46266</v>
      </c>
      <c r="C932" s="14" t="s">
        <v>102</v>
      </c>
      <c r="D932" s="27" t="str">
        <f>IFERROR(VLOOKUP(C932,'Chart of Accounts'!$A$4:$F$30,2,FALSE),"")</f>
        <v>Rent</v>
      </c>
      <c r="E932" s="27" t="str">
        <f>IFERROR(VLOOKUP(C932,'Chart of Accounts'!$A$4:$F$30,4,FALSE),"")</f>
        <v>Rent</v>
      </c>
      <c r="F932" s="27" t="str">
        <f>IFERROR(VLOOKUP(C932,'Chart of Accounts'!$A$4:$F$30,5,FALSE),"")</f>
        <v>PL</v>
      </c>
      <c r="G932" s="15">
        <v>52000</v>
      </c>
      <c r="H932" s="15">
        <v>0</v>
      </c>
      <c r="I932" s="10">
        <f t="shared" si="42"/>
        <v>52000</v>
      </c>
      <c r="J932" s="14" t="s">
        <v>900</v>
      </c>
      <c r="K932" s="14" t="s">
        <v>229</v>
      </c>
      <c r="L932" s="14" t="s">
        <v>53</v>
      </c>
      <c r="M932" s="8" t="str">
        <f t="shared" si="43"/>
        <v>2026-09</v>
      </c>
      <c r="N932" s="8" t="str">
        <f t="shared" si="44"/>
        <v>OK</v>
      </c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 spans="1:52">
      <c r="A933" s="14" t="s">
        <v>899</v>
      </c>
      <c r="B933" s="26">
        <v>46266</v>
      </c>
      <c r="C933" s="14" t="s">
        <v>52</v>
      </c>
      <c r="D933" s="27" t="str">
        <f>IFERROR(VLOOKUP(C933,'Chart of Accounts'!$A$4:$F$30,2,FALSE),"")</f>
        <v>Bank</v>
      </c>
      <c r="E933" s="27" t="str">
        <f>IFERROR(VLOOKUP(C933,'Chart of Accounts'!$A$4:$F$30,4,FALSE),"")</f>
        <v>Cash</v>
      </c>
      <c r="F933" s="27" t="str">
        <f>IFERROR(VLOOKUP(C933,'Chart of Accounts'!$A$4:$F$30,5,FALSE),"")</f>
        <v>BS</v>
      </c>
      <c r="G933" s="15">
        <v>0</v>
      </c>
      <c r="H933" s="15">
        <v>52000</v>
      </c>
      <c r="I933" s="10">
        <f t="shared" si="42"/>
        <v>-52000</v>
      </c>
      <c r="J933" s="14" t="s">
        <v>900</v>
      </c>
      <c r="K933" s="14" t="s">
        <v>229</v>
      </c>
      <c r="L933" s="14" t="s">
        <v>53</v>
      </c>
      <c r="M933" s="8" t="str">
        <f t="shared" si="43"/>
        <v>2026-09</v>
      </c>
      <c r="N933" s="8" t="str">
        <f t="shared" si="44"/>
        <v>OK</v>
      </c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 spans="1:52">
      <c r="A934" s="14" t="s">
        <v>901</v>
      </c>
      <c r="B934" s="26">
        <v>46270</v>
      </c>
      <c r="C934" s="14" t="s">
        <v>110</v>
      </c>
      <c r="D934" s="27" t="str">
        <f>IFERROR(VLOOKUP(C934,'Chart of Accounts'!$A$4:$F$30,2,FALSE),"")</f>
        <v>Software &amp; IT</v>
      </c>
      <c r="E934" s="27" t="str">
        <f>IFERROR(VLOOKUP(C934,'Chart of Accounts'!$A$4:$F$30,4,FALSE),"")</f>
        <v>Software &amp; IT</v>
      </c>
      <c r="F934" s="27" t="str">
        <f>IFERROR(VLOOKUP(C934,'Chart of Accounts'!$A$4:$F$30,5,FALSE),"")</f>
        <v>PL</v>
      </c>
      <c r="G934" s="15">
        <v>22000</v>
      </c>
      <c r="H934" s="15">
        <v>0</v>
      </c>
      <c r="I934" s="10">
        <f t="shared" si="42"/>
        <v>22000</v>
      </c>
      <c r="J934" s="14" t="s">
        <v>902</v>
      </c>
      <c r="K934" s="14" t="s">
        <v>238</v>
      </c>
      <c r="L934" s="14" t="s">
        <v>53</v>
      </c>
      <c r="M934" s="8" t="str">
        <f t="shared" si="43"/>
        <v>2026-09</v>
      </c>
      <c r="N934" s="8" t="str">
        <f t="shared" si="44"/>
        <v>OK</v>
      </c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 spans="1:52">
      <c r="A935" s="14" t="s">
        <v>901</v>
      </c>
      <c r="B935" s="26">
        <v>46270</v>
      </c>
      <c r="C935" s="14" t="s">
        <v>52</v>
      </c>
      <c r="D935" s="27" t="str">
        <f>IFERROR(VLOOKUP(C935,'Chart of Accounts'!$A$4:$F$30,2,FALSE),"")</f>
        <v>Bank</v>
      </c>
      <c r="E935" s="27" t="str">
        <f>IFERROR(VLOOKUP(C935,'Chart of Accounts'!$A$4:$F$30,4,FALSE),"")</f>
        <v>Cash</v>
      </c>
      <c r="F935" s="27" t="str">
        <f>IFERROR(VLOOKUP(C935,'Chart of Accounts'!$A$4:$F$30,5,FALSE),"")</f>
        <v>BS</v>
      </c>
      <c r="G935" s="15">
        <v>0</v>
      </c>
      <c r="H935" s="15">
        <v>22000</v>
      </c>
      <c r="I935" s="10">
        <f t="shared" si="42"/>
        <v>-22000</v>
      </c>
      <c r="J935" s="14" t="s">
        <v>902</v>
      </c>
      <c r="K935" s="14" t="s">
        <v>238</v>
      </c>
      <c r="L935" s="14" t="s">
        <v>53</v>
      </c>
      <c r="M935" s="8" t="str">
        <f t="shared" si="43"/>
        <v>2026-09</v>
      </c>
      <c r="N935" s="8" t="str">
        <f t="shared" si="44"/>
        <v>OK</v>
      </c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 spans="1:52">
      <c r="A936" s="14" t="s">
        <v>903</v>
      </c>
      <c r="B936" s="26">
        <v>46287</v>
      </c>
      <c r="C936" s="14" t="s">
        <v>112</v>
      </c>
      <c r="D936" s="27" t="str">
        <f>IFERROR(VLOOKUP(C936,'Chart of Accounts'!$A$4:$F$30,2,FALSE),"")</f>
        <v>Travel &amp; Entertainment</v>
      </c>
      <c r="E936" s="27" t="str">
        <f>IFERROR(VLOOKUP(C936,'Chart of Accounts'!$A$4:$F$30,4,FALSE),"")</f>
        <v>Travel</v>
      </c>
      <c r="F936" s="27" t="str">
        <f>IFERROR(VLOOKUP(C936,'Chart of Accounts'!$A$4:$F$30,5,FALSE),"")</f>
        <v>PL</v>
      </c>
      <c r="G936" s="15">
        <v>11555.122831503342</v>
      </c>
      <c r="H936" s="15">
        <v>0</v>
      </c>
      <c r="I936" s="10">
        <f t="shared" si="42"/>
        <v>11555.122831503342</v>
      </c>
      <c r="J936" s="14" t="s">
        <v>904</v>
      </c>
      <c r="K936" s="14" t="s">
        <v>241</v>
      </c>
      <c r="L936" s="14" t="s">
        <v>53</v>
      </c>
      <c r="M936" s="8" t="str">
        <f t="shared" si="43"/>
        <v>2026-09</v>
      </c>
      <c r="N936" s="8" t="str">
        <f t="shared" si="44"/>
        <v>OK</v>
      </c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 spans="1:52">
      <c r="A937" s="14" t="s">
        <v>903</v>
      </c>
      <c r="B937" s="26">
        <v>46287</v>
      </c>
      <c r="C937" s="14" t="s">
        <v>52</v>
      </c>
      <c r="D937" s="27" t="str">
        <f>IFERROR(VLOOKUP(C937,'Chart of Accounts'!$A$4:$F$30,2,FALSE),"")</f>
        <v>Bank</v>
      </c>
      <c r="E937" s="27" t="str">
        <f>IFERROR(VLOOKUP(C937,'Chart of Accounts'!$A$4:$F$30,4,FALSE),"")</f>
        <v>Cash</v>
      </c>
      <c r="F937" s="27" t="str">
        <f>IFERROR(VLOOKUP(C937,'Chart of Accounts'!$A$4:$F$30,5,FALSE),"")</f>
        <v>BS</v>
      </c>
      <c r="G937" s="15">
        <v>0</v>
      </c>
      <c r="H937" s="15">
        <v>11555.122831503342</v>
      </c>
      <c r="I937" s="10">
        <f t="shared" si="42"/>
        <v>-11555.122831503342</v>
      </c>
      <c r="J937" s="14" t="s">
        <v>904</v>
      </c>
      <c r="K937" s="14" t="s">
        <v>241</v>
      </c>
      <c r="L937" s="14" t="s">
        <v>53</v>
      </c>
      <c r="M937" s="8" t="str">
        <f t="shared" si="43"/>
        <v>2026-09</v>
      </c>
      <c r="N937" s="8" t="str">
        <f t="shared" si="44"/>
        <v>OK</v>
      </c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 spans="1:52">
      <c r="A938" s="14" t="s">
        <v>905</v>
      </c>
      <c r="B938" s="26">
        <v>46292</v>
      </c>
      <c r="C938" s="14" t="s">
        <v>120</v>
      </c>
      <c r="D938" s="27" t="str">
        <f>IFERROR(VLOOKUP(C938,'Chart of Accounts'!$A$4:$F$30,2,FALSE),"")</f>
        <v>Interest Expense</v>
      </c>
      <c r="E938" s="27" t="str">
        <f>IFERROR(VLOOKUP(C938,'Chart of Accounts'!$A$4:$F$30,4,FALSE),"")</f>
        <v>Interest</v>
      </c>
      <c r="F938" s="27" t="str">
        <f>IFERROR(VLOOKUP(C938,'Chart of Accounts'!$A$4:$F$30,5,FALSE),"")</f>
        <v>PL</v>
      </c>
      <c r="G938" s="15">
        <v>5500</v>
      </c>
      <c r="H938" s="15">
        <v>0</v>
      </c>
      <c r="I938" s="10">
        <f t="shared" si="42"/>
        <v>5500</v>
      </c>
      <c r="J938" s="14" t="s">
        <v>906</v>
      </c>
      <c r="K938" s="14" t="s">
        <v>244</v>
      </c>
      <c r="L938" s="14" t="s">
        <v>53</v>
      </c>
      <c r="M938" s="8" t="str">
        <f t="shared" si="43"/>
        <v>2026-09</v>
      </c>
      <c r="N938" s="8" t="str">
        <f t="shared" si="44"/>
        <v>OK</v>
      </c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 spans="1:52">
      <c r="A939" s="14" t="s">
        <v>905</v>
      </c>
      <c r="B939" s="26">
        <v>46292</v>
      </c>
      <c r="C939" s="14" t="s">
        <v>52</v>
      </c>
      <c r="D939" s="27" t="str">
        <f>IFERROR(VLOOKUP(C939,'Chart of Accounts'!$A$4:$F$30,2,FALSE),"")</f>
        <v>Bank</v>
      </c>
      <c r="E939" s="27" t="str">
        <f>IFERROR(VLOOKUP(C939,'Chart of Accounts'!$A$4:$F$30,4,FALSE),"")</f>
        <v>Cash</v>
      </c>
      <c r="F939" s="27" t="str">
        <f>IFERROR(VLOOKUP(C939,'Chart of Accounts'!$A$4:$F$30,5,FALSE),"")</f>
        <v>BS</v>
      </c>
      <c r="G939" s="15">
        <v>0</v>
      </c>
      <c r="H939" s="15">
        <v>5500</v>
      </c>
      <c r="I939" s="10">
        <f t="shared" si="42"/>
        <v>-5500</v>
      </c>
      <c r="J939" s="14" t="s">
        <v>906</v>
      </c>
      <c r="K939" s="14" t="s">
        <v>244</v>
      </c>
      <c r="L939" s="14" t="s">
        <v>53</v>
      </c>
      <c r="M939" s="8" t="str">
        <f t="shared" si="43"/>
        <v>2026-09</v>
      </c>
      <c r="N939" s="8" t="str">
        <f t="shared" si="44"/>
        <v>OK</v>
      </c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 spans="1:52">
      <c r="A940" s="14" t="s">
        <v>907</v>
      </c>
      <c r="B940" s="26">
        <v>46032</v>
      </c>
      <c r="C940" s="14" t="s">
        <v>108</v>
      </c>
      <c r="D940" s="27" t="str">
        <f>IFERROR(VLOOKUP(C940,'Chart of Accounts'!$A$4:$F$30,2,FALSE),"")</f>
        <v>Insurance</v>
      </c>
      <c r="E940" s="27" t="str">
        <f>IFERROR(VLOOKUP(C940,'Chart of Accounts'!$A$4:$F$30,4,FALSE),"")</f>
        <v>Insurance</v>
      </c>
      <c r="F940" s="27" t="str">
        <f>IFERROR(VLOOKUP(C940,'Chart of Accounts'!$A$4:$F$30,5,FALSE),"")</f>
        <v>PL</v>
      </c>
      <c r="G940" s="15">
        <v>96000</v>
      </c>
      <c r="H940" s="15">
        <v>0</v>
      </c>
      <c r="I940" s="10">
        <f t="shared" si="42"/>
        <v>96000</v>
      </c>
      <c r="J940" s="14" t="s">
        <v>908</v>
      </c>
      <c r="K940" s="14" t="s">
        <v>909</v>
      </c>
      <c r="L940" s="14" t="s">
        <v>53</v>
      </c>
      <c r="M940" s="8" t="str">
        <f t="shared" si="43"/>
        <v>2026-01</v>
      </c>
      <c r="N940" s="8" t="str">
        <f t="shared" si="44"/>
        <v>OK</v>
      </c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 spans="1:52">
      <c r="A941" s="14" t="s">
        <v>907</v>
      </c>
      <c r="B941" s="26">
        <v>46032</v>
      </c>
      <c r="C941" s="14" t="s">
        <v>52</v>
      </c>
      <c r="D941" s="27" t="str">
        <f>IFERROR(VLOOKUP(C941,'Chart of Accounts'!$A$4:$F$30,2,FALSE),"")</f>
        <v>Bank</v>
      </c>
      <c r="E941" s="27" t="str">
        <f>IFERROR(VLOOKUP(C941,'Chart of Accounts'!$A$4:$F$30,4,FALSE),"")</f>
        <v>Cash</v>
      </c>
      <c r="F941" s="27" t="str">
        <f>IFERROR(VLOOKUP(C941,'Chart of Accounts'!$A$4:$F$30,5,FALSE),"")</f>
        <v>BS</v>
      </c>
      <c r="G941" s="15">
        <v>0</v>
      </c>
      <c r="H941" s="15">
        <v>96000</v>
      </c>
      <c r="I941" s="10">
        <f t="shared" si="42"/>
        <v>-96000</v>
      </c>
      <c r="J941" s="14" t="s">
        <v>908</v>
      </c>
      <c r="K941" s="14" t="s">
        <v>909</v>
      </c>
      <c r="L941" s="14" t="s">
        <v>53</v>
      </c>
      <c r="M941" s="8" t="str">
        <f t="shared" si="43"/>
        <v>2026-01</v>
      </c>
      <c r="N941" s="8" t="str">
        <f t="shared" si="44"/>
        <v>OK</v>
      </c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 spans="1:52">
      <c r="A942" s="14" t="s">
        <v>910</v>
      </c>
      <c r="B942" s="26">
        <v>46193</v>
      </c>
      <c r="C942" s="14" t="s">
        <v>78</v>
      </c>
      <c r="D942" s="27" t="str">
        <f>IFERROR(VLOOKUP(C942,'Chart of Accounts'!$A$4:$F$30,2,FALSE),"")</f>
        <v>VAT / Tax Payable</v>
      </c>
      <c r="E942" s="27" t="str">
        <f>IFERROR(VLOOKUP(C942,'Chart of Accounts'!$A$4:$F$30,4,FALSE),"")</f>
        <v>Tax Payable</v>
      </c>
      <c r="F942" s="27" t="str">
        <f>IFERROR(VLOOKUP(C942,'Chart of Accounts'!$A$4:$F$30,5,FALSE),"")</f>
        <v>BS</v>
      </c>
      <c r="G942" s="15">
        <v>65000</v>
      </c>
      <c r="H942" s="15">
        <v>0</v>
      </c>
      <c r="I942" s="10">
        <f t="shared" si="42"/>
        <v>65000</v>
      </c>
      <c r="J942" s="14" t="s">
        <v>911</v>
      </c>
      <c r="K942" s="14" t="s">
        <v>912</v>
      </c>
      <c r="L942" s="14" t="s">
        <v>53</v>
      </c>
      <c r="M942" s="8" t="str">
        <f t="shared" si="43"/>
        <v>2026-06</v>
      </c>
      <c r="N942" s="8" t="str">
        <f t="shared" si="44"/>
        <v>OK</v>
      </c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 spans="1:52">
      <c r="A943" s="14" t="s">
        <v>910</v>
      </c>
      <c r="B943" s="26">
        <v>46193</v>
      </c>
      <c r="C943" s="14" t="s">
        <v>52</v>
      </c>
      <c r="D943" s="27" t="str">
        <f>IFERROR(VLOOKUP(C943,'Chart of Accounts'!$A$4:$F$30,2,FALSE),"")</f>
        <v>Bank</v>
      </c>
      <c r="E943" s="27" t="str">
        <f>IFERROR(VLOOKUP(C943,'Chart of Accounts'!$A$4:$F$30,4,FALSE),"")</f>
        <v>Cash</v>
      </c>
      <c r="F943" s="27" t="str">
        <f>IFERROR(VLOOKUP(C943,'Chart of Accounts'!$A$4:$F$30,5,FALSE),"")</f>
        <v>BS</v>
      </c>
      <c r="G943" s="15">
        <v>0</v>
      </c>
      <c r="H943" s="15">
        <v>65000</v>
      </c>
      <c r="I943" s="10">
        <f t="shared" si="42"/>
        <v>-65000</v>
      </c>
      <c r="J943" s="14" t="s">
        <v>911</v>
      </c>
      <c r="K943" s="14" t="s">
        <v>912</v>
      </c>
      <c r="L943" s="14" t="s">
        <v>53</v>
      </c>
      <c r="M943" s="8" t="str">
        <f t="shared" si="43"/>
        <v>2026-06</v>
      </c>
      <c r="N943" s="8" t="str">
        <f t="shared" si="44"/>
        <v>OK</v>
      </c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 spans="1:5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 spans="1:5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 spans="1:5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 spans="1:5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 spans="1:5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 spans="1:5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 spans="1:5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 spans="1:5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 spans="1: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 spans="1:5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 spans="1:5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 spans="1:5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 spans="1:5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 spans="1:5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 spans="1:5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 spans="1:5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 spans="1:5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 spans="1:5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 spans="1:5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 spans="1:5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 spans="1:5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 spans="1:5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 spans="1:5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 spans="1:5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 spans="1:5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 spans="1:5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 spans="1:5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 spans="1:5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 spans="1:5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 spans="1:5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 spans="1:5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 spans="1:5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 spans="1:5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 spans="1:5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 spans="1:5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 spans="1:5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 spans="1:5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 spans="1:5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 spans="1:5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 spans="1:5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 spans="1:5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 spans="1:5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 spans="1:5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 spans="1:5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 spans="1:5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 spans="1:5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  <row r="990" spans="1:5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</row>
    <row r="991" spans="1:5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</row>
    <row r="992" spans="1:5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</row>
    <row r="993" spans="1:5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</row>
    <row r="994" spans="1:5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</row>
    <row r="995" spans="1:5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</row>
    <row r="996" spans="1:5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</row>
    <row r="997" spans="1:5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</row>
    <row r="998" spans="1:5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</row>
    <row r="999" spans="1:5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</row>
    <row r="1000" spans="1:5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1000"/>
  <sheetViews>
    <sheetView workbookViewId="0">
      <selection activeCell="H2" sqref="H1:H1048576"/>
    </sheetView>
  </sheetViews>
  <sheetFormatPr baseColWidth="10" defaultColWidth="8.83203125" defaultRowHeight="15"/>
  <cols>
    <col min="4" max="5" width="24.83203125" bestFit="1" customWidth="1"/>
    <col min="6" max="7" width="9" bestFit="1" customWidth="1"/>
    <col min="8" max="8" width="10.1640625" bestFit="1" customWidth="1"/>
    <col min="9" max="9" width="28.33203125" bestFit="1" customWidth="1"/>
    <col min="10" max="10" width="18.6640625" bestFit="1" customWidth="1"/>
    <col min="11" max="11" width="23.5" bestFit="1" customWidth="1"/>
    <col min="12" max="12" width="8.5" bestFit="1" customWidth="1"/>
  </cols>
  <sheetData>
    <row r="1" spans="1:52" ht="37.25" customHeight="1">
      <c r="A1" s="35" t="s">
        <v>913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48">
      <c r="A3" s="9" t="s">
        <v>131</v>
      </c>
      <c r="B3" s="9" t="s">
        <v>132</v>
      </c>
      <c r="C3" s="9" t="s">
        <v>46</v>
      </c>
      <c r="D3" s="9" t="s">
        <v>47</v>
      </c>
      <c r="E3" s="9" t="s">
        <v>49</v>
      </c>
      <c r="F3" s="9" t="s">
        <v>125</v>
      </c>
      <c r="G3" s="9" t="s">
        <v>126</v>
      </c>
      <c r="H3" s="9" t="s">
        <v>133</v>
      </c>
      <c r="I3" s="9" t="s">
        <v>135</v>
      </c>
      <c r="J3" s="9" t="s">
        <v>914</v>
      </c>
      <c r="K3" s="9" t="s">
        <v>21</v>
      </c>
      <c r="L3" s="9" t="s">
        <v>915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>
      <c r="A4" s="14" t="s">
        <v>916</v>
      </c>
      <c r="B4" s="14">
        <v>46295</v>
      </c>
      <c r="C4" s="14" t="s">
        <v>104</v>
      </c>
      <c r="D4" s="27" t="str">
        <f>IFERROR(VLOOKUP(C4,'Chart of Accounts'!$A$4:$F$30,2,FALSE),"")</f>
        <v>Utilities</v>
      </c>
      <c r="E4" s="27" t="str">
        <f>IFERROR(VLOOKUP(C4,'Chart of Accounts'!$A$4:$F$30,4,FALSE),"")</f>
        <v>Utilities</v>
      </c>
      <c r="F4" s="15">
        <v>22000</v>
      </c>
      <c r="G4" s="15">
        <v>0</v>
      </c>
      <c r="H4" s="10">
        <f t="shared" ref="H4:H17" si="0">F4-G4</f>
        <v>22000</v>
      </c>
      <c r="I4" s="14" t="s">
        <v>917</v>
      </c>
      <c r="J4" s="14" t="s">
        <v>918</v>
      </c>
      <c r="K4" s="14" t="s">
        <v>919</v>
      </c>
      <c r="L4" s="14" t="s">
        <v>920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>
      <c r="A5" s="14" t="s">
        <v>916</v>
      </c>
      <c r="B5" s="14">
        <v>46295</v>
      </c>
      <c r="C5" s="14" t="s">
        <v>74</v>
      </c>
      <c r="D5" s="27" t="str">
        <f>IFERROR(VLOOKUP(C5,'Chart of Accounts'!$A$4:$F$30,2,FALSE),"")</f>
        <v>Accrued Expenses</v>
      </c>
      <c r="E5" s="27" t="str">
        <f>IFERROR(VLOOKUP(C5,'Chart of Accounts'!$A$4:$F$30,4,FALSE),"")</f>
        <v>Accrued Expenses</v>
      </c>
      <c r="F5" s="15">
        <v>0</v>
      </c>
      <c r="G5" s="15">
        <v>22000</v>
      </c>
      <c r="H5" s="10">
        <f t="shared" si="0"/>
        <v>-22000</v>
      </c>
      <c r="I5" s="14" t="s">
        <v>917</v>
      </c>
      <c r="J5" s="14" t="s">
        <v>918</v>
      </c>
      <c r="K5" s="14" t="s">
        <v>919</v>
      </c>
      <c r="L5" s="14" t="s">
        <v>920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>
      <c r="A6" s="14" t="s">
        <v>921</v>
      </c>
      <c r="B6" s="14">
        <v>46295</v>
      </c>
      <c r="C6" s="14" t="s">
        <v>106</v>
      </c>
      <c r="D6" s="27" t="str">
        <f>IFERROR(VLOOKUP(C6,'Chart of Accounts'!$A$4:$F$30,2,FALSE),"")</f>
        <v>Professional Fees</v>
      </c>
      <c r="E6" s="27" t="str">
        <f>IFERROR(VLOOKUP(C6,'Chart of Accounts'!$A$4:$F$30,4,FALSE),"")</f>
        <v>Professional Fees</v>
      </c>
      <c r="F6" s="15">
        <v>18000</v>
      </c>
      <c r="G6" s="15">
        <v>0</v>
      </c>
      <c r="H6" s="10">
        <f t="shared" si="0"/>
        <v>18000</v>
      </c>
      <c r="I6" s="14" t="s">
        <v>922</v>
      </c>
      <c r="J6" s="14" t="s">
        <v>918</v>
      </c>
      <c r="K6" s="14" t="s">
        <v>919</v>
      </c>
      <c r="L6" s="14" t="s">
        <v>920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>
      <c r="A7" s="14" t="s">
        <v>921</v>
      </c>
      <c r="B7" s="14">
        <v>46295</v>
      </c>
      <c r="C7" s="14" t="s">
        <v>74</v>
      </c>
      <c r="D7" s="27" t="str">
        <f>IFERROR(VLOOKUP(C7,'Chart of Accounts'!$A$4:$F$30,2,FALSE),"")</f>
        <v>Accrued Expenses</v>
      </c>
      <c r="E7" s="27" t="str">
        <f>IFERROR(VLOOKUP(C7,'Chart of Accounts'!$A$4:$F$30,4,FALSE),"")</f>
        <v>Accrued Expenses</v>
      </c>
      <c r="F7" s="15">
        <v>0</v>
      </c>
      <c r="G7" s="15">
        <v>18000</v>
      </c>
      <c r="H7" s="10">
        <f t="shared" si="0"/>
        <v>-18000</v>
      </c>
      <c r="I7" s="14" t="s">
        <v>922</v>
      </c>
      <c r="J7" s="14" t="s">
        <v>918</v>
      </c>
      <c r="K7" s="14" t="s">
        <v>919</v>
      </c>
      <c r="L7" s="14" t="s">
        <v>920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>
      <c r="A8" s="14" t="s">
        <v>923</v>
      </c>
      <c r="B8" s="14">
        <v>46295</v>
      </c>
      <c r="C8" s="14" t="s">
        <v>94</v>
      </c>
      <c r="D8" s="27" t="str">
        <f>IFERROR(VLOOKUP(C8,'Chart of Accounts'!$A$4:$F$30,2,FALSE),"")</f>
        <v>Salaries &amp; Wages</v>
      </c>
      <c r="E8" s="27" t="str">
        <f>IFERROR(VLOOKUP(C8,'Chart of Accounts'!$A$4:$F$30,4,FALSE),"")</f>
        <v>Salaries</v>
      </c>
      <c r="F8" s="15">
        <v>35000</v>
      </c>
      <c r="G8" s="15">
        <v>0</v>
      </c>
      <c r="H8" s="10">
        <f t="shared" si="0"/>
        <v>35000</v>
      </c>
      <c r="I8" s="14" t="s">
        <v>924</v>
      </c>
      <c r="J8" s="14" t="s">
        <v>925</v>
      </c>
      <c r="K8" s="14" t="s">
        <v>919</v>
      </c>
      <c r="L8" s="14" t="s">
        <v>920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>
      <c r="A9" s="14" t="s">
        <v>923</v>
      </c>
      <c r="B9" s="14">
        <v>46295</v>
      </c>
      <c r="C9" s="14" t="s">
        <v>74</v>
      </c>
      <c r="D9" s="27" t="str">
        <f>IFERROR(VLOOKUP(C9,'Chart of Accounts'!$A$4:$F$30,2,FALSE),"")</f>
        <v>Accrued Expenses</v>
      </c>
      <c r="E9" s="27" t="str">
        <f>IFERROR(VLOOKUP(C9,'Chart of Accounts'!$A$4:$F$30,4,FALSE),"")</f>
        <v>Accrued Expenses</v>
      </c>
      <c r="F9" s="15">
        <v>0</v>
      </c>
      <c r="G9" s="15">
        <v>35000</v>
      </c>
      <c r="H9" s="10">
        <f t="shared" si="0"/>
        <v>-35000</v>
      </c>
      <c r="I9" s="14" t="s">
        <v>924</v>
      </c>
      <c r="J9" s="14" t="s">
        <v>925</v>
      </c>
      <c r="K9" s="14" t="s">
        <v>919</v>
      </c>
      <c r="L9" s="14" t="s">
        <v>920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>
      <c r="A10" s="14" t="s">
        <v>926</v>
      </c>
      <c r="B10" s="14">
        <v>46295</v>
      </c>
      <c r="C10" s="14" t="s">
        <v>115</v>
      </c>
      <c r="D10" s="27" t="str">
        <f>IFERROR(VLOOKUP(C10,'Chart of Accounts'!$A$4:$F$30,2,FALSE),"")</f>
        <v>Depreciation</v>
      </c>
      <c r="E10" s="27" t="str">
        <f>IFERROR(VLOOKUP(C10,'Chart of Accounts'!$A$4:$F$30,4,FALSE),"")</f>
        <v>Depreciation</v>
      </c>
      <c r="F10" s="15">
        <v>15000</v>
      </c>
      <c r="G10" s="15">
        <v>0</v>
      </c>
      <c r="H10" s="10">
        <f t="shared" si="0"/>
        <v>15000</v>
      </c>
      <c r="I10" s="14" t="s">
        <v>927</v>
      </c>
      <c r="J10" s="14" t="s">
        <v>928</v>
      </c>
      <c r="K10" s="14" t="s">
        <v>919</v>
      </c>
      <c r="L10" s="14" t="s">
        <v>920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>
      <c r="A11" s="14" t="s">
        <v>926</v>
      </c>
      <c r="B11" s="14">
        <v>46295</v>
      </c>
      <c r="C11" s="14" t="s">
        <v>69</v>
      </c>
      <c r="D11" s="27" t="str">
        <f>IFERROR(VLOOKUP(C11,'Chart of Accounts'!$A$4:$F$30,2,FALSE),"")</f>
        <v>Accumulated Depreciation</v>
      </c>
      <c r="E11" s="27" t="str">
        <f>IFERROR(VLOOKUP(C11,'Chart of Accounts'!$A$4:$F$30,4,FALSE),"")</f>
        <v>Accumulated Depreciation</v>
      </c>
      <c r="F11" s="15">
        <v>0</v>
      </c>
      <c r="G11" s="15">
        <v>15000</v>
      </c>
      <c r="H11" s="10">
        <f t="shared" si="0"/>
        <v>-15000</v>
      </c>
      <c r="I11" s="14" t="s">
        <v>927</v>
      </c>
      <c r="J11" s="14" t="s">
        <v>928</v>
      </c>
      <c r="K11" s="14" t="s">
        <v>919</v>
      </c>
      <c r="L11" s="14" t="s">
        <v>920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>
      <c r="A12" s="14" t="s">
        <v>929</v>
      </c>
      <c r="B12" s="14">
        <v>46295</v>
      </c>
      <c r="C12" s="14" t="s">
        <v>65</v>
      </c>
      <c r="D12" s="27" t="str">
        <f>IFERROR(VLOOKUP(C12,'Chart of Accounts'!$A$4:$F$30,2,FALSE),"")</f>
        <v>Prepayments</v>
      </c>
      <c r="E12" s="27" t="str">
        <f>IFERROR(VLOOKUP(C12,'Chart of Accounts'!$A$4:$F$30,4,FALSE),"")</f>
        <v>Prepayments</v>
      </c>
      <c r="F12" s="15">
        <v>24000</v>
      </c>
      <c r="G12" s="15">
        <v>0</v>
      </c>
      <c r="H12" s="10">
        <f t="shared" si="0"/>
        <v>24000</v>
      </c>
      <c r="I12" s="14" t="s">
        <v>930</v>
      </c>
      <c r="J12" s="14" t="s">
        <v>931</v>
      </c>
      <c r="K12" s="14" t="s">
        <v>919</v>
      </c>
      <c r="L12" s="14" t="s">
        <v>920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>
      <c r="A13" s="14" t="s">
        <v>929</v>
      </c>
      <c r="B13" s="14">
        <v>46295</v>
      </c>
      <c r="C13" s="14" t="s">
        <v>108</v>
      </c>
      <c r="D13" s="27" t="str">
        <f>IFERROR(VLOOKUP(C13,'Chart of Accounts'!$A$4:$F$30,2,FALSE),"")</f>
        <v>Insurance</v>
      </c>
      <c r="E13" s="27" t="str">
        <f>IFERROR(VLOOKUP(C13,'Chart of Accounts'!$A$4:$F$30,4,FALSE),"")</f>
        <v>Insurance</v>
      </c>
      <c r="F13" s="15">
        <v>0</v>
      </c>
      <c r="G13" s="15">
        <v>24000</v>
      </c>
      <c r="H13" s="10">
        <f t="shared" si="0"/>
        <v>-24000</v>
      </c>
      <c r="I13" s="14" t="s">
        <v>930</v>
      </c>
      <c r="J13" s="14" t="s">
        <v>931</v>
      </c>
      <c r="K13" s="14" t="s">
        <v>919</v>
      </c>
      <c r="L13" s="14" t="s">
        <v>920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>
      <c r="A14" s="14" t="s">
        <v>932</v>
      </c>
      <c r="B14" s="14">
        <v>46295</v>
      </c>
      <c r="C14" s="14" t="s">
        <v>117</v>
      </c>
      <c r="D14" s="27" t="str">
        <f>IFERROR(VLOOKUP(C14,'Chart of Accounts'!$A$4:$F$30,2,FALSE),"")</f>
        <v>Bad Debt Expense</v>
      </c>
      <c r="E14" s="27" t="str">
        <f>IFERROR(VLOOKUP(C14,'Chart of Accounts'!$A$4:$F$30,4,FALSE),"")</f>
        <v>Bad Debt</v>
      </c>
      <c r="F14" s="15">
        <v>5000</v>
      </c>
      <c r="G14" s="15">
        <v>0</v>
      </c>
      <c r="H14" s="10">
        <f t="shared" si="0"/>
        <v>5000</v>
      </c>
      <c r="I14" s="14" t="s">
        <v>933</v>
      </c>
      <c r="J14" s="14" t="s">
        <v>934</v>
      </c>
      <c r="K14" s="14" t="s">
        <v>919</v>
      </c>
      <c r="L14" s="14" t="s">
        <v>920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>
      <c r="A15" s="14" t="s">
        <v>932</v>
      </c>
      <c r="B15" s="14">
        <v>46295</v>
      </c>
      <c r="C15" s="14" t="s">
        <v>60</v>
      </c>
      <c r="D15" s="27" t="str">
        <f>IFERROR(VLOOKUP(C15,'Chart of Accounts'!$A$4:$F$30,2,FALSE),"")</f>
        <v>Allowance for Doubtful Debts</v>
      </c>
      <c r="E15" s="27" t="str">
        <f>IFERROR(VLOOKUP(C15,'Chart of Accounts'!$A$4:$F$30,4,FALSE),"")</f>
        <v>Allowance for Doubtful Debts</v>
      </c>
      <c r="F15" s="15">
        <v>0</v>
      </c>
      <c r="G15" s="15">
        <v>5000</v>
      </c>
      <c r="H15" s="10">
        <f t="shared" si="0"/>
        <v>-5000</v>
      </c>
      <c r="I15" s="14" t="s">
        <v>933</v>
      </c>
      <c r="J15" s="14" t="s">
        <v>934</v>
      </c>
      <c r="K15" s="14" t="s">
        <v>919</v>
      </c>
      <c r="L15" s="14" t="s">
        <v>920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>
      <c r="A16" s="14" t="s">
        <v>935</v>
      </c>
      <c r="B16" s="14">
        <v>46295</v>
      </c>
      <c r="C16" s="14" t="s">
        <v>100</v>
      </c>
      <c r="D16" s="27" t="str">
        <f>IFERROR(VLOOKUP(C16,'Chart of Accounts'!$A$4:$F$30,2,FALSE),"")</f>
        <v>Marketing</v>
      </c>
      <c r="E16" s="27" t="str">
        <f>IFERROR(VLOOKUP(C16,'Chart of Accounts'!$A$4:$F$30,4,FALSE),"")</f>
        <v>Marketing</v>
      </c>
      <c r="F16" s="15">
        <v>30000</v>
      </c>
      <c r="G16" s="15">
        <v>0</v>
      </c>
      <c r="H16" s="10">
        <f t="shared" si="0"/>
        <v>30000</v>
      </c>
      <c r="I16" s="14" t="s">
        <v>936</v>
      </c>
      <c r="J16" s="14" t="s">
        <v>937</v>
      </c>
      <c r="K16" s="14" t="s">
        <v>919</v>
      </c>
      <c r="L16" s="14" t="s">
        <v>920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>
      <c r="A17" s="14" t="s">
        <v>935</v>
      </c>
      <c r="B17" s="14">
        <v>46295</v>
      </c>
      <c r="C17" s="14" t="s">
        <v>74</v>
      </c>
      <c r="D17" s="27" t="str">
        <f>IFERROR(VLOOKUP(C17,'Chart of Accounts'!$A$4:$F$30,2,FALSE),"")</f>
        <v>Accrued Expenses</v>
      </c>
      <c r="E17" s="27" t="str">
        <f>IFERROR(VLOOKUP(C17,'Chart of Accounts'!$A$4:$F$30,4,FALSE),"")</f>
        <v>Accrued Expenses</v>
      </c>
      <c r="F17" s="15">
        <v>0</v>
      </c>
      <c r="G17" s="15">
        <v>30000</v>
      </c>
      <c r="H17" s="10">
        <f t="shared" si="0"/>
        <v>-30000</v>
      </c>
      <c r="I17" s="14" t="s">
        <v>936</v>
      </c>
      <c r="J17" s="14" t="s">
        <v>937</v>
      </c>
      <c r="K17" s="14" t="s">
        <v>919</v>
      </c>
      <c r="L17" s="14" t="s">
        <v>920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1:5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1:5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 spans="1:5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 spans="1:5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 spans="1:5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 spans="1:5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 spans="1:5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 spans="1:5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 spans="1:5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 spans="1:5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 spans="1:5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 spans="1:5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 spans="1:5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 spans="1:5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 spans="1:5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 spans="1:5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 spans="1:5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 spans="1:5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 spans="1:5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 spans="1:5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 spans="1:5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 spans="1:5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 spans="1:5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 spans="1:5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 spans="1:5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 spans="1:5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 spans="1:5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 spans="1:5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 spans="1:5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 spans="1:5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 spans="1:5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 spans="1:5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 spans="1:5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 spans="1:5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 spans="1:5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 spans="1:5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 spans="1:5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 spans="1:5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 spans="1:5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 spans="1:5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 spans="1:5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 spans="1:5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 spans="1:5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 spans="1:5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 spans="1:5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 spans="1:5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 spans="1:5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 spans="1:5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 spans="1:5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 spans="1:5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 spans="1:5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 spans="1:5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 spans="1:5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 spans="1: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 spans="1:5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 spans="1:5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 spans="1:5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 spans="1:5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 spans="1:5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 spans="1:5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 spans="1:5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 spans="1:5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 spans="1:5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 spans="1:5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 spans="1:5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 spans="1:5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 spans="1:5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 spans="1:5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 spans="1:5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 spans="1:5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 spans="1:5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 spans="1:5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 spans="1:5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 spans="1:5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 spans="1:5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 spans="1:5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 spans="1:5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 spans="1:5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 spans="1:5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 spans="1:5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 spans="1:5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 spans="1:5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 spans="1:5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 spans="1:5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 spans="1:5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 spans="1:5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 spans="1:5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 spans="1:5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 spans="1:5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 spans="1:5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 spans="1:5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 spans="1:5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 spans="1:5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 spans="1:5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 spans="1:5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 spans="1:5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 spans="1:5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 spans="1:5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 spans="1:5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 spans="1:5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 spans="1:5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 spans="1:5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 spans="1:5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 spans="1:5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 spans="1:5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 spans="1:5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 spans="1:5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 spans="1:5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 spans="1:5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 spans="1:5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 spans="1:5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 spans="1:5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 spans="1:5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 spans="1:5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 spans="1:5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 spans="1:5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 spans="1:5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 spans="1:5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 spans="1:5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 spans="1:5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 spans="1:5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 spans="1:5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 spans="1:5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 spans="1:5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 spans="1:5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 spans="1:5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 spans="1:5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 spans="1:5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 spans="1:5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 spans="1:5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 spans="1:5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 spans="1:5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 spans="1:5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 spans="1:5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 spans="1:5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 spans="1:5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 spans="1:5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 spans="1:5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 spans="1:5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 spans="1:5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 spans="1:5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 spans="1:5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 spans="1:5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 spans="1:5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 spans="1:5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 spans="1:5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 spans="1:5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 spans="1:5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 spans="1:5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 spans="1:5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 spans="1:5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 spans="1:5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 spans="1:5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 spans="1: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 spans="1:5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 spans="1:5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 spans="1:5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 spans="1:5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 spans="1:5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 spans="1:5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 spans="1:5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 spans="1:5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 spans="1:5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 spans="1:5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 spans="1:5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 spans="1:5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 spans="1:5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 spans="1:5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 spans="1:5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 spans="1:5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 spans="1:5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 spans="1:5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 spans="1:5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 spans="1:5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 spans="1:5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 spans="1:5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 spans="1:5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 spans="1:5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 spans="1:5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 spans="1:5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 spans="1:5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 spans="1:5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 spans="1:5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 spans="1:5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 spans="1:5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 spans="1:5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 spans="1:5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 spans="1:5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 spans="1:5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 spans="1:5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 spans="1:5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 spans="1:5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 spans="1:5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 spans="1:5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 spans="1:5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 spans="1:5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 spans="1:5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 spans="1:5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 spans="1:5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 spans="1:5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 spans="1:5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 spans="1:5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 spans="1:5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 spans="1:5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 spans="1:5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 spans="1:5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 spans="1:5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 spans="1:5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 spans="1:5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 spans="1:5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 spans="1:5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 spans="1:5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 spans="1:5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 spans="1:5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 spans="1:5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 spans="1:5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 spans="1:5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 spans="1:5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 spans="1:5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 spans="1:5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 spans="1:5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 spans="1:5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 spans="1:5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 spans="1:5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 spans="1:5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 spans="1:5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 spans="1:5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 spans="1:5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 spans="1:5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 spans="1:5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 spans="1:5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 spans="1:5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 spans="1:5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 spans="1:5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 spans="1:5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 spans="1:5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 spans="1:5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 spans="1:5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 spans="1:5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 spans="1:5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 spans="1:5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 spans="1:5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 spans="1:5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 spans="1:5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 spans="1:5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 spans="1:5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 spans="1:5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 spans="1:5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 spans="1:5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 spans="1:5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 spans="1:5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 spans="1:5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 spans="1:5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 spans="1: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 spans="1:5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 spans="1:5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 spans="1:5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 spans="1:5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 spans="1:5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 spans="1:5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 spans="1:5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 spans="1:5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 spans="1:5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 spans="1:5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 spans="1:5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 spans="1:5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 spans="1:5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 spans="1:5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 spans="1:5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 spans="1:5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 spans="1:5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 spans="1:5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 spans="1:5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 spans="1:5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 spans="1:5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 spans="1:5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 spans="1:5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 spans="1:5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 spans="1:5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 spans="1:5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 spans="1:5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 spans="1:5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 spans="1:5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 spans="1:5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 spans="1:5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 spans="1:5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 spans="1:5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 spans="1:5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 spans="1:5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 spans="1:5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 spans="1:5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 spans="1:5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 spans="1:5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 spans="1:5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 spans="1:5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 spans="1:5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 spans="1:5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 spans="1:5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 spans="1:5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 spans="1:5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 spans="1:5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 spans="1:5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 spans="1:5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 spans="1:5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 spans="1:5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 spans="1:5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 spans="1:5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 spans="1:5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 spans="1:5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 spans="1:5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 spans="1:5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 spans="1:5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 spans="1:5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 spans="1:5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 spans="1:5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 spans="1:5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 spans="1:5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 spans="1:5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 spans="1:5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 spans="1:5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 spans="1:5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 spans="1:5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 spans="1:5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 spans="1:5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 spans="1:5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 spans="1:5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 spans="1:5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 spans="1:5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 spans="1:5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 spans="1:5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 spans="1:5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 spans="1:5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 spans="1:5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 spans="1:5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 spans="1:5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 spans="1:5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 spans="1:5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 spans="1:5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 spans="1:5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 spans="1:5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 spans="1:5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 spans="1:5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 spans="1:5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 spans="1:5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 spans="1:5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 spans="1:5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 spans="1:5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 spans="1:5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 spans="1:5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 spans="1:5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 spans="1:5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 spans="1:5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 spans="1:5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 spans="1: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 spans="1:5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 spans="1:5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 spans="1:5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 spans="1:5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 spans="1:5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 spans="1:5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 spans="1:5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 spans="1:5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 spans="1:5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 spans="1:5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 spans="1:5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 spans="1:5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 spans="1:5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 spans="1:5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 spans="1:5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 spans="1:5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 spans="1:5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 spans="1:5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 spans="1:5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 spans="1:5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 spans="1:5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 spans="1:5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 spans="1:5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 spans="1:5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 spans="1:5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 spans="1:5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 spans="1:5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 spans="1:5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 spans="1:5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 spans="1:5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 spans="1:5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 spans="1:5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 spans="1:5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 spans="1:5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 spans="1:5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 spans="1:5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 spans="1:5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 spans="1:5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 spans="1:5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 spans="1:5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 spans="1:5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 spans="1:5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 spans="1:5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 spans="1:5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 spans="1:5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 spans="1:5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 spans="1:5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 spans="1:5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 spans="1:5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 spans="1:5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 spans="1:5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 spans="1:5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 spans="1:5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 spans="1:5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 spans="1:5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 spans="1:5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 spans="1:5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 spans="1:5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 spans="1:5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 spans="1:5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 spans="1:5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 spans="1:5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 spans="1:5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 spans="1:5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 spans="1:5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 spans="1:5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 spans="1:5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 spans="1:5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 spans="1:5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 spans="1:5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 spans="1:5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 spans="1:5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 spans="1:5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 spans="1:5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 spans="1:5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 spans="1:5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 spans="1:5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 spans="1:5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 spans="1:5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 spans="1:5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 spans="1:5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 spans="1:5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 spans="1:5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 spans="1:5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 spans="1:5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 spans="1:5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 spans="1:5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 spans="1:5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 spans="1:5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 spans="1:5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 spans="1:5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 spans="1:5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 spans="1:5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 spans="1:5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 spans="1:5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 spans="1:5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 spans="1:5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 spans="1:5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 spans="1:5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 spans="1: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 spans="1:5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 spans="1:5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 spans="1:5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 spans="1:5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 spans="1:5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 spans="1:5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 spans="1:5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 spans="1:5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 spans="1:5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 spans="1:5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 spans="1:5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 spans="1:5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 spans="1:5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 spans="1:5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 spans="1:5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 spans="1:5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 spans="1:5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 spans="1:5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 spans="1:5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 spans="1:5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 spans="1:5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 spans="1:5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 spans="1:5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 spans="1:5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 spans="1:5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 spans="1:5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 spans="1:5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 spans="1:5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 spans="1:5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 spans="1:5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 spans="1:5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 spans="1:5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 spans="1:5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 spans="1:5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 spans="1:5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 spans="1:5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 spans="1:5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  <row r="990" spans="1:5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</row>
    <row r="991" spans="1:5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</row>
    <row r="992" spans="1:5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</row>
    <row r="993" spans="1:5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</row>
    <row r="994" spans="1:5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</row>
    <row r="995" spans="1:5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</row>
    <row r="996" spans="1:5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</row>
    <row r="997" spans="1:5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</row>
    <row r="998" spans="1:5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</row>
    <row r="999" spans="1:5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</row>
    <row r="1000" spans="1:5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</row>
  </sheetData>
  <mergeCells count="1">
    <mergeCell ref="A1:L1"/>
  </mergeCells>
  <dataValidations count="1">
    <dataValidation type="list" sqref="L4:L17" xr:uid="{00000000-0002-0000-0500-000000000000}">
      <formula1>"Prepared,Reviewed,Approved"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1000"/>
  <sheetViews>
    <sheetView topLeftCell="A7" workbookViewId="0">
      <selection sqref="A1:J1"/>
    </sheetView>
  </sheetViews>
  <sheetFormatPr baseColWidth="10" defaultColWidth="8.83203125" defaultRowHeight="15"/>
  <cols>
    <col min="2" max="2" width="24.83203125" bestFit="1" customWidth="1"/>
    <col min="3" max="3" width="8.1640625" bestFit="1" customWidth="1"/>
    <col min="4" max="4" width="24.83203125" bestFit="1" customWidth="1"/>
    <col min="5" max="6" width="12.6640625" bestFit="1" customWidth="1"/>
    <col min="7" max="7" width="11.1640625" bestFit="1" customWidth="1"/>
    <col min="8" max="10" width="12.6640625" bestFit="1" customWidth="1"/>
  </cols>
  <sheetData>
    <row r="1" spans="1:52" ht="37.25" customHeight="1">
      <c r="A1" s="35" t="s">
        <v>938</v>
      </c>
      <c r="B1" s="35"/>
      <c r="C1" s="35"/>
      <c r="D1" s="35"/>
      <c r="E1" s="35"/>
      <c r="F1" s="35"/>
      <c r="G1" s="35"/>
      <c r="H1" s="35"/>
      <c r="I1" s="35"/>
      <c r="J1" s="35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48">
      <c r="A3" s="9" t="s">
        <v>46</v>
      </c>
      <c r="B3" s="9" t="s">
        <v>47</v>
      </c>
      <c r="C3" s="9" t="s">
        <v>939</v>
      </c>
      <c r="D3" s="9" t="s">
        <v>49</v>
      </c>
      <c r="E3" s="9" t="s">
        <v>940</v>
      </c>
      <c r="F3" s="9" t="s">
        <v>941</v>
      </c>
      <c r="G3" s="9" t="s">
        <v>942</v>
      </c>
      <c r="H3" s="9" t="s">
        <v>943</v>
      </c>
      <c r="I3" s="9" t="s">
        <v>125</v>
      </c>
      <c r="J3" s="9" t="s">
        <v>126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>
      <c r="A4" s="8" t="s">
        <v>52</v>
      </c>
      <c r="B4" s="8" t="s">
        <v>53</v>
      </c>
      <c r="C4" s="8" t="s">
        <v>54</v>
      </c>
      <c r="D4" s="8" t="s">
        <v>55</v>
      </c>
      <c r="E4" s="28">
        <f>SUMIF('Opening TB'!$A$4:$A$30,A4,'Opening TB'!$C$4:$C$30)</f>
        <v>450000</v>
      </c>
      <c r="F4" s="28">
        <f>SUMIF('GL Extract'!$C$4:$C$943,A4,'GL Extract'!$I$4:$I$943)</f>
        <v>407522.2194340874</v>
      </c>
      <c r="G4" s="28">
        <f>SUMIF('Adjustment Journals'!$C$4:$C$17,A4,'Adjustment Journals'!$H$4:$H$17)</f>
        <v>0</v>
      </c>
      <c r="H4" s="29">
        <f t="shared" ref="H4:H30" si="0">E4+F4+G4</f>
        <v>857522.2194340874</v>
      </c>
      <c r="I4" s="29">
        <f t="shared" ref="I4:I30" si="1">MAX(H4,0)</f>
        <v>857522.2194340874</v>
      </c>
      <c r="J4" s="29">
        <f t="shared" ref="J4:J30" si="2">MAX(-H4,0)</f>
        <v>0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>
      <c r="A5" s="8" t="s">
        <v>58</v>
      </c>
      <c r="B5" s="8" t="s">
        <v>59</v>
      </c>
      <c r="C5" s="8" t="s">
        <v>54</v>
      </c>
      <c r="D5" s="8" t="s">
        <v>59</v>
      </c>
      <c r="E5" s="28">
        <f>SUMIF('Opening TB'!$A$4:$A$30,A5,'Opening TB'!$C$4:$C$30)</f>
        <v>800000</v>
      </c>
      <c r="F5" s="28">
        <f>SUMIF('GL Extract'!$C$4:$C$943,A5,'GL Extract'!$I$4:$I$943)</f>
        <v>351225.00000000041</v>
      </c>
      <c r="G5" s="28">
        <f>SUMIF('Adjustment Journals'!$C$4:$C$17,A5,'Adjustment Journals'!$H$4:$H$17)</f>
        <v>0</v>
      </c>
      <c r="H5" s="29">
        <f t="shared" si="0"/>
        <v>1151225.0000000005</v>
      </c>
      <c r="I5" s="29">
        <f t="shared" si="1"/>
        <v>1151225.0000000005</v>
      </c>
      <c r="J5" s="29">
        <f t="shared" si="2"/>
        <v>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>
      <c r="A6" s="8" t="s">
        <v>60</v>
      </c>
      <c r="B6" s="8" t="s">
        <v>61</v>
      </c>
      <c r="C6" s="8" t="s">
        <v>54</v>
      </c>
      <c r="D6" s="8" t="s">
        <v>61</v>
      </c>
      <c r="E6" s="28">
        <f>SUMIF('Opening TB'!$A$4:$A$30,A6,'Opening TB'!$C$4:$C$30)</f>
        <v>-30000</v>
      </c>
      <c r="F6" s="28">
        <f>SUMIF('GL Extract'!$C$4:$C$943,A6,'GL Extract'!$I$4:$I$943)</f>
        <v>0</v>
      </c>
      <c r="G6" s="28">
        <f>SUMIF('Adjustment Journals'!$C$4:$C$17,A6,'Adjustment Journals'!$H$4:$H$17)</f>
        <v>-5000</v>
      </c>
      <c r="H6" s="29">
        <f t="shared" si="0"/>
        <v>-35000</v>
      </c>
      <c r="I6" s="29">
        <f t="shared" si="1"/>
        <v>0</v>
      </c>
      <c r="J6" s="29">
        <f t="shared" si="2"/>
        <v>35000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>
      <c r="A7" s="8" t="s">
        <v>63</v>
      </c>
      <c r="B7" s="8" t="s">
        <v>64</v>
      </c>
      <c r="C7" s="8" t="s">
        <v>54</v>
      </c>
      <c r="D7" s="8" t="s">
        <v>64</v>
      </c>
      <c r="E7" s="28">
        <f>SUMIF('Opening TB'!$A$4:$A$30,A7,'Opening TB'!$C$4:$C$30)</f>
        <v>650000</v>
      </c>
      <c r="F7" s="28">
        <f>SUMIF('GL Extract'!$C$4:$C$943,A7,'GL Extract'!$I$4:$I$943)</f>
        <v>10084.799999999901</v>
      </c>
      <c r="G7" s="28">
        <f>SUMIF('Adjustment Journals'!$C$4:$C$17,A7,'Adjustment Journals'!$H$4:$H$17)</f>
        <v>0</v>
      </c>
      <c r="H7" s="29">
        <f t="shared" si="0"/>
        <v>660084.79999999993</v>
      </c>
      <c r="I7" s="29">
        <f t="shared" si="1"/>
        <v>660084.79999999993</v>
      </c>
      <c r="J7" s="29">
        <f t="shared" si="2"/>
        <v>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>
      <c r="A8" s="8" t="s">
        <v>65</v>
      </c>
      <c r="B8" s="8" t="s">
        <v>66</v>
      </c>
      <c r="C8" s="8" t="s">
        <v>54</v>
      </c>
      <c r="D8" s="8" t="s">
        <v>66</v>
      </c>
      <c r="E8" s="28">
        <f>SUMIF('Opening TB'!$A$4:$A$30,A8,'Opening TB'!$C$4:$C$30)</f>
        <v>90000</v>
      </c>
      <c r="F8" s="28">
        <f>SUMIF('GL Extract'!$C$4:$C$943,A8,'GL Extract'!$I$4:$I$943)</f>
        <v>0</v>
      </c>
      <c r="G8" s="28">
        <f>SUMIF('Adjustment Journals'!$C$4:$C$17,A8,'Adjustment Journals'!$H$4:$H$17)</f>
        <v>24000</v>
      </c>
      <c r="H8" s="29">
        <f t="shared" si="0"/>
        <v>114000</v>
      </c>
      <c r="I8" s="29">
        <f t="shared" si="1"/>
        <v>114000</v>
      </c>
      <c r="J8" s="29">
        <f t="shared" si="2"/>
        <v>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>
      <c r="A9" s="8" t="s">
        <v>67</v>
      </c>
      <c r="B9" s="8" t="s">
        <v>68</v>
      </c>
      <c r="C9" s="8" t="s">
        <v>54</v>
      </c>
      <c r="D9" s="8" t="s">
        <v>68</v>
      </c>
      <c r="E9" s="28">
        <f>SUMIF('Opening TB'!$A$4:$A$30,A9,'Opening TB'!$C$4:$C$30)</f>
        <v>1200000</v>
      </c>
      <c r="F9" s="28">
        <f>SUMIF('GL Extract'!$C$4:$C$943,A9,'GL Extract'!$I$4:$I$943)</f>
        <v>230000</v>
      </c>
      <c r="G9" s="28">
        <f>SUMIF('Adjustment Journals'!$C$4:$C$17,A9,'Adjustment Journals'!$H$4:$H$17)</f>
        <v>0</v>
      </c>
      <c r="H9" s="29">
        <f t="shared" si="0"/>
        <v>1430000</v>
      </c>
      <c r="I9" s="29">
        <f t="shared" si="1"/>
        <v>1430000</v>
      </c>
      <c r="J9" s="29">
        <f t="shared" si="2"/>
        <v>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>
      <c r="A10" s="8" t="s">
        <v>69</v>
      </c>
      <c r="B10" s="8" t="s">
        <v>70</v>
      </c>
      <c r="C10" s="8" t="s">
        <v>54</v>
      </c>
      <c r="D10" s="8" t="s">
        <v>70</v>
      </c>
      <c r="E10" s="28">
        <f>SUMIF('Opening TB'!$A$4:$A$30,A10,'Opening TB'!$C$4:$C$30)</f>
        <v>-350000</v>
      </c>
      <c r="F10" s="28">
        <f>SUMIF('GL Extract'!$C$4:$C$943,A10,'GL Extract'!$I$4:$I$943)</f>
        <v>-120000</v>
      </c>
      <c r="G10" s="28">
        <f>SUMIF('Adjustment Journals'!$C$4:$C$17,A10,'Adjustment Journals'!$H$4:$H$17)</f>
        <v>-15000</v>
      </c>
      <c r="H10" s="29">
        <f t="shared" si="0"/>
        <v>-485000</v>
      </c>
      <c r="I10" s="29">
        <f t="shared" si="1"/>
        <v>0</v>
      </c>
      <c r="J10" s="29">
        <f t="shared" si="2"/>
        <v>485000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>
      <c r="A11" s="8" t="s">
        <v>71</v>
      </c>
      <c r="B11" s="8" t="s">
        <v>72</v>
      </c>
      <c r="C11" s="8" t="s">
        <v>73</v>
      </c>
      <c r="D11" s="8" t="s">
        <v>72</v>
      </c>
      <c r="E11" s="28">
        <f>SUMIF('Opening TB'!$A$4:$A$30,A11,'Opening TB'!$C$4:$C$30)</f>
        <v>-600000</v>
      </c>
      <c r="F11" s="28">
        <f>SUMIF('GL Extract'!$C$4:$C$943,A11,'GL Extract'!$I$4:$I$943)</f>
        <v>-1039931.956351431</v>
      </c>
      <c r="G11" s="28">
        <f>SUMIF('Adjustment Journals'!$C$4:$C$17,A11,'Adjustment Journals'!$H$4:$H$17)</f>
        <v>0</v>
      </c>
      <c r="H11" s="29">
        <f t="shared" si="0"/>
        <v>-1639931.9563514311</v>
      </c>
      <c r="I11" s="29">
        <f t="shared" si="1"/>
        <v>0</v>
      </c>
      <c r="J11" s="29">
        <f t="shared" si="2"/>
        <v>1639931.9563514311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>
      <c r="A12" s="8" t="s">
        <v>74</v>
      </c>
      <c r="B12" s="8" t="s">
        <v>75</v>
      </c>
      <c r="C12" s="8" t="s">
        <v>73</v>
      </c>
      <c r="D12" s="8" t="s">
        <v>75</v>
      </c>
      <c r="E12" s="28">
        <f>SUMIF('Opening TB'!$A$4:$A$30,A12,'Opening TB'!$C$4:$C$30)</f>
        <v>-150000</v>
      </c>
      <c r="F12" s="28">
        <f>SUMIF('GL Extract'!$C$4:$C$943,A12,'GL Extract'!$I$4:$I$943)</f>
        <v>0</v>
      </c>
      <c r="G12" s="28">
        <f>SUMIF('Adjustment Journals'!$C$4:$C$17,A12,'Adjustment Journals'!$H$4:$H$17)</f>
        <v>-105000</v>
      </c>
      <c r="H12" s="29">
        <f t="shared" si="0"/>
        <v>-255000</v>
      </c>
      <c r="I12" s="29">
        <f t="shared" si="1"/>
        <v>0</v>
      </c>
      <c r="J12" s="29">
        <f t="shared" si="2"/>
        <v>255000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>
      <c r="A13" s="8" t="s">
        <v>76</v>
      </c>
      <c r="B13" s="8" t="s">
        <v>77</v>
      </c>
      <c r="C13" s="8" t="s">
        <v>73</v>
      </c>
      <c r="D13" s="8" t="s">
        <v>77</v>
      </c>
      <c r="E13" s="28">
        <f>SUMIF('Opening TB'!$A$4:$A$30,A13,'Opening TB'!$C$4:$C$30)</f>
        <v>-60000</v>
      </c>
      <c r="F13" s="28">
        <f>SUMIF('GL Extract'!$C$4:$C$943,A13,'GL Extract'!$I$4:$I$943)</f>
        <v>0</v>
      </c>
      <c r="G13" s="28">
        <f>SUMIF('Adjustment Journals'!$C$4:$C$17,A13,'Adjustment Journals'!$H$4:$H$17)</f>
        <v>0</v>
      </c>
      <c r="H13" s="29">
        <f t="shared" si="0"/>
        <v>-60000</v>
      </c>
      <c r="I13" s="29">
        <f t="shared" si="1"/>
        <v>0</v>
      </c>
      <c r="J13" s="29">
        <f t="shared" si="2"/>
        <v>60000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>
      <c r="A14" s="8" t="s">
        <v>78</v>
      </c>
      <c r="B14" s="8" t="s">
        <v>79</v>
      </c>
      <c r="C14" s="8" t="s">
        <v>73</v>
      </c>
      <c r="D14" s="8" t="s">
        <v>80</v>
      </c>
      <c r="E14" s="28">
        <f>SUMIF('Opening TB'!$A$4:$A$30,A14,'Opening TB'!$C$4:$C$30)</f>
        <v>-100000</v>
      </c>
      <c r="F14" s="28">
        <f>SUMIF('GL Extract'!$C$4:$C$943,A14,'GL Extract'!$I$4:$I$943)</f>
        <v>65000</v>
      </c>
      <c r="G14" s="28">
        <f>SUMIF('Adjustment Journals'!$C$4:$C$17,A14,'Adjustment Journals'!$H$4:$H$17)</f>
        <v>0</v>
      </c>
      <c r="H14" s="29">
        <f t="shared" si="0"/>
        <v>-35000</v>
      </c>
      <c r="I14" s="29">
        <f t="shared" si="1"/>
        <v>0</v>
      </c>
      <c r="J14" s="29">
        <f t="shared" si="2"/>
        <v>35000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>
      <c r="A15" s="8" t="s">
        <v>81</v>
      </c>
      <c r="B15" s="8" t="s">
        <v>82</v>
      </c>
      <c r="C15" s="8" t="s">
        <v>83</v>
      </c>
      <c r="D15" s="8" t="s">
        <v>82</v>
      </c>
      <c r="E15" s="28">
        <f>SUMIF('Opening TB'!$A$4:$A$30,A15,'Opening TB'!$C$4:$C$30)</f>
        <v>-500000</v>
      </c>
      <c r="F15" s="28">
        <f>SUMIF('GL Extract'!$C$4:$C$943,A15,'GL Extract'!$I$4:$I$943)</f>
        <v>0</v>
      </c>
      <c r="G15" s="28">
        <f>SUMIF('Adjustment Journals'!$C$4:$C$17,A15,'Adjustment Journals'!$H$4:$H$17)</f>
        <v>0</v>
      </c>
      <c r="H15" s="29">
        <f t="shared" si="0"/>
        <v>-500000</v>
      </c>
      <c r="I15" s="29">
        <f t="shared" si="1"/>
        <v>0</v>
      </c>
      <c r="J15" s="29">
        <f t="shared" si="2"/>
        <v>500000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>
      <c r="A16" s="8" t="s">
        <v>84</v>
      </c>
      <c r="B16" s="8" t="s">
        <v>85</v>
      </c>
      <c r="C16" s="8" t="s">
        <v>83</v>
      </c>
      <c r="D16" s="8" t="s">
        <v>85</v>
      </c>
      <c r="E16" s="28">
        <f>SUMIF('Opening TB'!$A$4:$A$30,A16,'Opening TB'!$C$4:$C$30)</f>
        <v>-1400000</v>
      </c>
      <c r="F16" s="28">
        <f>SUMIF('GL Extract'!$C$4:$C$943,A16,'GL Extract'!$I$4:$I$943)</f>
        <v>0</v>
      </c>
      <c r="G16" s="28">
        <f>SUMIF('Adjustment Journals'!$C$4:$C$17,A16,'Adjustment Journals'!$H$4:$H$17)</f>
        <v>0</v>
      </c>
      <c r="H16" s="29">
        <f t="shared" si="0"/>
        <v>-1400000</v>
      </c>
      <c r="I16" s="29">
        <f t="shared" si="1"/>
        <v>0</v>
      </c>
      <c r="J16" s="29">
        <f t="shared" si="2"/>
        <v>1400000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>
      <c r="A17" s="8" t="s">
        <v>86</v>
      </c>
      <c r="B17" s="8" t="s">
        <v>87</v>
      </c>
      <c r="C17" s="8" t="s">
        <v>88</v>
      </c>
      <c r="D17" s="8" t="s">
        <v>88</v>
      </c>
      <c r="E17" s="28">
        <f>SUMIF('Opening TB'!$A$4:$A$30,A17,'Opening TB'!$C$4:$C$30)</f>
        <v>0</v>
      </c>
      <c r="F17" s="28">
        <f>SUMIF('GL Extract'!$C$4:$C$943,A17,'GL Extract'!$I$4:$I$943)</f>
        <v>-8300000.0000000028</v>
      </c>
      <c r="G17" s="28">
        <f>SUMIF('Adjustment Journals'!$C$4:$C$17,A17,'Adjustment Journals'!$H$4:$H$17)</f>
        <v>0</v>
      </c>
      <c r="H17" s="29">
        <f t="shared" si="0"/>
        <v>-8300000.0000000028</v>
      </c>
      <c r="I17" s="29">
        <f t="shared" si="1"/>
        <v>0</v>
      </c>
      <c r="J17" s="29">
        <f t="shared" si="2"/>
        <v>8300000.0000000028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>
      <c r="A18" s="8" t="s">
        <v>90</v>
      </c>
      <c r="B18" s="8" t="s">
        <v>91</v>
      </c>
      <c r="C18" s="8" t="s">
        <v>92</v>
      </c>
      <c r="D18" s="8" t="s">
        <v>93</v>
      </c>
      <c r="E18" s="28">
        <f>SUMIF('Opening TB'!$A$4:$A$30,A18,'Opening TB'!$C$4:$C$30)</f>
        <v>0</v>
      </c>
      <c r="F18" s="28">
        <f>SUMIF('GL Extract'!$C$4:$C$943,A18,'GL Extract'!$I$4:$I$943)</f>
        <v>4558625</v>
      </c>
      <c r="G18" s="28">
        <f>SUMIF('Adjustment Journals'!$C$4:$C$17,A18,'Adjustment Journals'!$H$4:$H$17)</f>
        <v>0</v>
      </c>
      <c r="H18" s="29">
        <f t="shared" si="0"/>
        <v>4558625</v>
      </c>
      <c r="I18" s="29">
        <f t="shared" si="1"/>
        <v>4558625</v>
      </c>
      <c r="J18" s="29">
        <f t="shared" si="2"/>
        <v>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>
      <c r="A19" s="8" t="s">
        <v>94</v>
      </c>
      <c r="B19" s="8" t="s">
        <v>95</v>
      </c>
      <c r="C19" s="8" t="s">
        <v>92</v>
      </c>
      <c r="D19" s="8" t="s">
        <v>96</v>
      </c>
      <c r="E19" s="28">
        <f>SUMIF('Opening TB'!$A$4:$A$30,A19,'Opening TB'!$C$4:$C$30)</f>
        <v>0</v>
      </c>
      <c r="F19" s="28">
        <f>SUMIF('GL Extract'!$C$4:$C$943,A19,'GL Extract'!$I$4:$I$943)</f>
        <v>1674430.3039057294</v>
      </c>
      <c r="G19" s="28">
        <f>SUMIF('Adjustment Journals'!$C$4:$C$17,A19,'Adjustment Journals'!$H$4:$H$17)</f>
        <v>35000</v>
      </c>
      <c r="H19" s="29">
        <f t="shared" si="0"/>
        <v>1709430.3039057294</v>
      </c>
      <c r="I19" s="29">
        <f t="shared" si="1"/>
        <v>1709430.3039057294</v>
      </c>
      <c r="J19" s="29">
        <f t="shared" si="2"/>
        <v>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>
      <c r="A20" s="8" t="s">
        <v>97</v>
      </c>
      <c r="B20" s="8" t="s">
        <v>98</v>
      </c>
      <c r="C20" s="8" t="s">
        <v>92</v>
      </c>
      <c r="D20" s="8" t="s">
        <v>99</v>
      </c>
      <c r="E20" s="28">
        <f>SUMIF('Opening TB'!$A$4:$A$30,A20,'Opening TB'!$C$4:$C$30)</f>
        <v>0</v>
      </c>
      <c r="F20" s="28">
        <f>SUMIF('GL Extract'!$C$4:$C$943,A20,'GL Extract'!$I$4:$I$943)</f>
        <v>226048.09102727353</v>
      </c>
      <c r="G20" s="28">
        <f>SUMIF('Adjustment Journals'!$C$4:$C$17,A20,'Adjustment Journals'!$H$4:$H$17)</f>
        <v>0</v>
      </c>
      <c r="H20" s="29">
        <f t="shared" si="0"/>
        <v>226048.09102727353</v>
      </c>
      <c r="I20" s="29">
        <f t="shared" si="1"/>
        <v>226048.09102727353</v>
      </c>
      <c r="J20" s="29">
        <f t="shared" si="2"/>
        <v>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>
      <c r="A21" s="8" t="s">
        <v>100</v>
      </c>
      <c r="B21" s="8" t="s">
        <v>101</v>
      </c>
      <c r="C21" s="8" t="s">
        <v>92</v>
      </c>
      <c r="D21" s="8" t="s">
        <v>101</v>
      </c>
      <c r="E21" s="28">
        <f>SUMIF('Opening TB'!$A$4:$A$30,A21,'Opening TB'!$C$4:$C$30)</f>
        <v>0</v>
      </c>
      <c r="F21" s="28">
        <f>SUMIF('GL Extract'!$C$4:$C$943,A21,'GL Extract'!$I$4:$I$943)</f>
        <v>618420.63423516159</v>
      </c>
      <c r="G21" s="28">
        <f>SUMIF('Adjustment Journals'!$C$4:$C$17,A21,'Adjustment Journals'!$H$4:$H$17)</f>
        <v>30000</v>
      </c>
      <c r="H21" s="29">
        <f t="shared" si="0"/>
        <v>648420.63423516159</v>
      </c>
      <c r="I21" s="29">
        <f t="shared" si="1"/>
        <v>648420.63423516159</v>
      </c>
      <c r="J21" s="29">
        <f t="shared" si="2"/>
        <v>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>
      <c r="A22" s="8" t="s">
        <v>102</v>
      </c>
      <c r="B22" s="8" t="s">
        <v>103</v>
      </c>
      <c r="C22" s="8" t="s">
        <v>92</v>
      </c>
      <c r="D22" s="8" t="s">
        <v>103</v>
      </c>
      <c r="E22" s="28">
        <f>SUMIF('Opening TB'!$A$4:$A$30,A22,'Opening TB'!$C$4:$C$30)</f>
        <v>0</v>
      </c>
      <c r="F22" s="28">
        <f>SUMIF('GL Extract'!$C$4:$C$943,A22,'GL Extract'!$I$4:$I$943)</f>
        <v>468000</v>
      </c>
      <c r="G22" s="28">
        <f>SUMIF('Adjustment Journals'!$C$4:$C$17,A22,'Adjustment Journals'!$H$4:$H$17)</f>
        <v>0</v>
      </c>
      <c r="H22" s="29">
        <f t="shared" si="0"/>
        <v>468000</v>
      </c>
      <c r="I22" s="29">
        <f t="shared" si="1"/>
        <v>468000</v>
      </c>
      <c r="J22" s="29">
        <f t="shared" si="2"/>
        <v>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>
      <c r="A23" s="8" t="s">
        <v>104</v>
      </c>
      <c r="B23" s="8" t="s">
        <v>105</v>
      </c>
      <c r="C23" s="8" t="s">
        <v>92</v>
      </c>
      <c r="D23" s="8" t="s">
        <v>105</v>
      </c>
      <c r="E23" s="28">
        <f>SUMIF('Opening TB'!$A$4:$A$30,A23,'Opening TB'!$C$4:$C$30)</f>
        <v>0</v>
      </c>
      <c r="F23" s="28">
        <f>SUMIF('GL Extract'!$C$4:$C$943,A23,'GL Extract'!$I$4:$I$943)</f>
        <v>165761.23069004598</v>
      </c>
      <c r="G23" s="28">
        <f>SUMIF('Adjustment Journals'!$C$4:$C$17,A23,'Adjustment Journals'!$H$4:$H$17)</f>
        <v>22000</v>
      </c>
      <c r="H23" s="29">
        <f t="shared" si="0"/>
        <v>187761.23069004598</v>
      </c>
      <c r="I23" s="29">
        <f t="shared" si="1"/>
        <v>187761.23069004598</v>
      </c>
      <c r="J23" s="29">
        <f t="shared" si="2"/>
        <v>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>
      <c r="A24" s="8" t="s">
        <v>106</v>
      </c>
      <c r="B24" s="8" t="s">
        <v>107</v>
      </c>
      <c r="C24" s="8" t="s">
        <v>92</v>
      </c>
      <c r="D24" s="8" t="s">
        <v>107</v>
      </c>
      <c r="E24" s="28">
        <f>SUMIF('Opening TB'!$A$4:$A$30,A24,'Opening TB'!$C$4:$C$30)</f>
        <v>0</v>
      </c>
      <c r="F24" s="28">
        <f>SUMIF('GL Extract'!$C$4:$C$943,A24,'GL Extract'!$I$4:$I$943)</f>
        <v>122360.19237622328</v>
      </c>
      <c r="G24" s="28">
        <f>SUMIF('Adjustment Journals'!$C$4:$C$17,A24,'Adjustment Journals'!$H$4:$H$17)</f>
        <v>18000</v>
      </c>
      <c r="H24" s="29">
        <f t="shared" si="0"/>
        <v>140360.19237622328</v>
      </c>
      <c r="I24" s="29">
        <f t="shared" si="1"/>
        <v>140360.19237622328</v>
      </c>
      <c r="J24" s="29">
        <f t="shared" si="2"/>
        <v>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>
      <c r="A25" s="8" t="s">
        <v>108</v>
      </c>
      <c r="B25" s="8" t="s">
        <v>109</v>
      </c>
      <c r="C25" s="8" t="s">
        <v>92</v>
      </c>
      <c r="D25" s="8" t="s">
        <v>109</v>
      </c>
      <c r="E25" s="28">
        <f>SUMIF('Opening TB'!$A$4:$A$30,A25,'Opening TB'!$C$4:$C$30)</f>
        <v>0</v>
      </c>
      <c r="F25" s="28">
        <f>SUMIF('GL Extract'!$C$4:$C$943,A25,'GL Extract'!$I$4:$I$943)</f>
        <v>96000</v>
      </c>
      <c r="G25" s="28">
        <f>SUMIF('Adjustment Journals'!$C$4:$C$17,A25,'Adjustment Journals'!$H$4:$H$17)</f>
        <v>-24000</v>
      </c>
      <c r="H25" s="29">
        <f t="shared" si="0"/>
        <v>72000</v>
      </c>
      <c r="I25" s="29">
        <f t="shared" si="1"/>
        <v>72000</v>
      </c>
      <c r="J25" s="29">
        <f t="shared" si="2"/>
        <v>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>
      <c r="A26" s="8" t="s">
        <v>110</v>
      </c>
      <c r="B26" s="8" t="s">
        <v>111</v>
      </c>
      <c r="C26" s="8" t="s">
        <v>92</v>
      </c>
      <c r="D26" s="8" t="s">
        <v>111</v>
      </c>
      <c r="E26" s="28">
        <f>SUMIF('Opening TB'!$A$4:$A$30,A26,'Opening TB'!$C$4:$C$30)</f>
        <v>0</v>
      </c>
      <c r="F26" s="28">
        <f>SUMIF('GL Extract'!$C$4:$C$943,A26,'GL Extract'!$I$4:$I$943)</f>
        <v>214200</v>
      </c>
      <c r="G26" s="28">
        <f>SUMIF('Adjustment Journals'!$C$4:$C$17,A26,'Adjustment Journals'!$H$4:$H$17)</f>
        <v>0</v>
      </c>
      <c r="H26" s="29">
        <f t="shared" si="0"/>
        <v>214200</v>
      </c>
      <c r="I26" s="29">
        <f t="shared" si="1"/>
        <v>214200</v>
      </c>
      <c r="J26" s="29">
        <f t="shared" si="2"/>
        <v>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>
      <c r="A27" s="8" t="s">
        <v>112</v>
      </c>
      <c r="B27" s="8" t="s">
        <v>113</v>
      </c>
      <c r="C27" s="8" t="s">
        <v>92</v>
      </c>
      <c r="D27" s="8" t="s">
        <v>114</v>
      </c>
      <c r="E27" s="28">
        <f>SUMIF('Opening TB'!$A$4:$A$30,A27,'Opening TB'!$C$4:$C$30)</f>
        <v>0</v>
      </c>
      <c r="F27" s="28">
        <f>SUMIF('GL Extract'!$C$4:$C$943,A27,'GL Extract'!$I$4:$I$943)</f>
        <v>82754.484682909737</v>
      </c>
      <c r="G27" s="28">
        <f>SUMIF('Adjustment Journals'!$C$4:$C$17,A27,'Adjustment Journals'!$H$4:$H$17)</f>
        <v>0</v>
      </c>
      <c r="H27" s="29">
        <f t="shared" si="0"/>
        <v>82754.484682909737</v>
      </c>
      <c r="I27" s="29">
        <f t="shared" si="1"/>
        <v>82754.484682909737</v>
      </c>
      <c r="J27" s="29">
        <f t="shared" si="2"/>
        <v>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>
      <c r="A28" s="8" t="s">
        <v>115</v>
      </c>
      <c r="B28" s="8" t="s">
        <v>116</v>
      </c>
      <c r="C28" s="8" t="s">
        <v>92</v>
      </c>
      <c r="D28" s="8" t="s">
        <v>116</v>
      </c>
      <c r="E28" s="28">
        <f>SUMIF('Opening TB'!$A$4:$A$30,A28,'Opening TB'!$C$4:$C$30)</f>
        <v>0</v>
      </c>
      <c r="F28" s="28">
        <f>SUMIF('GL Extract'!$C$4:$C$943,A28,'GL Extract'!$I$4:$I$943)</f>
        <v>120000</v>
      </c>
      <c r="G28" s="28">
        <f>SUMIF('Adjustment Journals'!$C$4:$C$17,A28,'Adjustment Journals'!$H$4:$H$17)</f>
        <v>15000</v>
      </c>
      <c r="H28" s="29">
        <f t="shared" si="0"/>
        <v>135000</v>
      </c>
      <c r="I28" s="29">
        <f t="shared" si="1"/>
        <v>135000</v>
      </c>
      <c r="J28" s="29">
        <f t="shared" si="2"/>
        <v>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>
      <c r="A29" s="8" t="s">
        <v>117</v>
      </c>
      <c r="B29" s="8" t="s">
        <v>118</v>
      </c>
      <c r="C29" s="8" t="s">
        <v>92</v>
      </c>
      <c r="D29" s="8" t="s">
        <v>119</v>
      </c>
      <c r="E29" s="28">
        <f>SUMIF('Opening TB'!$A$4:$A$30,A29,'Opening TB'!$C$4:$C$30)</f>
        <v>0</v>
      </c>
      <c r="F29" s="28">
        <f>SUMIF('GL Extract'!$C$4:$C$943,A29,'GL Extract'!$I$4:$I$943)</f>
        <v>0</v>
      </c>
      <c r="G29" s="28">
        <f>SUMIF('Adjustment Journals'!$C$4:$C$17,A29,'Adjustment Journals'!$H$4:$H$17)</f>
        <v>5000</v>
      </c>
      <c r="H29" s="29">
        <f t="shared" si="0"/>
        <v>5000</v>
      </c>
      <c r="I29" s="29">
        <f t="shared" si="1"/>
        <v>5000</v>
      </c>
      <c r="J29" s="29">
        <f t="shared" si="2"/>
        <v>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>
      <c r="A30" s="8" t="s">
        <v>120</v>
      </c>
      <c r="B30" s="8" t="s">
        <v>121</v>
      </c>
      <c r="C30" s="8" t="s">
        <v>92</v>
      </c>
      <c r="D30" s="8" t="s">
        <v>122</v>
      </c>
      <c r="E30" s="28">
        <f>SUMIF('Opening TB'!$A$4:$A$30,A30,'Opening TB'!$C$4:$C$30)</f>
        <v>0</v>
      </c>
      <c r="F30" s="28">
        <f>SUMIF('GL Extract'!$C$4:$C$943,A30,'GL Extract'!$I$4:$I$943)</f>
        <v>49500</v>
      </c>
      <c r="G30" s="28">
        <f>SUMIF('Adjustment Journals'!$C$4:$C$17,A30,'Adjustment Journals'!$H$4:$H$17)</f>
        <v>0</v>
      </c>
      <c r="H30" s="29">
        <f t="shared" si="0"/>
        <v>49500</v>
      </c>
      <c r="I30" s="29">
        <f t="shared" si="1"/>
        <v>49500</v>
      </c>
      <c r="J30" s="29">
        <f t="shared" si="2"/>
        <v>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>
      <c r="A32" s="11" t="s">
        <v>129</v>
      </c>
      <c r="B32" s="11"/>
      <c r="C32" s="11"/>
      <c r="D32" s="11"/>
      <c r="E32" s="12">
        <f t="shared" ref="E32:J32" si="3">SUM(E4:E30)</f>
        <v>0</v>
      </c>
      <c r="F32" s="12">
        <f t="shared" si="3"/>
        <v>-2.6193447411060333E-9</v>
      </c>
      <c r="G32" s="12">
        <f t="shared" si="3"/>
        <v>0</v>
      </c>
      <c r="H32" s="12">
        <f t="shared" si="3"/>
        <v>-2.6193447411060333E-9</v>
      </c>
      <c r="I32" s="12">
        <f t="shared" si="3"/>
        <v>12709931.956351429</v>
      </c>
      <c r="J32" s="12">
        <f t="shared" si="3"/>
        <v>12709931.956351433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1:5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1:5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 spans="1:5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 spans="1:5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 spans="1:5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 spans="1:5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 spans="1:5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 spans="1:5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 spans="1:5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 spans="1:5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 spans="1:5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 spans="1:5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 spans="1:5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 spans="1:5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 spans="1:5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 spans="1:5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 spans="1:5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 spans="1:5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 spans="1:5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 spans="1:5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 spans="1:5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 spans="1:5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 spans="1:5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 spans="1:5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 spans="1:5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 spans="1:5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 spans="1:5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 spans="1:5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 spans="1:5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 spans="1:5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 spans="1:5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 spans="1:5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 spans="1:5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 spans="1:5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 spans="1:5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 spans="1:5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 spans="1:5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 spans="1:5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 spans="1:5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 spans="1:5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 spans="1:5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 spans="1:5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 spans="1:5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 spans="1:5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 spans="1:5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 spans="1:5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 spans="1:5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 spans="1:5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 spans="1:5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 spans="1:5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 spans="1:5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 spans="1:5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 spans="1:5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 spans="1: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 spans="1:5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 spans="1:5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 spans="1:5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 spans="1:5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 spans="1:5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 spans="1:5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 spans="1:5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 spans="1:5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 spans="1:5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 spans="1:5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 spans="1:5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 spans="1:5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 spans="1:5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 spans="1:5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 spans="1:5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 spans="1:5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 spans="1:5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 spans="1:5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 spans="1:5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 spans="1:5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 spans="1:5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 spans="1:5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 spans="1:5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 spans="1:5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 spans="1:5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 spans="1:5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 spans="1:5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 spans="1:5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 spans="1:5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 spans="1:5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 spans="1:5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 spans="1:5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 spans="1:5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 spans="1:5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 spans="1:5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 spans="1:5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 spans="1:5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 spans="1:5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 spans="1:5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 spans="1:5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 spans="1:5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 spans="1:5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 spans="1:5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 spans="1:5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 spans="1:5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 spans="1:5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 spans="1:5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 spans="1:5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 spans="1:5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 spans="1:5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 spans="1:5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 spans="1:5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 spans="1:5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 spans="1:5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 spans="1:5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 spans="1:5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 spans="1:5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 spans="1:5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 spans="1:5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 spans="1:5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 spans="1:5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 spans="1:5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 spans="1:5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 spans="1:5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 spans="1:5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 spans="1:5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 spans="1:5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 spans="1:5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 spans="1:5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 spans="1:5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 spans="1:5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 spans="1:5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 spans="1:5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 spans="1:5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 spans="1:5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 spans="1:5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 spans="1:5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 spans="1:5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 spans="1:5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 spans="1:5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 spans="1:5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 spans="1:5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 spans="1:5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 spans="1:5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 spans="1:5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 spans="1:5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 spans="1:5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 spans="1:5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 spans="1:5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 spans="1:5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 spans="1:5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 spans="1:5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 spans="1:5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 spans="1:5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 spans="1:5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 spans="1:5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 spans="1:5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 spans="1:5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 spans="1:5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 spans="1: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 spans="1:5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 spans="1:5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 spans="1:5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 spans="1:5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 spans="1:5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 spans="1:5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 spans="1:5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 spans="1:5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 spans="1:5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 spans="1:5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 spans="1:5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 spans="1:5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 spans="1:5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 spans="1:5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 spans="1:5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 spans="1:5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 spans="1:5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 spans="1:5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 spans="1:5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 spans="1:5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 spans="1:5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 spans="1:5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 spans="1:5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 spans="1:5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 spans="1:5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 spans="1:5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 spans="1:5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 spans="1:5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 spans="1:5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 spans="1:5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 spans="1:5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 spans="1:5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 spans="1:5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 spans="1:5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 spans="1:5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 spans="1:5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 spans="1:5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 spans="1:5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 spans="1:5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 spans="1:5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 spans="1:5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 spans="1:5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 spans="1:5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 spans="1:5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 spans="1:5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 spans="1:5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 spans="1:5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 spans="1:5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 spans="1:5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 spans="1:5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 spans="1:5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 spans="1:5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 spans="1:5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 spans="1:5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 spans="1:5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 spans="1:5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 spans="1:5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 spans="1:5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 spans="1:5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 spans="1:5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 spans="1:5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 spans="1:5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 spans="1:5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 spans="1:5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 spans="1:5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 spans="1:5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 spans="1:5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 spans="1:5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 spans="1:5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 spans="1:5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 spans="1:5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 spans="1:5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 spans="1:5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 spans="1:5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 spans="1:5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 spans="1:5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 spans="1:5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 spans="1:5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 spans="1:5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 spans="1:5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 spans="1:5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 spans="1:5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 spans="1:5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 spans="1:5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 spans="1:5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 spans="1:5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 spans="1:5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 spans="1:5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 spans="1:5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 spans="1:5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 spans="1:5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 spans="1:5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 spans="1:5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 spans="1:5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 spans="1:5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 spans="1:5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 spans="1:5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 spans="1:5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 spans="1:5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 spans="1: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 spans="1:5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 spans="1:5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 spans="1:5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 spans="1:5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 spans="1:5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 spans="1:5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 spans="1:5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 spans="1:5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 spans="1:5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 spans="1:5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 spans="1:5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 spans="1:5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 spans="1:5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 spans="1:5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 spans="1:5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 spans="1:5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 spans="1:5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 spans="1:5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 spans="1:5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 spans="1:5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 spans="1:5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 spans="1:5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 spans="1:5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 spans="1:5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 spans="1:5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 spans="1:5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 spans="1:5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 spans="1:5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 spans="1:5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 spans="1:5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 spans="1:5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 spans="1:5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 spans="1:5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 spans="1:5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 spans="1:5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 spans="1:5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 spans="1:5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 spans="1:5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 spans="1:5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 spans="1:5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 spans="1:5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 spans="1:5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 spans="1:5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 spans="1:5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 spans="1:5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 spans="1:5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 spans="1:5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 spans="1:5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 spans="1:5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 spans="1:5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 spans="1:5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 spans="1:5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 spans="1:5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 spans="1:5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 spans="1:5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 spans="1:5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 spans="1:5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 spans="1:5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 spans="1:5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 spans="1:5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 spans="1:5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 spans="1:5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 spans="1:5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 spans="1:5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 spans="1:5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 spans="1:5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 spans="1:5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 spans="1:5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 spans="1:5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 spans="1:5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 spans="1:5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 spans="1:5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 spans="1:5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 spans="1:5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 spans="1:5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 spans="1:5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 spans="1:5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 spans="1:5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 spans="1:5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 spans="1:5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 spans="1:5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 spans="1:5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 spans="1:5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 spans="1:5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 spans="1:5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 spans="1:5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 spans="1:5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 spans="1:5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 spans="1:5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 spans="1:5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 spans="1:5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 spans="1:5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 spans="1:5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 spans="1:5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 spans="1:5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 spans="1:5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 spans="1:5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 spans="1:5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 spans="1:5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 spans="1: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 spans="1:5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 spans="1:5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 spans="1:5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 spans="1:5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 spans="1:5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 spans="1:5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 spans="1:5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 spans="1:5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 spans="1:5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 spans="1:5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 spans="1:5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 spans="1:5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 spans="1:5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 spans="1:5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 spans="1:5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 spans="1:5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 spans="1:5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 spans="1:5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 spans="1:5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 spans="1:5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 spans="1:5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 spans="1:5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 spans="1:5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 spans="1:5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 spans="1:5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 spans="1:5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 spans="1:5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 spans="1:5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 spans="1:5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 spans="1:5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 spans="1:5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 spans="1:5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 spans="1:5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 spans="1:5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 spans="1:5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 spans="1:5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 spans="1:5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 spans="1:5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 spans="1:5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 spans="1:5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 spans="1:5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 spans="1:5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 spans="1:5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 spans="1:5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 spans="1:5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 spans="1:5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 spans="1:5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 spans="1:5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 spans="1:5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 spans="1:5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 spans="1:5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 spans="1:5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 spans="1:5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 spans="1:5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 spans="1:5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 spans="1:5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 spans="1:5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 spans="1:5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 spans="1:5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 spans="1:5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 spans="1:5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 spans="1:5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 spans="1:5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 spans="1:5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 spans="1:5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 spans="1:5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 spans="1:5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 spans="1:5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 spans="1:5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 spans="1:5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 spans="1:5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 spans="1:5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 spans="1:5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 spans="1:5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 spans="1:5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 spans="1:5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 spans="1:5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 spans="1:5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 spans="1:5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 spans="1:5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 spans="1:5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 spans="1:5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 spans="1:5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 spans="1:5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 spans="1:5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 spans="1:5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 spans="1:5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 spans="1:5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 spans="1:5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 spans="1:5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 spans="1:5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 spans="1:5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 spans="1:5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 spans="1:5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 spans="1:5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 spans="1:5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 spans="1:5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 spans="1:5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 spans="1:5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 spans="1: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 spans="1:5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 spans="1:5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 spans="1:5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 spans="1:5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 spans="1:5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 spans="1:5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 spans="1:5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 spans="1:5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 spans="1:5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 spans="1:5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 spans="1:5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 spans="1:5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 spans="1:5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 spans="1:5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 spans="1:5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 spans="1:5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 spans="1:5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 spans="1:5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 spans="1:5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 spans="1:5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 spans="1:5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 spans="1:5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 spans="1:5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 spans="1:5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 spans="1:5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 spans="1:5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 spans="1:5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 spans="1:5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 spans="1:5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 spans="1:5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 spans="1:5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 spans="1:5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 spans="1:5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 spans="1:5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 spans="1:5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 spans="1:5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 spans="1:5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  <row r="990" spans="1:5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</row>
    <row r="991" spans="1:5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</row>
    <row r="992" spans="1:5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</row>
    <row r="993" spans="1:5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</row>
    <row r="994" spans="1:5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</row>
    <row r="995" spans="1:5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</row>
    <row r="996" spans="1:5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</row>
    <row r="997" spans="1:5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</row>
    <row r="998" spans="1:5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</row>
    <row r="999" spans="1:5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</row>
    <row r="1000" spans="1:5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1000"/>
  <sheetViews>
    <sheetView workbookViewId="0">
      <selection sqref="A1:K1"/>
    </sheetView>
  </sheetViews>
  <sheetFormatPr baseColWidth="10" defaultColWidth="8.83203125" defaultRowHeight="15"/>
  <cols>
    <col min="1" max="1" width="24" customWidth="1"/>
    <col min="2" max="11" width="14" customWidth="1"/>
  </cols>
  <sheetData>
    <row r="1" spans="1:52" ht="37.25" customHeight="1">
      <c r="A1" s="35" t="s">
        <v>944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16">
      <c r="A3" s="9" t="s">
        <v>49</v>
      </c>
      <c r="B3" s="9" t="s">
        <v>945</v>
      </c>
      <c r="C3" s="9" t="s">
        <v>946</v>
      </c>
      <c r="D3" s="9" t="s">
        <v>947</v>
      </c>
      <c r="E3" s="9" t="s">
        <v>948</v>
      </c>
      <c r="F3" s="9" t="s">
        <v>949</v>
      </c>
      <c r="G3" s="9" t="s">
        <v>950</v>
      </c>
      <c r="H3" s="9" t="s">
        <v>951</v>
      </c>
      <c r="I3" s="9" t="s">
        <v>952</v>
      </c>
      <c r="J3" s="9" t="s">
        <v>953</v>
      </c>
      <c r="K3" s="9" t="s">
        <v>954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>
      <c r="A4" s="14" t="s">
        <v>88</v>
      </c>
      <c r="B4" s="15">
        <v>805000</v>
      </c>
      <c r="C4" s="15">
        <v>835000</v>
      </c>
      <c r="D4" s="15">
        <v>865000</v>
      </c>
      <c r="E4" s="15">
        <v>895000</v>
      </c>
      <c r="F4" s="15">
        <v>925000</v>
      </c>
      <c r="G4" s="15">
        <v>950000</v>
      </c>
      <c r="H4" s="15">
        <v>965000</v>
      </c>
      <c r="I4" s="15">
        <v>985000</v>
      </c>
      <c r="J4" s="15">
        <v>1005000</v>
      </c>
      <c r="K4" s="15">
        <v>8230000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>
      <c r="A5" s="14" t="s">
        <v>93</v>
      </c>
      <c r="B5" s="15">
        <v>442750.00000000006</v>
      </c>
      <c r="C5" s="15">
        <v>459250.00000000006</v>
      </c>
      <c r="D5" s="15">
        <v>475750.00000000006</v>
      </c>
      <c r="E5" s="15">
        <v>492250.00000000006</v>
      </c>
      <c r="F5" s="15">
        <v>508750.00000000006</v>
      </c>
      <c r="G5" s="15">
        <v>522500.00000000006</v>
      </c>
      <c r="H5" s="15">
        <v>530750</v>
      </c>
      <c r="I5" s="15">
        <v>541750</v>
      </c>
      <c r="J5" s="15">
        <v>552750</v>
      </c>
      <c r="K5" s="15">
        <v>4526500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>
      <c r="A6" s="14" t="s">
        <v>96</v>
      </c>
      <c r="B6" s="15">
        <v>180000</v>
      </c>
      <c r="C6" s="15">
        <v>181000</v>
      </c>
      <c r="D6" s="15">
        <v>182000</v>
      </c>
      <c r="E6" s="15">
        <v>183000</v>
      </c>
      <c r="F6" s="15">
        <v>184000</v>
      </c>
      <c r="G6" s="15">
        <v>186000</v>
      </c>
      <c r="H6" s="15">
        <v>188000</v>
      </c>
      <c r="I6" s="15">
        <v>190000</v>
      </c>
      <c r="J6" s="15">
        <v>192000</v>
      </c>
      <c r="K6" s="15">
        <v>1666000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>
      <c r="A7" s="14" t="s">
        <v>99</v>
      </c>
      <c r="B7" s="15">
        <v>24300</v>
      </c>
      <c r="C7" s="15">
        <v>24435</v>
      </c>
      <c r="D7" s="15">
        <v>24570</v>
      </c>
      <c r="E7" s="15">
        <v>24705</v>
      </c>
      <c r="F7" s="15">
        <v>24840</v>
      </c>
      <c r="G7" s="15">
        <v>25110</v>
      </c>
      <c r="H7" s="15">
        <v>25380</v>
      </c>
      <c r="I7" s="15">
        <v>25650</v>
      </c>
      <c r="J7" s="15">
        <v>25920</v>
      </c>
      <c r="K7" s="15">
        <v>224910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>
      <c r="A8" s="14" t="s">
        <v>101</v>
      </c>
      <c r="B8" s="15">
        <v>60000</v>
      </c>
      <c r="C8" s="15">
        <v>62200</v>
      </c>
      <c r="D8" s="15">
        <v>64400</v>
      </c>
      <c r="E8" s="15">
        <v>66600</v>
      </c>
      <c r="F8" s="15">
        <v>68800</v>
      </c>
      <c r="G8" s="15">
        <v>71000</v>
      </c>
      <c r="H8" s="15">
        <v>73200</v>
      </c>
      <c r="I8" s="15">
        <v>75400</v>
      </c>
      <c r="J8" s="15">
        <v>77600</v>
      </c>
      <c r="K8" s="15">
        <v>619200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>
      <c r="A9" s="14" t="s">
        <v>103</v>
      </c>
      <c r="B9" s="15">
        <v>52000</v>
      </c>
      <c r="C9" s="15">
        <v>52000</v>
      </c>
      <c r="D9" s="15">
        <v>52000</v>
      </c>
      <c r="E9" s="15">
        <v>52000</v>
      </c>
      <c r="F9" s="15">
        <v>52000</v>
      </c>
      <c r="G9" s="15">
        <v>52000</v>
      </c>
      <c r="H9" s="15">
        <v>52000</v>
      </c>
      <c r="I9" s="15">
        <v>52000</v>
      </c>
      <c r="J9" s="15">
        <v>52000</v>
      </c>
      <c r="K9" s="15">
        <v>468000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>
      <c r="A10" s="14" t="s">
        <v>105</v>
      </c>
      <c r="B10" s="15">
        <v>20000</v>
      </c>
      <c r="C10" s="15">
        <v>20300</v>
      </c>
      <c r="D10" s="15">
        <v>20600</v>
      </c>
      <c r="E10" s="15">
        <v>20900</v>
      </c>
      <c r="F10" s="15">
        <v>21200</v>
      </c>
      <c r="G10" s="15">
        <v>21500</v>
      </c>
      <c r="H10" s="15">
        <v>21800</v>
      </c>
      <c r="I10" s="15">
        <v>22100</v>
      </c>
      <c r="J10" s="15">
        <v>22400</v>
      </c>
      <c r="K10" s="15">
        <v>190800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>
      <c r="A11" s="14" t="s">
        <v>107</v>
      </c>
      <c r="B11" s="15">
        <v>14500</v>
      </c>
      <c r="C11" s="15">
        <v>14950</v>
      </c>
      <c r="D11" s="15">
        <v>15400</v>
      </c>
      <c r="E11" s="15">
        <v>15850</v>
      </c>
      <c r="F11" s="15">
        <v>16300</v>
      </c>
      <c r="G11" s="15">
        <v>16750</v>
      </c>
      <c r="H11" s="15">
        <v>17200</v>
      </c>
      <c r="I11" s="15">
        <v>17650</v>
      </c>
      <c r="J11" s="15">
        <v>18100</v>
      </c>
      <c r="K11" s="15">
        <v>146700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>
      <c r="A12" s="14" t="s">
        <v>109</v>
      </c>
      <c r="B12" s="15">
        <v>8000</v>
      </c>
      <c r="C12" s="15">
        <v>8000</v>
      </c>
      <c r="D12" s="15">
        <v>8000</v>
      </c>
      <c r="E12" s="15">
        <v>8000</v>
      </c>
      <c r="F12" s="15">
        <v>8000</v>
      </c>
      <c r="G12" s="15">
        <v>8000</v>
      </c>
      <c r="H12" s="15">
        <v>8000</v>
      </c>
      <c r="I12" s="15">
        <v>8000</v>
      </c>
      <c r="J12" s="15">
        <v>8000</v>
      </c>
      <c r="K12" s="15">
        <v>72000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>
      <c r="A13" s="14" t="s">
        <v>111</v>
      </c>
      <c r="B13" s="15">
        <v>23000</v>
      </c>
      <c r="C13" s="15">
        <v>23000</v>
      </c>
      <c r="D13" s="15">
        <v>23000</v>
      </c>
      <c r="E13" s="15">
        <v>23000</v>
      </c>
      <c r="F13" s="15">
        <v>23000</v>
      </c>
      <c r="G13" s="15">
        <v>23000</v>
      </c>
      <c r="H13" s="15">
        <v>23000</v>
      </c>
      <c r="I13" s="15">
        <v>23000</v>
      </c>
      <c r="J13" s="15">
        <v>23000</v>
      </c>
      <c r="K13" s="15">
        <v>207000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>
      <c r="A14" s="14" t="s">
        <v>114</v>
      </c>
      <c r="B14" s="15">
        <v>8000</v>
      </c>
      <c r="C14" s="15">
        <v>8250</v>
      </c>
      <c r="D14" s="15">
        <v>8500</v>
      </c>
      <c r="E14" s="15">
        <v>8750</v>
      </c>
      <c r="F14" s="15">
        <v>9000</v>
      </c>
      <c r="G14" s="15">
        <v>9250</v>
      </c>
      <c r="H14" s="15">
        <v>9500</v>
      </c>
      <c r="I14" s="15">
        <v>9750</v>
      </c>
      <c r="J14" s="15">
        <v>10000</v>
      </c>
      <c r="K14" s="15">
        <v>81000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>
      <c r="A15" s="14" t="s">
        <v>116</v>
      </c>
      <c r="B15" s="15">
        <v>15000</v>
      </c>
      <c r="C15" s="15">
        <v>15000</v>
      </c>
      <c r="D15" s="15">
        <v>15000</v>
      </c>
      <c r="E15" s="15">
        <v>15000</v>
      </c>
      <c r="F15" s="15">
        <v>15000</v>
      </c>
      <c r="G15" s="15">
        <v>15000</v>
      </c>
      <c r="H15" s="15">
        <v>15000</v>
      </c>
      <c r="I15" s="15">
        <v>15000</v>
      </c>
      <c r="J15" s="15">
        <v>15000</v>
      </c>
      <c r="K15" s="15">
        <v>135000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>
      <c r="A16" s="14" t="s">
        <v>119</v>
      </c>
      <c r="B16" s="15">
        <v>3000</v>
      </c>
      <c r="C16" s="15">
        <v>3000</v>
      </c>
      <c r="D16" s="15">
        <v>3000</v>
      </c>
      <c r="E16" s="15">
        <v>3000</v>
      </c>
      <c r="F16" s="15">
        <v>3000</v>
      </c>
      <c r="G16" s="15">
        <v>3000</v>
      </c>
      <c r="H16" s="15">
        <v>3000</v>
      </c>
      <c r="I16" s="15">
        <v>3000</v>
      </c>
      <c r="J16" s="15">
        <v>3000</v>
      </c>
      <c r="K16" s="15">
        <v>27000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>
      <c r="A17" s="14" t="s">
        <v>122</v>
      </c>
      <c r="B17" s="15">
        <v>5500</v>
      </c>
      <c r="C17" s="15">
        <v>5500</v>
      </c>
      <c r="D17" s="15">
        <v>5500</v>
      </c>
      <c r="E17" s="15">
        <v>5500</v>
      </c>
      <c r="F17" s="15">
        <v>5500</v>
      </c>
      <c r="G17" s="15">
        <v>5500</v>
      </c>
      <c r="H17" s="15">
        <v>5500</v>
      </c>
      <c r="I17" s="15">
        <v>5500</v>
      </c>
      <c r="J17" s="15">
        <v>5500</v>
      </c>
      <c r="K17" s="15">
        <v>49500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1:5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1:5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 spans="1:5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 spans="1:5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 spans="1:5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 spans="1:5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 spans="1:5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 spans="1:5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 spans="1:5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 spans="1:5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 spans="1:5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 spans="1:5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 spans="1:5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 spans="1:5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 spans="1:5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 spans="1:5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 spans="1:5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 spans="1:5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 spans="1:5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 spans="1:5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 spans="1:5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 spans="1:5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 spans="1:5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 spans="1:5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 spans="1:5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 spans="1:5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 spans="1:5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 spans="1:5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 spans="1:5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 spans="1:5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 spans="1:5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 spans="1:5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 spans="1:5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 spans="1:5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 spans="1:5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 spans="1:5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 spans="1:5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 spans="1:5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 spans="1:5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 spans="1:5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 spans="1:5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 spans="1:5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 spans="1:5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 spans="1:5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 spans="1:5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 spans="1:5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 spans="1:5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 spans="1:5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 spans="1:5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 spans="1:5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 spans="1:5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 spans="1:5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 spans="1:5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 spans="1: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 spans="1:5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 spans="1:5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 spans="1:5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 spans="1:5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 spans="1:5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 spans="1:5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 spans="1:5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 spans="1:5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 spans="1:5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 spans="1:5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 spans="1:5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 spans="1:5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 spans="1:5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 spans="1:5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 spans="1:5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 spans="1:5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 spans="1:5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 spans="1:5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 spans="1:5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 spans="1:5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 spans="1:5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 spans="1:5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 spans="1:5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 spans="1:5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 spans="1:5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 spans="1:5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 spans="1:5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 spans="1:5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 spans="1:5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 spans="1:5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 spans="1:5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 spans="1:5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 spans="1:5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 spans="1:5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 spans="1:5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 spans="1:5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 spans="1:5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 spans="1:5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 spans="1:5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 spans="1:5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 spans="1:5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 spans="1:5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 spans="1:5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 spans="1:5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 spans="1:5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 spans="1:5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 spans="1:5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 spans="1:5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 spans="1:5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 spans="1:5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 spans="1:5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 spans="1:5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 spans="1:5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 spans="1:5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 spans="1:5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 spans="1:5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 spans="1:5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 spans="1:5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 spans="1:5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 spans="1:5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 spans="1:5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 spans="1:5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 spans="1:5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 spans="1:5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 spans="1:5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 spans="1:5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 spans="1:5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 spans="1:5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 spans="1:5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 spans="1:5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 spans="1:5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 spans="1:5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 spans="1:5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 spans="1:5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 spans="1:5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 spans="1:5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 spans="1:5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 spans="1:5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 spans="1:5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 spans="1:5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 spans="1:5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 spans="1:5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 spans="1:5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 spans="1:5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 spans="1:5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 spans="1:5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 spans="1:5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 spans="1:5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 spans="1:5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 spans="1:5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 spans="1:5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 spans="1:5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 spans="1:5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 spans="1:5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 spans="1:5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 spans="1:5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 spans="1:5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 spans="1:5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 spans="1:5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 spans="1: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 spans="1:5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 spans="1:5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 spans="1:5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 spans="1:5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 spans="1:5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 spans="1:5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 spans="1:5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 spans="1:5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 spans="1:5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 spans="1:5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 spans="1:5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 spans="1:5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 spans="1:5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 spans="1:5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 spans="1:5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 spans="1:5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 spans="1:5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 spans="1:5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 spans="1:5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 spans="1:5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 spans="1:5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 spans="1:5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 spans="1:5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 spans="1:5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 spans="1:5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 spans="1:5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 spans="1:5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 spans="1:5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 spans="1:5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 spans="1:5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 spans="1:5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 spans="1:5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 spans="1:5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 spans="1:5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 spans="1:5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 spans="1:5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 spans="1:5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 spans="1:5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 spans="1:5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 spans="1:5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 spans="1:5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 spans="1:5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 spans="1:5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 spans="1:5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 spans="1:5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 spans="1:5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 spans="1:5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 spans="1:5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 spans="1:5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 spans="1:5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 spans="1:5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 spans="1:5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 spans="1:5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 spans="1:5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 spans="1:5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 spans="1:5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 spans="1:5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 spans="1:5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 spans="1:5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 spans="1:5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 spans="1:5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 spans="1:5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 spans="1:5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 spans="1:5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 spans="1:5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 spans="1:5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 spans="1:5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 spans="1:5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 spans="1:5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 spans="1:5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 spans="1:5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 spans="1:5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 spans="1:5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 spans="1:5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 spans="1:5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 spans="1:5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 spans="1:5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 spans="1:5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 spans="1:5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 spans="1:5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 spans="1:5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 spans="1:5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 spans="1:5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 spans="1:5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 spans="1:5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 spans="1:5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 spans="1:5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 spans="1:5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 spans="1:5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 spans="1:5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 spans="1:5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 spans="1:5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 spans="1:5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 spans="1:5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 spans="1:5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 spans="1:5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 spans="1:5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 spans="1:5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 spans="1:5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 spans="1: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 spans="1:5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 spans="1:5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 spans="1:5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 spans="1:5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 spans="1:5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 spans="1:5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 spans="1:5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 spans="1:5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 spans="1:5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 spans="1:5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 spans="1:5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 spans="1:5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 spans="1:5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 spans="1:5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 spans="1:5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 spans="1:5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 spans="1:5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 spans="1:5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 spans="1:5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 spans="1:5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 spans="1:5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 spans="1:5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 spans="1:5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 spans="1:5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 spans="1:5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 spans="1:5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 spans="1:5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 spans="1:5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 spans="1:5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 spans="1:5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 spans="1:5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 spans="1:5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 spans="1:5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 spans="1:5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 spans="1:5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 spans="1:5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 spans="1:5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 spans="1:5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 spans="1:5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 spans="1:5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 spans="1:5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 spans="1:5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 spans="1:5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 spans="1:5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 spans="1:5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 spans="1:5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 spans="1:5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 spans="1:5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 spans="1:5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 spans="1:5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 spans="1:5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 spans="1:5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 spans="1:5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 spans="1:5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 spans="1:5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 spans="1:5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 spans="1:5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 spans="1:5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 spans="1:5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 spans="1:5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 spans="1:5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 spans="1:5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 spans="1:5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 spans="1:5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 spans="1:5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 spans="1:5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 spans="1:5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 spans="1:5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 spans="1:5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 spans="1:5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 spans="1:5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 spans="1:5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 spans="1:5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 spans="1:5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 spans="1:5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 spans="1:5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 spans="1:5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 spans="1:5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 spans="1:5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 spans="1:5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 spans="1:5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 spans="1:5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 spans="1:5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 spans="1:5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 spans="1:5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 spans="1:5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 spans="1:5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 spans="1:5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 spans="1:5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 spans="1:5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 spans="1:5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 spans="1:5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 spans="1:5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 spans="1:5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 spans="1:5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 spans="1:5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 spans="1:5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 spans="1:5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 spans="1:5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 spans="1: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 spans="1:5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 spans="1:5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 spans="1:5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 spans="1:5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 spans="1:5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 spans="1:5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 spans="1:5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 spans="1:5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 spans="1:5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 spans="1:5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 spans="1:5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 spans="1:5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 spans="1:5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 spans="1:5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 spans="1:5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 spans="1:5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 spans="1:5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 spans="1:5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 spans="1:5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 spans="1:5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 spans="1:5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 spans="1:5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 spans="1:5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 spans="1:5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 spans="1:5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 spans="1:5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 spans="1:5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 spans="1:5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 spans="1:5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 spans="1:5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 spans="1:5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 spans="1:5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 spans="1:5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 spans="1:5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 spans="1:5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 spans="1:5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 spans="1:5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 spans="1:5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 spans="1:5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 spans="1:5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 spans="1:5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 spans="1:5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 spans="1:5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 spans="1:5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 spans="1:5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 spans="1:5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 spans="1:5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 spans="1:5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 spans="1:5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 spans="1:5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 spans="1:5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 spans="1:5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 spans="1:5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 spans="1:5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 spans="1:5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 spans="1:5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 spans="1:5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 spans="1:5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 spans="1:5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 spans="1:5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 spans="1:5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 spans="1:5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 spans="1:5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 spans="1:5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 spans="1:5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 spans="1:5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 spans="1:5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 spans="1:5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 spans="1:5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 spans="1:5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 spans="1:5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 spans="1:5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 spans="1:5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 spans="1:5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 spans="1:5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 spans="1:5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 spans="1:5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 spans="1:5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 spans="1:5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 spans="1:5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 spans="1:5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 spans="1:5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 spans="1:5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 spans="1:5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 spans="1:5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 spans="1:5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 spans="1:5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 spans="1:5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 spans="1:5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 spans="1:5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 spans="1:5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 spans="1:5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 spans="1:5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 spans="1:5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 spans="1:5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 spans="1:5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 spans="1:5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 spans="1:5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 spans="1:5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 spans="1: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 spans="1:5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 spans="1:5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 spans="1:5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 spans="1:5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 spans="1:5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 spans="1:5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 spans="1:5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 spans="1:5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 spans="1:5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 spans="1:5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 spans="1:5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 spans="1:5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 spans="1:5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 spans="1:5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 spans="1:5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 spans="1:5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 spans="1:5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 spans="1:5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 spans="1:5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 spans="1:5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 spans="1:5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 spans="1:5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 spans="1:5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 spans="1:5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 spans="1:5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 spans="1:5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 spans="1:5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 spans="1:5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 spans="1:5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 spans="1:5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 spans="1:5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 spans="1:5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 spans="1:5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 spans="1:5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 spans="1:5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 spans="1:5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 spans="1:5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  <row r="990" spans="1:5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</row>
    <row r="991" spans="1:5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</row>
    <row r="992" spans="1:5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</row>
    <row r="993" spans="1:5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</row>
    <row r="994" spans="1:5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</row>
    <row r="995" spans="1:5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</row>
    <row r="996" spans="1:5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</row>
    <row r="997" spans="1:5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</row>
    <row r="998" spans="1:5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</row>
    <row r="999" spans="1:5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</row>
    <row r="1000" spans="1:5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</row>
  </sheetData>
  <mergeCells count="1">
    <mergeCell ref="A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1000"/>
  <sheetViews>
    <sheetView workbookViewId="0">
      <selection sqref="A1:N1"/>
    </sheetView>
  </sheetViews>
  <sheetFormatPr baseColWidth="10" defaultColWidth="8.83203125" defaultRowHeight="15"/>
  <cols>
    <col min="1" max="1" width="25" customWidth="1"/>
    <col min="2" max="10" width="13" customWidth="1"/>
    <col min="11" max="12" width="16" customWidth="1"/>
    <col min="13" max="13" width="15" customWidth="1"/>
    <col min="14" max="14" width="13" customWidth="1"/>
  </cols>
  <sheetData>
    <row r="1" spans="1:52" ht="37.25" customHeight="1">
      <c r="A1" s="35" t="s">
        <v>955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16">
      <c r="A3" s="9" t="s">
        <v>49</v>
      </c>
      <c r="B3" s="9" t="s">
        <v>945</v>
      </c>
      <c r="C3" s="9" t="s">
        <v>946</v>
      </c>
      <c r="D3" s="9" t="s">
        <v>947</v>
      </c>
      <c r="E3" s="9" t="s">
        <v>948</v>
      </c>
      <c r="F3" s="9" t="s">
        <v>949</v>
      </c>
      <c r="G3" s="9" t="s">
        <v>950</v>
      </c>
      <c r="H3" s="9" t="s">
        <v>951</v>
      </c>
      <c r="I3" s="9" t="s">
        <v>952</v>
      </c>
      <c r="J3" s="9" t="s">
        <v>953</v>
      </c>
      <c r="K3" s="9" t="s">
        <v>956</v>
      </c>
      <c r="L3" s="9" t="s">
        <v>957</v>
      </c>
      <c r="M3" s="9" t="s">
        <v>958</v>
      </c>
      <c r="N3" s="9" t="s">
        <v>959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>
      <c r="A4" s="8" t="s">
        <v>88</v>
      </c>
      <c r="B4" s="10">
        <f>-1*(SUMIFS('GL Extract'!$I$4:$I$943,'GL Extract'!$C$4:$C$943,"4000",'GL Extract'!$B$4:$B$943,"&gt;="&amp;DATE(2026,1,1),'GL Extract'!$B$4:$B$943,"&lt;"&amp;DATE(2026,2,1)))</f>
        <v>820000</v>
      </c>
      <c r="C4" s="10">
        <f>-1*(SUMIFS('GL Extract'!$I$4:$I$943,'GL Extract'!$C$4:$C$943,"4000",'GL Extract'!$B$4:$B$943,"&gt;="&amp;DATE(2026,2,1),'GL Extract'!$B$4:$B$943,"&lt;"&amp;DATE(2026,3,1)))</f>
        <v>844999.99999999988</v>
      </c>
      <c r="D4" s="10">
        <f>-1*(SUMIFS('GL Extract'!$I$4:$I$943,'GL Extract'!$C$4:$C$943,"4000",'GL Extract'!$B$4:$B$943,"&gt;="&amp;DATE(2026,3,1),'GL Extract'!$B$4:$B$943,"&lt;"&amp;DATE(2026,4,1)))</f>
        <v>875000</v>
      </c>
      <c r="E4" s="10">
        <f>-1*(SUMIFS('GL Extract'!$I$4:$I$943,'GL Extract'!$C$4:$C$943,"4000",'GL Extract'!$B$4:$B$943,"&gt;="&amp;DATE(2026,4,1),'GL Extract'!$B$4:$B$943,"&lt;"&amp;DATE(2026,5,1)))</f>
        <v>899999.99999999988</v>
      </c>
      <c r="F4" s="10">
        <f>-1*(SUMIFS('GL Extract'!$I$4:$I$943,'GL Extract'!$C$4:$C$943,"4000",'GL Extract'!$B$4:$B$943,"&gt;="&amp;DATE(2026,5,1),'GL Extract'!$B$4:$B$943,"&lt;"&amp;DATE(2026,6,1)))</f>
        <v>930000</v>
      </c>
      <c r="G4" s="10">
        <f>-1*(SUMIFS('GL Extract'!$I$4:$I$943,'GL Extract'!$C$4:$C$943,"4000",'GL Extract'!$B$4:$B$943,"&gt;="&amp;DATE(2026,6,1),'GL Extract'!$B$4:$B$943,"&lt;"&amp;DATE(2026,7,1)))</f>
        <v>955000</v>
      </c>
      <c r="H4" s="10">
        <f>-1*(SUMIFS('GL Extract'!$I$4:$I$943,'GL Extract'!$C$4:$C$943,"4000",'GL Extract'!$B$4:$B$943,"&gt;="&amp;DATE(2026,7,1),'GL Extract'!$B$4:$B$943,"&lt;"&amp;DATE(2026,8,1)))</f>
        <v>970000.00000000012</v>
      </c>
      <c r="I4" s="10">
        <f>-1*(SUMIFS('GL Extract'!$I$4:$I$943,'GL Extract'!$C$4:$C$943,"4000",'GL Extract'!$B$4:$B$943,"&gt;="&amp;DATE(2026,8,1),'GL Extract'!$B$4:$B$943,"&lt;"&amp;DATE(2026,9,1)))</f>
        <v>989999.99999999988</v>
      </c>
      <c r="J4" s="10">
        <f>-1*(SUMIFS('GL Extract'!$I$4:$I$943,'GL Extract'!$C$4:$C$943,"4000",'GL Extract'!$B$4:$B$943,"&gt;="&amp;DATE(2026,9,1),'GL Extract'!$B$4:$B$943,"&lt;"&amp;DATE(2026,10,1))+SUMIF('Adjustment Journals'!$C$4:$C$17,"4000",'Adjustment Journals'!$H$4:$H$17))</f>
        <v>1015000.0000000002</v>
      </c>
      <c r="K4" s="10">
        <f>SUM(B4:J4)</f>
        <v>8300000</v>
      </c>
      <c r="L4" s="10">
        <f>Budget!K4</f>
        <v>8230000</v>
      </c>
      <c r="M4" s="10">
        <f t="shared" ref="M4:M24" si="0">K4-L4</f>
        <v>70000</v>
      </c>
      <c r="N4" s="16">
        <f>IFERROR(M4/L4,0)</f>
        <v>8.5054678007290396E-3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>
      <c r="A5" s="8" t="s">
        <v>93</v>
      </c>
      <c r="B5" s="10">
        <f>1*(SUMIFS('GL Extract'!$I$4:$I$943,'GL Extract'!$C$4:$C$943,"5000",'GL Extract'!$B$4:$B$943,"&gt;="&amp;DATE(2026,1,1),'GL Extract'!$B$4:$B$943,"&lt;"&amp;DATE(2026,2,1)))</f>
        <v>455099.99999999988</v>
      </c>
      <c r="C5" s="10">
        <f>1*(SUMIFS('GL Extract'!$I$4:$I$943,'GL Extract'!$C$4:$C$943,"5000",'GL Extract'!$B$4:$B$943,"&gt;="&amp;DATE(2026,2,1),'GL Extract'!$B$4:$B$943,"&lt;"&amp;DATE(2026,3,1)))</f>
        <v>467285</v>
      </c>
      <c r="D5" s="10">
        <f>1*(SUMIFS('GL Extract'!$I$4:$I$943,'GL Extract'!$C$4:$C$943,"5000",'GL Extract'!$B$4:$B$943,"&gt;="&amp;DATE(2026,3,1),'GL Extract'!$B$4:$B$943,"&lt;"&amp;DATE(2026,4,1)))</f>
        <v>483000.00000000012</v>
      </c>
      <c r="E5" s="10">
        <f>1*(SUMIFS('GL Extract'!$I$4:$I$943,'GL Extract'!$C$4:$C$943,"5000",'GL Extract'!$B$4:$B$943,"&gt;="&amp;DATE(2026,4,1),'GL Extract'!$B$4:$B$943,"&lt;"&amp;DATE(2026,5,1)))</f>
        <v>495000.00000000006</v>
      </c>
      <c r="F5" s="10">
        <f>1*(SUMIFS('GL Extract'!$I$4:$I$943,'GL Extract'!$C$4:$C$943,"5000",'GL Extract'!$B$4:$B$943,"&gt;="&amp;DATE(2026,5,1),'GL Extract'!$B$4:$B$943,"&lt;"&amp;DATE(2026,6,1)))</f>
        <v>509640</v>
      </c>
      <c r="G5" s="10">
        <f>1*(SUMIFS('GL Extract'!$I$4:$I$943,'GL Extract'!$C$4:$C$943,"5000",'GL Extract'!$B$4:$B$943,"&gt;="&amp;DATE(2026,6,1),'GL Extract'!$B$4:$B$943,"&lt;"&amp;DATE(2026,7,1)))</f>
        <v>524294.99999999988</v>
      </c>
      <c r="H5" s="10">
        <f>1*(SUMIFS('GL Extract'!$I$4:$I$943,'GL Extract'!$C$4:$C$943,"5000",'GL Extract'!$B$4:$B$943,"&gt;="&amp;DATE(2026,7,1),'GL Extract'!$B$4:$B$943,"&lt;"&amp;DATE(2026,8,1)))</f>
        <v>530589.99999999988</v>
      </c>
      <c r="I5" s="10">
        <f>1*(SUMIFS('GL Extract'!$I$4:$I$943,'GL Extract'!$C$4:$C$943,"5000",'GL Extract'!$B$4:$B$943,"&gt;="&amp;DATE(2026,8,1),'GL Extract'!$B$4:$B$943,"&lt;"&amp;DATE(2026,9,1)))</f>
        <v>540540</v>
      </c>
      <c r="J5" s="10">
        <f>1*(SUMIFS('GL Extract'!$I$4:$I$943,'GL Extract'!$C$4:$C$943,"5000",'GL Extract'!$B$4:$B$943,"&gt;="&amp;DATE(2026,9,1),'GL Extract'!$B$4:$B$943,"&lt;"&amp;DATE(2026,10,1))+SUMIF('Adjustment Journals'!$C$4:$C$17,"5000",'Adjustment Journals'!$H$4:$H$17))</f>
        <v>553175</v>
      </c>
      <c r="K5" s="10">
        <f>SUM(B5:J5)</f>
        <v>4558625</v>
      </c>
      <c r="L5" s="10">
        <f>Budget!K5</f>
        <v>4526500</v>
      </c>
      <c r="M5" s="10">
        <f t="shared" si="0"/>
        <v>32125</v>
      </c>
      <c r="N5" s="16">
        <f>IFERROR(M5/L5,0)</f>
        <v>7.0970948856732578E-3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>
      <c r="A6" s="17" t="s">
        <v>960</v>
      </c>
      <c r="B6" s="18">
        <f t="shared" ref="B6:J6" si="1">B4-B5</f>
        <v>364900.00000000012</v>
      </c>
      <c r="C6" s="18">
        <f t="shared" si="1"/>
        <v>377714.99999999988</v>
      </c>
      <c r="D6" s="18">
        <f t="shared" si="1"/>
        <v>391999.99999999988</v>
      </c>
      <c r="E6" s="18">
        <f t="shared" si="1"/>
        <v>404999.99999999983</v>
      </c>
      <c r="F6" s="18">
        <f t="shared" si="1"/>
        <v>420360</v>
      </c>
      <c r="G6" s="18">
        <f t="shared" si="1"/>
        <v>430705.00000000012</v>
      </c>
      <c r="H6" s="18">
        <f t="shared" si="1"/>
        <v>439410.00000000023</v>
      </c>
      <c r="I6" s="18">
        <f t="shared" si="1"/>
        <v>449459.99999999988</v>
      </c>
      <c r="J6" s="18">
        <f t="shared" si="1"/>
        <v>461825.00000000023</v>
      </c>
      <c r="K6" s="18">
        <f>SUM(B6:J6)</f>
        <v>3741375</v>
      </c>
      <c r="L6" s="18">
        <f>L4-L5</f>
        <v>3703500</v>
      </c>
      <c r="M6" s="18">
        <f t="shared" si="0"/>
        <v>37875</v>
      </c>
      <c r="N6" s="19">
        <f>IFERROR(M6/L6,0)</f>
        <v>1.0226812474686108E-2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>
      <c r="A7" s="8" t="s">
        <v>961</v>
      </c>
      <c r="B7" s="16">
        <f t="shared" ref="B7:L7" si="2">IFERROR(B6/B4,0)</f>
        <v>0.44500000000000012</v>
      </c>
      <c r="C7" s="16">
        <f t="shared" si="2"/>
        <v>0.4469999999999999</v>
      </c>
      <c r="D7" s="16">
        <f t="shared" si="2"/>
        <v>0.44799999999999984</v>
      </c>
      <c r="E7" s="16">
        <f t="shared" si="2"/>
        <v>0.44999999999999984</v>
      </c>
      <c r="F7" s="16">
        <f t="shared" si="2"/>
        <v>0.45200000000000001</v>
      </c>
      <c r="G7" s="16">
        <f t="shared" si="2"/>
        <v>0.45100000000000012</v>
      </c>
      <c r="H7" s="16">
        <f t="shared" si="2"/>
        <v>0.45300000000000018</v>
      </c>
      <c r="I7" s="16">
        <f t="shared" si="2"/>
        <v>0.45399999999999996</v>
      </c>
      <c r="J7" s="16">
        <f t="shared" si="2"/>
        <v>0.45500000000000013</v>
      </c>
      <c r="K7" s="16">
        <f t="shared" si="2"/>
        <v>0.45076807228915661</v>
      </c>
      <c r="L7" s="16">
        <f t="shared" si="2"/>
        <v>0.45</v>
      </c>
      <c r="M7" s="16">
        <f t="shared" si="0"/>
        <v>7.6807228915659609E-4</v>
      </c>
      <c r="N7" s="8" t="s">
        <v>962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>
      <c r="A8" s="8" t="s">
        <v>96</v>
      </c>
      <c r="B8" s="10">
        <f>1*(SUMIFS('GL Extract'!$I$4:$I$943,'GL Extract'!$C$4:$C$943,"6000",'GL Extract'!$B$4:$B$943,"&gt;="&amp;DATE(2026,1,1),'GL Extract'!$B$4:$B$943,"&lt;"&amp;DATE(2026,2,1)))</f>
        <v>183571.92291053451</v>
      </c>
      <c r="C8" s="10">
        <f>1*(SUMIFS('GL Extract'!$I$4:$I$943,'GL Extract'!$C$4:$C$943,"6000",'GL Extract'!$B$4:$B$943,"&gt;="&amp;DATE(2026,2,1),'GL Extract'!$B$4:$B$943,"&lt;"&amp;DATE(2026,3,1)))</f>
        <v>180967.19979766005</v>
      </c>
      <c r="D8" s="10">
        <f>1*(SUMIFS('GL Extract'!$I$4:$I$943,'GL Extract'!$C$4:$C$943,"6000",'GL Extract'!$B$4:$B$943,"&gt;="&amp;DATE(2026,3,1),'GL Extract'!$B$4:$B$943,"&lt;"&amp;DATE(2026,4,1)))</f>
        <v>184387.08062666273</v>
      </c>
      <c r="E8" s="10">
        <f>1*(SUMIFS('GL Extract'!$I$4:$I$943,'GL Extract'!$C$4:$C$943,"6000",'GL Extract'!$B$4:$B$943,"&gt;="&amp;DATE(2026,4,1),'GL Extract'!$B$4:$B$943,"&lt;"&amp;DATE(2026,5,1)))</f>
        <v>181710.97661284902</v>
      </c>
      <c r="F8" s="10">
        <f>1*(SUMIFS('GL Extract'!$I$4:$I$943,'GL Extract'!$C$4:$C$943,"6000",'GL Extract'!$B$4:$B$943,"&gt;="&amp;DATE(2026,5,1),'GL Extract'!$B$4:$B$943,"&lt;"&amp;DATE(2026,6,1)))</f>
        <v>185478.45745399527</v>
      </c>
      <c r="G8" s="10">
        <f>1*(SUMIFS('GL Extract'!$I$4:$I$943,'GL Extract'!$C$4:$C$943,"6000",'GL Extract'!$B$4:$B$943,"&gt;="&amp;DATE(2026,6,1),'GL Extract'!$B$4:$B$943,"&lt;"&amp;DATE(2026,7,1)))</f>
        <v>187666.59169103595</v>
      </c>
      <c r="H8" s="10">
        <f>1*(SUMIFS('GL Extract'!$I$4:$I$943,'GL Extract'!$C$4:$C$943,"6000",'GL Extract'!$B$4:$B$943,"&gt;="&amp;DATE(2026,7,1),'GL Extract'!$B$4:$B$943,"&lt;"&amp;DATE(2026,8,1)))</f>
        <v>187046.19248354787</v>
      </c>
      <c r="I8" s="10">
        <f>1*(SUMIFS('GL Extract'!$I$4:$I$943,'GL Extract'!$C$4:$C$943,"6000",'GL Extract'!$B$4:$B$943,"&gt;="&amp;DATE(2026,8,1),'GL Extract'!$B$4:$B$943,"&lt;"&amp;DATE(2026,9,1)))</f>
        <v>190383.34638119073</v>
      </c>
      <c r="J8" s="10">
        <f>1*(SUMIFS('GL Extract'!$I$4:$I$943,'GL Extract'!$C$4:$C$943,"6000",'GL Extract'!$B$4:$B$943,"&gt;="&amp;DATE(2026,9,1),'GL Extract'!$B$4:$B$943,"&lt;"&amp;DATE(2026,10,1))+SUMIF('Adjustment Journals'!$C$4:$C$17,"6000",'Adjustment Journals'!$H$4:$H$17))</f>
        <v>228218.53594825338</v>
      </c>
      <c r="K8" s="10">
        <f t="shared" ref="K8:K18" si="3">SUM(B8:J8)</f>
        <v>1709430.3039057294</v>
      </c>
      <c r="L8" s="10">
        <f>Budget!K6</f>
        <v>1666000</v>
      </c>
      <c r="M8" s="10">
        <f t="shared" si="0"/>
        <v>43430.303905729437</v>
      </c>
      <c r="N8" s="16">
        <f t="shared" ref="N8:N18" si="4">IFERROR(M8/L8,0)</f>
        <v>2.6068609787352603E-2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>
      <c r="A9" s="8" t="s">
        <v>99</v>
      </c>
      <c r="B9" s="10">
        <f>1*(SUMIFS('GL Extract'!$I$4:$I$943,'GL Extract'!$C$4:$C$943,"6100",'GL Extract'!$B$4:$B$943,"&gt;="&amp;DATE(2026,1,1),'GL Extract'!$B$4:$B$943,"&lt;"&amp;DATE(2026,2,1)))</f>
        <v>24782.209592922161</v>
      </c>
      <c r="C9" s="10">
        <f>1*(SUMIFS('GL Extract'!$I$4:$I$943,'GL Extract'!$C$4:$C$943,"6100",'GL Extract'!$B$4:$B$943,"&gt;="&amp;DATE(2026,2,1),'GL Extract'!$B$4:$B$943,"&lt;"&amp;DATE(2026,3,1)))</f>
        <v>24430.571972684109</v>
      </c>
      <c r="D9" s="10">
        <f>1*(SUMIFS('GL Extract'!$I$4:$I$943,'GL Extract'!$C$4:$C$943,"6100",'GL Extract'!$B$4:$B$943,"&gt;="&amp;DATE(2026,3,1),'GL Extract'!$B$4:$B$943,"&lt;"&amp;DATE(2026,4,1)))</f>
        <v>24892.255884599472</v>
      </c>
      <c r="E9" s="10">
        <f>1*(SUMIFS('GL Extract'!$I$4:$I$943,'GL Extract'!$C$4:$C$943,"6100",'GL Extract'!$B$4:$B$943,"&gt;="&amp;DATE(2026,4,1),'GL Extract'!$B$4:$B$943,"&lt;"&amp;DATE(2026,5,1)))</f>
        <v>24530.981842734618</v>
      </c>
      <c r="F9" s="10">
        <f>1*(SUMIFS('GL Extract'!$I$4:$I$943,'GL Extract'!$C$4:$C$943,"6100",'GL Extract'!$B$4:$B$943,"&gt;="&amp;DATE(2026,5,1),'GL Extract'!$B$4:$B$943,"&lt;"&amp;DATE(2026,6,1)))</f>
        <v>25039.591756289363</v>
      </c>
      <c r="G9" s="10">
        <f>1*(SUMIFS('GL Extract'!$I$4:$I$943,'GL Extract'!$C$4:$C$943,"6100",'GL Extract'!$B$4:$B$943,"&gt;="&amp;DATE(2026,6,1),'GL Extract'!$B$4:$B$943,"&lt;"&amp;DATE(2026,7,1)))</f>
        <v>25334.989878289856</v>
      </c>
      <c r="H9" s="10">
        <f>1*(SUMIFS('GL Extract'!$I$4:$I$943,'GL Extract'!$C$4:$C$943,"6100",'GL Extract'!$B$4:$B$943,"&gt;="&amp;DATE(2026,7,1),'GL Extract'!$B$4:$B$943,"&lt;"&amp;DATE(2026,8,1)))</f>
        <v>25251.235985278963</v>
      </c>
      <c r="I9" s="10">
        <f>1*(SUMIFS('GL Extract'!$I$4:$I$943,'GL Extract'!$C$4:$C$943,"6100",'GL Extract'!$B$4:$B$943,"&gt;="&amp;DATE(2026,8,1),'GL Extract'!$B$4:$B$943,"&lt;"&amp;DATE(2026,9,1)))</f>
        <v>25701.75176146075</v>
      </c>
      <c r="J9" s="10">
        <f>1*(SUMIFS('GL Extract'!$I$4:$I$943,'GL Extract'!$C$4:$C$943,"6100",'GL Extract'!$B$4:$B$943,"&gt;="&amp;DATE(2026,9,1),'GL Extract'!$B$4:$B$943,"&lt;"&amp;DATE(2026,10,1))+SUMIF('Adjustment Journals'!$C$4:$C$17,"6100",'Adjustment Journals'!$H$4:$H$17))</f>
        <v>26084.50235301421</v>
      </c>
      <c r="K9" s="10">
        <f t="shared" si="3"/>
        <v>226048.09102727353</v>
      </c>
      <c r="L9" s="10">
        <f>Budget!K7</f>
        <v>224910</v>
      </c>
      <c r="M9" s="10">
        <f t="shared" si="0"/>
        <v>1138.0910272735346</v>
      </c>
      <c r="N9" s="16">
        <f t="shared" si="4"/>
        <v>5.0602064260083348E-3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>
      <c r="A10" s="8" t="s">
        <v>101</v>
      </c>
      <c r="B10" s="10">
        <f>1*(SUMIFS('GL Extract'!$I$4:$I$943,'GL Extract'!$C$4:$C$943,"6200",'GL Extract'!$B$4:$B$943,"&gt;="&amp;DATE(2026,1,1),'GL Extract'!$B$4:$B$943,"&lt;"&amp;DATE(2026,2,1)))</f>
        <v>60208.156719069142</v>
      </c>
      <c r="C10" s="10">
        <f>1*(SUMIFS('GL Extract'!$I$4:$I$943,'GL Extract'!$C$4:$C$943,"6200",'GL Extract'!$B$4:$B$943,"&gt;="&amp;DATE(2026,2,1),'GL Extract'!$B$4:$B$943,"&lt;"&amp;DATE(2026,3,1)))</f>
        <v>65397.666755843282</v>
      </c>
      <c r="D10" s="10">
        <f>1*(SUMIFS('GL Extract'!$I$4:$I$943,'GL Extract'!$C$4:$C$943,"6200",'GL Extract'!$B$4:$B$943,"&gt;="&amp;DATE(2026,3,1),'GL Extract'!$B$4:$B$943,"&lt;"&amp;DATE(2026,4,1)))</f>
        <v>61713.152351843913</v>
      </c>
      <c r="E10" s="10">
        <f>1*(SUMIFS('GL Extract'!$I$4:$I$943,'GL Extract'!$C$4:$C$943,"6200",'GL Extract'!$B$4:$B$943,"&gt;="&amp;DATE(2026,4,1),'GL Extract'!$B$4:$B$943,"&lt;"&amp;DATE(2026,5,1)))</f>
        <v>70443.090840213394</v>
      </c>
      <c r="F10" s="10">
        <f>1*(SUMIFS('GL Extract'!$I$4:$I$943,'GL Extract'!$C$4:$C$943,"6200",'GL Extract'!$B$4:$B$943,"&gt;="&amp;DATE(2026,5,1),'GL Extract'!$B$4:$B$943,"&lt;"&amp;DATE(2026,6,1)))</f>
        <v>67283.625748151244</v>
      </c>
      <c r="G10" s="10">
        <f>1*(SUMIFS('GL Extract'!$I$4:$I$943,'GL Extract'!$C$4:$C$943,"6200",'GL Extract'!$B$4:$B$943,"&gt;="&amp;DATE(2026,6,1),'GL Extract'!$B$4:$B$943,"&lt;"&amp;DATE(2026,7,1)))</f>
        <v>74360.0513777655</v>
      </c>
      <c r="H10" s="10">
        <f>1*(SUMIFS('GL Extract'!$I$4:$I$943,'GL Extract'!$C$4:$C$943,"6200",'GL Extract'!$B$4:$B$943,"&gt;="&amp;DATE(2026,7,1),'GL Extract'!$B$4:$B$943,"&lt;"&amp;DATE(2026,8,1)))</f>
        <v>70152.018167669259</v>
      </c>
      <c r="I10" s="10">
        <f>1*(SUMIFS('GL Extract'!$I$4:$I$943,'GL Extract'!$C$4:$C$943,"6200",'GL Extract'!$B$4:$B$943,"&gt;="&amp;DATE(2026,8,1),'GL Extract'!$B$4:$B$943,"&lt;"&amp;DATE(2026,9,1)))</f>
        <v>76119.339655008647</v>
      </c>
      <c r="J10" s="10">
        <f>1*(SUMIFS('GL Extract'!$I$4:$I$943,'GL Extract'!$C$4:$C$943,"6200",'GL Extract'!$B$4:$B$943,"&gt;="&amp;DATE(2026,9,1),'GL Extract'!$B$4:$B$943,"&lt;"&amp;DATE(2026,10,1))+SUMIF('Adjustment Journals'!$C$4:$C$17,"6200",'Adjustment Journals'!$H$4:$H$17))</f>
        <v>102743.53261959711</v>
      </c>
      <c r="K10" s="10">
        <f t="shared" si="3"/>
        <v>648420.63423516159</v>
      </c>
      <c r="L10" s="10">
        <f>Budget!K8</f>
        <v>619200</v>
      </c>
      <c r="M10" s="10">
        <f t="shared" si="0"/>
        <v>29220.634235161589</v>
      </c>
      <c r="N10" s="16">
        <f t="shared" si="4"/>
        <v>4.7190946762211868E-2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>
      <c r="A11" s="8" t="s">
        <v>103</v>
      </c>
      <c r="B11" s="10">
        <f>1*(SUMIFS('GL Extract'!$I$4:$I$943,'GL Extract'!$C$4:$C$943,"6300",'GL Extract'!$B$4:$B$943,"&gt;="&amp;DATE(2026,1,1),'GL Extract'!$B$4:$B$943,"&lt;"&amp;DATE(2026,2,1)))</f>
        <v>52000</v>
      </c>
      <c r="C11" s="10">
        <f>1*(SUMIFS('GL Extract'!$I$4:$I$943,'GL Extract'!$C$4:$C$943,"6300",'GL Extract'!$B$4:$B$943,"&gt;="&amp;DATE(2026,2,1),'GL Extract'!$B$4:$B$943,"&lt;"&amp;DATE(2026,3,1)))</f>
        <v>52000</v>
      </c>
      <c r="D11" s="10">
        <f>1*(SUMIFS('GL Extract'!$I$4:$I$943,'GL Extract'!$C$4:$C$943,"6300",'GL Extract'!$B$4:$B$943,"&gt;="&amp;DATE(2026,3,1),'GL Extract'!$B$4:$B$943,"&lt;"&amp;DATE(2026,4,1)))</f>
        <v>52000</v>
      </c>
      <c r="E11" s="10">
        <f>1*(SUMIFS('GL Extract'!$I$4:$I$943,'GL Extract'!$C$4:$C$943,"6300",'GL Extract'!$B$4:$B$943,"&gt;="&amp;DATE(2026,4,1),'GL Extract'!$B$4:$B$943,"&lt;"&amp;DATE(2026,5,1)))</f>
        <v>52000</v>
      </c>
      <c r="F11" s="10">
        <f>1*(SUMIFS('GL Extract'!$I$4:$I$943,'GL Extract'!$C$4:$C$943,"6300",'GL Extract'!$B$4:$B$943,"&gt;="&amp;DATE(2026,5,1),'GL Extract'!$B$4:$B$943,"&lt;"&amp;DATE(2026,6,1)))</f>
        <v>52000</v>
      </c>
      <c r="G11" s="10">
        <f>1*(SUMIFS('GL Extract'!$I$4:$I$943,'GL Extract'!$C$4:$C$943,"6300",'GL Extract'!$B$4:$B$943,"&gt;="&amp;DATE(2026,6,1),'GL Extract'!$B$4:$B$943,"&lt;"&amp;DATE(2026,7,1)))</f>
        <v>52000</v>
      </c>
      <c r="H11" s="10">
        <f>1*(SUMIFS('GL Extract'!$I$4:$I$943,'GL Extract'!$C$4:$C$943,"6300",'GL Extract'!$B$4:$B$943,"&gt;="&amp;DATE(2026,7,1),'GL Extract'!$B$4:$B$943,"&lt;"&amp;DATE(2026,8,1)))</f>
        <v>52000</v>
      </c>
      <c r="I11" s="10">
        <f>1*(SUMIFS('GL Extract'!$I$4:$I$943,'GL Extract'!$C$4:$C$943,"6300",'GL Extract'!$B$4:$B$943,"&gt;="&amp;DATE(2026,8,1),'GL Extract'!$B$4:$B$943,"&lt;"&amp;DATE(2026,9,1)))</f>
        <v>52000</v>
      </c>
      <c r="J11" s="10">
        <f>1*(SUMIFS('GL Extract'!$I$4:$I$943,'GL Extract'!$C$4:$C$943,"6300",'GL Extract'!$B$4:$B$943,"&gt;="&amp;DATE(2026,9,1),'GL Extract'!$B$4:$B$943,"&lt;"&amp;DATE(2026,10,1))+SUMIF('Adjustment Journals'!$C$4:$C$17,"6300",'Adjustment Journals'!$H$4:$H$17))</f>
        <v>52000</v>
      </c>
      <c r="K11" s="10">
        <f t="shared" si="3"/>
        <v>468000</v>
      </c>
      <c r="L11" s="10">
        <f>Budget!K9</f>
        <v>468000</v>
      </c>
      <c r="M11" s="10">
        <f t="shared" si="0"/>
        <v>0</v>
      </c>
      <c r="N11" s="16">
        <f t="shared" si="4"/>
        <v>0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>
      <c r="A12" s="8" t="s">
        <v>105</v>
      </c>
      <c r="B12" s="10">
        <f>1*(SUMIFS('GL Extract'!$I$4:$I$943,'GL Extract'!$C$4:$C$943,"6400",'GL Extract'!$B$4:$B$943,"&gt;="&amp;DATE(2026,1,1),'GL Extract'!$B$4:$B$943,"&lt;"&amp;DATE(2026,2,1)))</f>
        <v>19822.433474415124</v>
      </c>
      <c r="C12" s="10">
        <f>1*(SUMIFS('GL Extract'!$I$4:$I$943,'GL Extract'!$C$4:$C$943,"6400",'GL Extract'!$B$4:$B$943,"&gt;="&amp;DATE(2026,2,1),'GL Extract'!$B$4:$B$943,"&lt;"&amp;DATE(2026,3,1)))</f>
        <v>20248.497906937399</v>
      </c>
      <c r="D12" s="10">
        <f>1*(SUMIFS('GL Extract'!$I$4:$I$943,'GL Extract'!$C$4:$C$943,"6400",'GL Extract'!$B$4:$B$943,"&gt;="&amp;DATE(2026,3,1),'GL Extract'!$B$4:$B$943,"&lt;"&amp;DATE(2026,4,1)))</f>
        <v>20775.911650389207</v>
      </c>
      <c r="E12" s="10">
        <f>1*(SUMIFS('GL Extract'!$I$4:$I$943,'GL Extract'!$C$4:$C$943,"6400",'GL Extract'!$B$4:$B$943,"&gt;="&amp;DATE(2026,4,1),'GL Extract'!$B$4:$B$943,"&lt;"&amp;DATE(2026,5,1)))</f>
        <v>19940.762762001617</v>
      </c>
      <c r="F12" s="10">
        <f>1*(SUMIFS('GL Extract'!$I$4:$I$943,'GL Extract'!$C$4:$C$943,"6400",'GL Extract'!$B$4:$B$943,"&gt;="&amp;DATE(2026,5,1),'GL Extract'!$B$4:$B$943,"&lt;"&amp;DATE(2026,6,1)))</f>
        <v>21051.68105951279</v>
      </c>
      <c r="G12" s="10">
        <f>1*(SUMIFS('GL Extract'!$I$4:$I$943,'GL Extract'!$C$4:$C$943,"6400",'GL Extract'!$B$4:$B$943,"&gt;="&amp;DATE(2026,6,1),'GL Extract'!$B$4:$B$943,"&lt;"&amp;DATE(2026,7,1)))</f>
        <v>21369.876782151143</v>
      </c>
      <c r="H12" s="10">
        <f>1*(SUMIFS('GL Extract'!$I$4:$I$943,'GL Extract'!$C$4:$C$943,"6400",'GL Extract'!$B$4:$B$943,"&gt;="&amp;DATE(2026,7,1),'GL Extract'!$B$4:$B$943,"&lt;"&amp;DATE(2026,8,1)))</f>
        <v>20812.953689757702</v>
      </c>
      <c r="I12" s="10">
        <f>1*(SUMIFS('GL Extract'!$I$4:$I$943,'GL Extract'!$C$4:$C$943,"6400",'GL Extract'!$B$4:$B$943,"&gt;="&amp;DATE(2026,8,1),'GL Extract'!$B$4:$B$943,"&lt;"&amp;DATE(2026,9,1)))</f>
        <v>21739.113364880981</v>
      </c>
      <c r="J12" s="10">
        <f>1*(SUMIFS('GL Extract'!$I$4:$I$943,'GL Extract'!$C$4:$C$943,"6400",'GL Extract'!$B$4:$B$943,"&gt;="&amp;DATE(2026,9,1),'GL Extract'!$B$4:$B$943,"&lt;"&amp;DATE(2026,10,1))+SUMIF('Adjustment Journals'!$C$4:$C$17,"6400",'Adjustment Journals'!$H$4:$H$17))</f>
        <v>22000</v>
      </c>
      <c r="K12" s="10">
        <f t="shared" si="3"/>
        <v>187761.23069004598</v>
      </c>
      <c r="L12" s="10">
        <f>Budget!K10</f>
        <v>190800</v>
      </c>
      <c r="M12" s="10">
        <f t="shared" si="0"/>
        <v>-3038.7693099540193</v>
      </c>
      <c r="N12" s="16">
        <f t="shared" si="4"/>
        <v>-1.59264638886479E-2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>
      <c r="A13" s="8" t="s">
        <v>107</v>
      </c>
      <c r="B13" s="10">
        <f>1*(SUMIFS('GL Extract'!$I$4:$I$943,'GL Extract'!$C$4:$C$943,"6500",'GL Extract'!$B$4:$B$943,"&gt;="&amp;DATE(2026,1,1),'GL Extract'!$B$4:$B$943,"&lt;"&amp;DATE(2026,2,1)))</f>
        <v>14134.748959828052</v>
      </c>
      <c r="C13" s="10">
        <f>1*(SUMIFS('GL Extract'!$I$4:$I$943,'GL Extract'!$C$4:$C$943,"6500",'GL Extract'!$B$4:$B$943,"&gt;="&amp;DATE(2026,2,1),'GL Extract'!$B$4:$B$943,"&lt;"&amp;DATE(2026,3,1)))</f>
        <v>14572.913421774845</v>
      </c>
      <c r="D13" s="10">
        <f>1*(SUMIFS('GL Extract'!$I$4:$I$943,'GL Extract'!$C$4:$C$943,"6500",'GL Extract'!$B$4:$B$943,"&gt;="&amp;DATE(2026,3,1),'GL Extract'!$B$4:$B$943,"&lt;"&amp;DATE(2026,4,1)))</f>
        <v>14928.637701228903</v>
      </c>
      <c r="E13" s="10">
        <f>1*(SUMIFS('GL Extract'!$I$4:$I$943,'GL Extract'!$C$4:$C$943,"6500",'GL Extract'!$B$4:$B$943,"&gt;="&amp;DATE(2026,4,1),'GL Extract'!$B$4:$B$943,"&lt;"&amp;DATE(2026,5,1)))</f>
        <v>14077.717409739804</v>
      </c>
      <c r="F13" s="10">
        <f>1*(SUMIFS('GL Extract'!$I$4:$I$943,'GL Extract'!$C$4:$C$943,"6500",'GL Extract'!$B$4:$B$943,"&gt;="&amp;DATE(2026,5,1),'GL Extract'!$B$4:$B$943,"&lt;"&amp;DATE(2026,6,1)))</f>
        <v>14690.144539000281</v>
      </c>
      <c r="G13" s="10">
        <f>1*(SUMIFS('GL Extract'!$I$4:$I$943,'GL Extract'!$C$4:$C$943,"6500",'GL Extract'!$B$4:$B$943,"&gt;="&amp;DATE(2026,6,1),'GL Extract'!$B$4:$B$943,"&lt;"&amp;DATE(2026,7,1)))</f>
        <v>16639.71673522257</v>
      </c>
      <c r="H13" s="10">
        <f>1*(SUMIFS('GL Extract'!$I$4:$I$943,'GL Extract'!$C$4:$C$943,"6500",'GL Extract'!$B$4:$B$943,"&gt;="&amp;DATE(2026,7,1),'GL Extract'!$B$4:$B$943,"&lt;"&amp;DATE(2026,8,1)))</f>
        <v>16742.389163373529</v>
      </c>
      <c r="I13" s="10">
        <f>1*(SUMIFS('GL Extract'!$I$4:$I$943,'GL Extract'!$C$4:$C$943,"6500",'GL Extract'!$B$4:$B$943,"&gt;="&amp;DATE(2026,8,1),'GL Extract'!$B$4:$B$943,"&lt;"&amp;DATE(2026,9,1)))</f>
        <v>16573.924446055295</v>
      </c>
      <c r="J13" s="10">
        <f>1*(SUMIFS('GL Extract'!$I$4:$I$943,'GL Extract'!$C$4:$C$943,"6500",'GL Extract'!$B$4:$B$943,"&gt;="&amp;DATE(2026,9,1),'GL Extract'!$B$4:$B$943,"&lt;"&amp;DATE(2026,10,1))+SUMIF('Adjustment Journals'!$C$4:$C$17,"6500",'Adjustment Journals'!$H$4:$H$17))</f>
        <v>18000</v>
      </c>
      <c r="K13" s="10">
        <f t="shared" si="3"/>
        <v>140360.19237622328</v>
      </c>
      <c r="L13" s="10">
        <f>Budget!K11</f>
        <v>146700</v>
      </c>
      <c r="M13" s="10">
        <f t="shared" si="0"/>
        <v>-6339.8076237767236</v>
      </c>
      <c r="N13" s="16">
        <f t="shared" si="4"/>
        <v>-4.3216139221381893E-2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>
      <c r="A14" s="8" t="s">
        <v>109</v>
      </c>
      <c r="B14" s="10">
        <f>1*(SUMIFS('GL Extract'!$I$4:$I$943,'GL Extract'!$C$4:$C$943,"6550",'GL Extract'!$B$4:$B$943,"&gt;="&amp;DATE(2026,1,1),'GL Extract'!$B$4:$B$943,"&lt;"&amp;DATE(2026,2,1)))</f>
        <v>96000</v>
      </c>
      <c r="C14" s="10">
        <f>1*(SUMIFS('GL Extract'!$I$4:$I$943,'GL Extract'!$C$4:$C$943,"6550",'GL Extract'!$B$4:$B$943,"&gt;="&amp;DATE(2026,2,1),'GL Extract'!$B$4:$B$943,"&lt;"&amp;DATE(2026,3,1)))</f>
        <v>0</v>
      </c>
      <c r="D14" s="10">
        <f>1*(SUMIFS('GL Extract'!$I$4:$I$943,'GL Extract'!$C$4:$C$943,"6550",'GL Extract'!$B$4:$B$943,"&gt;="&amp;DATE(2026,3,1),'GL Extract'!$B$4:$B$943,"&lt;"&amp;DATE(2026,4,1)))</f>
        <v>0</v>
      </c>
      <c r="E14" s="10">
        <f>1*(SUMIFS('GL Extract'!$I$4:$I$943,'GL Extract'!$C$4:$C$943,"6550",'GL Extract'!$B$4:$B$943,"&gt;="&amp;DATE(2026,4,1),'GL Extract'!$B$4:$B$943,"&lt;"&amp;DATE(2026,5,1)))</f>
        <v>0</v>
      </c>
      <c r="F14" s="10">
        <f>1*(SUMIFS('GL Extract'!$I$4:$I$943,'GL Extract'!$C$4:$C$943,"6550",'GL Extract'!$B$4:$B$943,"&gt;="&amp;DATE(2026,5,1),'GL Extract'!$B$4:$B$943,"&lt;"&amp;DATE(2026,6,1)))</f>
        <v>0</v>
      </c>
      <c r="G14" s="10">
        <f>1*(SUMIFS('GL Extract'!$I$4:$I$943,'GL Extract'!$C$4:$C$943,"6550",'GL Extract'!$B$4:$B$943,"&gt;="&amp;DATE(2026,6,1),'GL Extract'!$B$4:$B$943,"&lt;"&amp;DATE(2026,7,1)))</f>
        <v>0</v>
      </c>
      <c r="H14" s="10">
        <f>1*(SUMIFS('GL Extract'!$I$4:$I$943,'GL Extract'!$C$4:$C$943,"6550",'GL Extract'!$B$4:$B$943,"&gt;="&amp;DATE(2026,7,1),'GL Extract'!$B$4:$B$943,"&lt;"&amp;DATE(2026,8,1)))</f>
        <v>0</v>
      </c>
      <c r="I14" s="10">
        <f>1*(SUMIFS('GL Extract'!$I$4:$I$943,'GL Extract'!$C$4:$C$943,"6550",'GL Extract'!$B$4:$B$943,"&gt;="&amp;DATE(2026,8,1),'GL Extract'!$B$4:$B$943,"&lt;"&amp;DATE(2026,9,1)))</f>
        <v>0</v>
      </c>
      <c r="J14" s="10">
        <f>1*(SUMIFS('GL Extract'!$I$4:$I$943,'GL Extract'!$C$4:$C$943,"6550",'GL Extract'!$B$4:$B$943,"&gt;="&amp;DATE(2026,9,1),'GL Extract'!$B$4:$B$943,"&lt;"&amp;DATE(2026,10,1))+SUMIF('Adjustment Journals'!$C$4:$C$17,"6550",'Adjustment Journals'!$H$4:$H$17))</f>
        <v>-24000</v>
      </c>
      <c r="K14" s="10">
        <f t="shared" si="3"/>
        <v>72000</v>
      </c>
      <c r="L14" s="10">
        <f>Budget!K12</f>
        <v>72000</v>
      </c>
      <c r="M14" s="10">
        <f t="shared" si="0"/>
        <v>0</v>
      </c>
      <c r="N14" s="16">
        <f t="shared" si="4"/>
        <v>0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>
      <c r="A15" s="8" t="s">
        <v>111</v>
      </c>
      <c r="B15" s="10">
        <f>1*(SUMIFS('GL Extract'!$I$4:$I$943,'GL Extract'!$C$4:$C$943,"6600",'GL Extract'!$B$4:$B$943,"&gt;="&amp;DATE(2026,1,1),'GL Extract'!$B$4:$B$943,"&lt;"&amp;DATE(2026,2,1)))</f>
        <v>23800</v>
      </c>
      <c r="C15" s="10">
        <f>1*(SUMIFS('GL Extract'!$I$4:$I$943,'GL Extract'!$C$4:$C$943,"6600",'GL Extract'!$B$4:$B$943,"&gt;="&amp;DATE(2026,2,1),'GL Extract'!$B$4:$B$943,"&lt;"&amp;DATE(2026,3,1)))</f>
        <v>25600</v>
      </c>
      <c r="D15" s="10">
        <f>1*(SUMIFS('GL Extract'!$I$4:$I$943,'GL Extract'!$C$4:$C$943,"6600",'GL Extract'!$B$4:$B$943,"&gt;="&amp;DATE(2026,3,1),'GL Extract'!$B$4:$B$943,"&lt;"&amp;DATE(2026,4,1)))</f>
        <v>22000</v>
      </c>
      <c r="E15" s="10">
        <f>1*(SUMIFS('GL Extract'!$I$4:$I$943,'GL Extract'!$C$4:$C$943,"6600",'GL Extract'!$B$4:$B$943,"&gt;="&amp;DATE(2026,4,1),'GL Extract'!$B$4:$B$943,"&lt;"&amp;DATE(2026,5,1)))</f>
        <v>23800</v>
      </c>
      <c r="F15" s="10">
        <f>1*(SUMIFS('GL Extract'!$I$4:$I$943,'GL Extract'!$C$4:$C$943,"6600",'GL Extract'!$B$4:$B$943,"&gt;="&amp;DATE(2026,5,1),'GL Extract'!$B$4:$B$943,"&lt;"&amp;DATE(2026,6,1)))</f>
        <v>25600</v>
      </c>
      <c r="G15" s="10">
        <f>1*(SUMIFS('GL Extract'!$I$4:$I$943,'GL Extract'!$C$4:$C$943,"6600",'GL Extract'!$B$4:$B$943,"&gt;="&amp;DATE(2026,6,1),'GL Extract'!$B$4:$B$943,"&lt;"&amp;DATE(2026,7,1)))</f>
        <v>22000</v>
      </c>
      <c r="H15" s="10">
        <f>1*(SUMIFS('GL Extract'!$I$4:$I$943,'GL Extract'!$C$4:$C$943,"6600",'GL Extract'!$B$4:$B$943,"&gt;="&amp;DATE(2026,7,1),'GL Extract'!$B$4:$B$943,"&lt;"&amp;DATE(2026,8,1)))</f>
        <v>23800</v>
      </c>
      <c r="I15" s="10">
        <f>1*(SUMIFS('GL Extract'!$I$4:$I$943,'GL Extract'!$C$4:$C$943,"6600",'GL Extract'!$B$4:$B$943,"&gt;="&amp;DATE(2026,8,1),'GL Extract'!$B$4:$B$943,"&lt;"&amp;DATE(2026,9,1)))</f>
        <v>25600</v>
      </c>
      <c r="J15" s="10">
        <f>1*(SUMIFS('GL Extract'!$I$4:$I$943,'GL Extract'!$C$4:$C$943,"6600",'GL Extract'!$B$4:$B$943,"&gt;="&amp;DATE(2026,9,1),'GL Extract'!$B$4:$B$943,"&lt;"&amp;DATE(2026,10,1))+SUMIF('Adjustment Journals'!$C$4:$C$17,"6600",'Adjustment Journals'!$H$4:$H$17))</f>
        <v>22000</v>
      </c>
      <c r="K15" s="10">
        <f t="shared" si="3"/>
        <v>214200</v>
      </c>
      <c r="L15" s="10">
        <f>Budget!K13</f>
        <v>207000</v>
      </c>
      <c r="M15" s="10">
        <f t="shared" si="0"/>
        <v>7200</v>
      </c>
      <c r="N15" s="16">
        <f t="shared" si="4"/>
        <v>3.4782608695652174E-2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>
      <c r="A16" s="8" t="s">
        <v>114</v>
      </c>
      <c r="B16" s="10">
        <f>1*(SUMIFS('GL Extract'!$I$4:$I$943,'GL Extract'!$C$4:$C$943,"6700",'GL Extract'!$B$4:$B$943,"&gt;="&amp;DATE(2026,1,1),'GL Extract'!$B$4:$B$943,"&lt;"&amp;DATE(2026,2,1)))</f>
        <v>7868.497595747951</v>
      </c>
      <c r="C16" s="10">
        <f>1*(SUMIFS('GL Extract'!$I$4:$I$943,'GL Extract'!$C$4:$C$943,"6700",'GL Extract'!$B$4:$B$943,"&gt;="&amp;DATE(2026,2,1),'GL Extract'!$B$4:$B$943,"&lt;"&amp;DATE(2026,3,1)))</f>
        <v>8621.2821447361312</v>
      </c>
      <c r="D16" s="10">
        <f>1*(SUMIFS('GL Extract'!$I$4:$I$943,'GL Extract'!$C$4:$C$943,"6700",'GL Extract'!$B$4:$B$943,"&gt;="&amp;DATE(2026,3,1),'GL Extract'!$B$4:$B$943,"&lt;"&amp;DATE(2026,4,1)))</f>
        <v>8736.8240172953283</v>
      </c>
      <c r="E16" s="10">
        <f>1*(SUMIFS('GL Extract'!$I$4:$I$943,'GL Extract'!$C$4:$C$943,"6700",'GL Extract'!$B$4:$B$943,"&gt;="&amp;DATE(2026,4,1),'GL Extract'!$B$4:$B$943,"&lt;"&amp;DATE(2026,5,1)))</f>
        <v>7590.5358113418752</v>
      </c>
      <c r="F16" s="10">
        <f>1*(SUMIFS('GL Extract'!$I$4:$I$943,'GL Extract'!$C$4:$C$943,"6700",'GL Extract'!$B$4:$B$943,"&gt;="&amp;DATE(2026,5,1),'GL Extract'!$B$4:$B$943,"&lt;"&amp;DATE(2026,6,1)))</f>
        <v>8709.5963625683216</v>
      </c>
      <c r="G16" s="10">
        <f>1*(SUMIFS('GL Extract'!$I$4:$I$943,'GL Extract'!$C$4:$C$943,"6700",'GL Extract'!$B$4:$B$943,"&gt;="&amp;DATE(2026,6,1),'GL Extract'!$B$4:$B$943,"&lt;"&amp;DATE(2026,7,1)))</f>
        <v>10261.46675591014</v>
      </c>
      <c r="H16" s="10">
        <f>1*(SUMIFS('GL Extract'!$I$4:$I$943,'GL Extract'!$C$4:$C$943,"6700",'GL Extract'!$B$4:$B$943,"&gt;="&amp;DATE(2026,7,1),'GL Extract'!$B$4:$B$943,"&lt;"&amp;DATE(2026,8,1)))</f>
        <v>8260.8631571550668</v>
      </c>
      <c r="I16" s="10">
        <f>1*(SUMIFS('GL Extract'!$I$4:$I$943,'GL Extract'!$C$4:$C$943,"6700",'GL Extract'!$B$4:$B$943,"&gt;="&amp;DATE(2026,8,1),'GL Extract'!$B$4:$B$943,"&lt;"&amp;DATE(2026,9,1)))</f>
        <v>11150.296006651577</v>
      </c>
      <c r="J16" s="10">
        <f>1*(SUMIFS('GL Extract'!$I$4:$I$943,'GL Extract'!$C$4:$C$943,"6700",'GL Extract'!$B$4:$B$943,"&gt;="&amp;DATE(2026,9,1),'GL Extract'!$B$4:$B$943,"&lt;"&amp;DATE(2026,10,1))+SUMIF('Adjustment Journals'!$C$4:$C$17,"6700",'Adjustment Journals'!$H$4:$H$17))</f>
        <v>11555.122831503342</v>
      </c>
      <c r="K16" s="10">
        <f t="shared" si="3"/>
        <v>82754.484682909737</v>
      </c>
      <c r="L16" s="10">
        <f>Budget!K14</f>
        <v>81000</v>
      </c>
      <c r="M16" s="10">
        <f t="shared" si="0"/>
        <v>1754.4846829097369</v>
      </c>
      <c r="N16" s="16">
        <f t="shared" si="4"/>
        <v>2.1660304727280703E-2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>
      <c r="A17" s="8" t="s">
        <v>963</v>
      </c>
      <c r="B17" s="10">
        <f t="shared" ref="B17:J17" si="5">SUM(B8:B16)</f>
        <v>482187.96925251686</v>
      </c>
      <c r="C17" s="10">
        <f t="shared" si="5"/>
        <v>391838.13199963584</v>
      </c>
      <c r="D17" s="10">
        <f t="shared" si="5"/>
        <v>389433.86223201954</v>
      </c>
      <c r="E17" s="10">
        <f t="shared" si="5"/>
        <v>394094.0652788803</v>
      </c>
      <c r="F17" s="10">
        <f t="shared" si="5"/>
        <v>399853.09691951727</v>
      </c>
      <c r="G17" s="10">
        <f t="shared" si="5"/>
        <v>409632.69322037511</v>
      </c>
      <c r="H17" s="10">
        <f t="shared" si="5"/>
        <v>404065.65264678234</v>
      </c>
      <c r="I17" s="10">
        <f t="shared" si="5"/>
        <v>419267.771615248</v>
      </c>
      <c r="J17" s="10">
        <f t="shared" si="5"/>
        <v>458601.69375236804</v>
      </c>
      <c r="K17" s="10">
        <f t="shared" si="3"/>
        <v>3748974.9369173436</v>
      </c>
      <c r="L17" s="10">
        <f>SUM(L8:L16)</f>
        <v>3675610</v>
      </c>
      <c r="M17" s="10">
        <f t="shared" si="0"/>
        <v>73364.936917343643</v>
      </c>
      <c r="N17" s="16">
        <f t="shared" si="4"/>
        <v>1.9959935063117044E-2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>
      <c r="A18" s="17" t="s">
        <v>964</v>
      </c>
      <c r="B18" s="18">
        <f t="shared" ref="B18:J18" si="6">B6-B17</f>
        <v>-117287.96925251675</v>
      </c>
      <c r="C18" s="18">
        <f t="shared" si="6"/>
        <v>-14123.131999635953</v>
      </c>
      <c r="D18" s="18">
        <f t="shared" si="6"/>
        <v>2566.1377679803409</v>
      </c>
      <c r="E18" s="18">
        <f t="shared" si="6"/>
        <v>10905.934721119527</v>
      </c>
      <c r="F18" s="18">
        <f t="shared" si="6"/>
        <v>20506.903080482734</v>
      </c>
      <c r="G18" s="18">
        <f t="shared" si="6"/>
        <v>21072.306779625011</v>
      </c>
      <c r="H18" s="18">
        <f t="shared" si="6"/>
        <v>35344.34735321789</v>
      </c>
      <c r="I18" s="18">
        <f t="shared" si="6"/>
        <v>30192.228384751885</v>
      </c>
      <c r="J18" s="18">
        <f t="shared" si="6"/>
        <v>3223.3062476321938</v>
      </c>
      <c r="K18" s="18">
        <f t="shared" si="3"/>
        <v>-7599.9369173431187</v>
      </c>
      <c r="L18" s="18">
        <f>L6-L17</f>
        <v>27890</v>
      </c>
      <c r="M18" s="18">
        <f t="shared" si="0"/>
        <v>-35489.936917343119</v>
      </c>
      <c r="N18" s="19">
        <f t="shared" si="4"/>
        <v>-1.2724968417835467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>
      <c r="A19" s="8" t="s">
        <v>965</v>
      </c>
      <c r="B19" s="16">
        <f t="shared" ref="B19:L19" si="7">IFERROR(B18/B4,0)</f>
        <v>-0.14303410884453263</v>
      </c>
      <c r="C19" s="16">
        <f t="shared" si="7"/>
        <v>-1.6713765680042549E-2</v>
      </c>
      <c r="D19" s="16">
        <f t="shared" si="7"/>
        <v>2.932728877691818E-3</v>
      </c>
      <c r="E19" s="16">
        <f t="shared" si="7"/>
        <v>1.2117705245688365E-2</v>
      </c>
      <c r="F19" s="16">
        <f t="shared" si="7"/>
        <v>2.2050433419873908E-2</v>
      </c>
      <c r="G19" s="16">
        <f t="shared" si="7"/>
        <v>2.2065242701178021E-2</v>
      </c>
      <c r="H19" s="16">
        <f t="shared" si="7"/>
        <v>3.6437471498162767E-2</v>
      </c>
      <c r="I19" s="16">
        <f t="shared" si="7"/>
        <v>3.0497200388638269E-2</v>
      </c>
      <c r="J19" s="16">
        <f t="shared" si="7"/>
        <v>3.1756711799331952E-3</v>
      </c>
      <c r="K19" s="16">
        <f t="shared" si="7"/>
        <v>-9.1565505028230341E-4</v>
      </c>
      <c r="L19" s="16">
        <f t="shared" si="7"/>
        <v>3.3888213851761845E-3</v>
      </c>
      <c r="M19" s="16">
        <f t="shared" si="0"/>
        <v>-4.3044764354584876E-3</v>
      </c>
      <c r="N19" s="8" t="s">
        <v>962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>
      <c r="A20" s="8" t="s">
        <v>116</v>
      </c>
      <c r="B20" s="10">
        <f>1*(SUMIFS('GL Extract'!$I$4:$I$943,'GL Extract'!$C$4:$C$943,"6800",'GL Extract'!$B$4:$B$943,"&gt;="&amp;DATE(2026,1,1),'GL Extract'!$B$4:$B$943,"&lt;"&amp;DATE(2026,2,1)))</f>
        <v>15000</v>
      </c>
      <c r="C20" s="10">
        <f>1*(SUMIFS('GL Extract'!$I$4:$I$943,'GL Extract'!$C$4:$C$943,"6800",'GL Extract'!$B$4:$B$943,"&gt;="&amp;DATE(2026,2,1),'GL Extract'!$B$4:$B$943,"&lt;"&amp;DATE(2026,3,1)))</f>
        <v>15000</v>
      </c>
      <c r="D20" s="10">
        <f>1*(SUMIFS('GL Extract'!$I$4:$I$943,'GL Extract'!$C$4:$C$943,"6800",'GL Extract'!$B$4:$B$943,"&gt;="&amp;DATE(2026,3,1),'GL Extract'!$B$4:$B$943,"&lt;"&amp;DATE(2026,4,1)))</f>
        <v>15000</v>
      </c>
      <c r="E20" s="10">
        <f>1*(SUMIFS('GL Extract'!$I$4:$I$943,'GL Extract'!$C$4:$C$943,"6800",'GL Extract'!$B$4:$B$943,"&gt;="&amp;DATE(2026,4,1),'GL Extract'!$B$4:$B$943,"&lt;"&amp;DATE(2026,5,1)))</f>
        <v>15000</v>
      </c>
      <c r="F20" s="10">
        <f>1*(SUMIFS('GL Extract'!$I$4:$I$943,'GL Extract'!$C$4:$C$943,"6800",'GL Extract'!$B$4:$B$943,"&gt;="&amp;DATE(2026,5,1),'GL Extract'!$B$4:$B$943,"&lt;"&amp;DATE(2026,6,1)))</f>
        <v>15000</v>
      </c>
      <c r="G20" s="10">
        <f>1*(SUMIFS('GL Extract'!$I$4:$I$943,'GL Extract'!$C$4:$C$943,"6800",'GL Extract'!$B$4:$B$943,"&gt;="&amp;DATE(2026,6,1),'GL Extract'!$B$4:$B$943,"&lt;"&amp;DATE(2026,7,1)))</f>
        <v>15000</v>
      </c>
      <c r="H20" s="10">
        <f>1*(SUMIFS('GL Extract'!$I$4:$I$943,'GL Extract'!$C$4:$C$943,"6800",'GL Extract'!$B$4:$B$943,"&gt;="&amp;DATE(2026,7,1),'GL Extract'!$B$4:$B$943,"&lt;"&amp;DATE(2026,8,1)))</f>
        <v>15000</v>
      </c>
      <c r="I20" s="10">
        <f>1*(SUMIFS('GL Extract'!$I$4:$I$943,'GL Extract'!$C$4:$C$943,"6800",'GL Extract'!$B$4:$B$943,"&gt;="&amp;DATE(2026,8,1),'GL Extract'!$B$4:$B$943,"&lt;"&amp;DATE(2026,9,1)))</f>
        <v>15000</v>
      </c>
      <c r="J20" s="10">
        <f>1*(SUMIFS('GL Extract'!$I$4:$I$943,'GL Extract'!$C$4:$C$943,"6800",'GL Extract'!$B$4:$B$943,"&gt;="&amp;DATE(2026,9,1),'GL Extract'!$B$4:$B$943,"&lt;"&amp;DATE(2026,10,1))+SUMIF('Adjustment Journals'!$C$4:$C$17,"6800",'Adjustment Journals'!$H$4:$H$17))</f>
        <v>15000</v>
      </c>
      <c r="K20" s="10">
        <f>SUM(B20:J20)</f>
        <v>135000</v>
      </c>
      <c r="L20" s="10">
        <f>Budget!K15</f>
        <v>135000</v>
      </c>
      <c r="M20" s="10">
        <f t="shared" si="0"/>
        <v>0</v>
      </c>
      <c r="N20" s="16">
        <f>IFERROR(M20/L20,0)</f>
        <v>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>
      <c r="A21" s="8" t="s">
        <v>119</v>
      </c>
      <c r="B21" s="10">
        <f>1*(SUMIFS('GL Extract'!$I$4:$I$943,'GL Extract'!$C$4:$C$943,"6900",'GL Extract'!$B$4:$B$943,"&gt;="&amp;DATE(2026,1,1),'GL Extract'!$B$4:$B$943,"&lt;"&amp;DATE(2026,2,1)))</f>
        <v>0</v>
      </c>
      <c r="C21" s="10">
        <f>1*(SUMIFS('GL Extract'!$I$4:$I$943,'GL Extract'!$C$4:$C$943,"6900",'GL Extract'!$B$4:$B$943,"&gt;="&amp;DATE(2026,2,1),'GL Extract'!$B$4:$B$943,"&lt;"&amp;DATE(2026,3,1)))</f>
        <v>0</v>
      </c>
      <c r="D21" s="10">
        <f>1*(SUMIFS('GL Extract'!$I$4:$I$943,'GL Extract'!$C$4:$C$943,"6900",'GL Extract'!$B$4:$B$943,"&gt;="&amp;DATE(2026,3,1),'GL Extract'!$B$4:$B$943,"&lt;"&amp;DATE(2026,4,1)))</f>
        <v>0</v>
      </c>
      <c r="E21" s="10">
        <f>1*(SUMIFS('GL Extract'!$I$4:$I$943,'GL Extract'!$C$4:$C$943,"6900",'GL Extract'!$B$4:$B$943,"&gt;="&amp;DATE(2026,4,1),'GL Extract'!$B$4:$B$943,"&lt;"&amp;DATE(2026,5,1)))</f>
        <v>0</v>
      </c>
      <c r="F21" s="10">
        <f>1*(SUMIFS('GL Extract'!$I$4:$I$943,'GL Extract'!$C$4:$C$943,"6900",'GL Extract'!$B$4:$B$943,"&gt;="&amp;DATE(2026,5,1),'GL Extract'!$B$4:$B$943,"&lt;"&amp;DATE(2026,6,1)))</f>
        <v>0</v>
      </c>
      <c r="G21" s="10">
        <f>1*(SUMIFS('GL Extract'!$I$4:$I$943,'GL Extract'!$C$4:$C$943,"6900",'GL Extract'!$B$4:$B$943,"&gt;="&amp;DATE(2026,6,1),'GL Extract'!$B$4:$B$943,"&lt;"&amp;DATE(2026,7,1)))</f>
        <v>0</v>
      </c>
      <c r="H21" s="10">
        <f>1*(SUMIFS('GL Extract'!$I$4:$I$943,'GL Extract'!$C$4:$C$943,"6900",'GL Extract'!$B$4:$B$943,"&gt;="&amp;DATE(2026,7,1),'GL Extract'!$B$4:$B$943,"&lt;"&amp;DATE(2026,8,1)))</f>
        <v>0</v>
      </c>
      <c r="I21" s="10">
        <f>1*(SUMIFS('GL Extract'!$I$4:$I$943,'GL Extract'!$C$4:$C$943,"6900",'GL Extract'!$B$4:$B$943,"&gt;="&amp;DATE(2026,8,1),'GL Extract'!$B$4:$B$943,"&lt;"&amp;DATE(2026,9,1)))</f>
        <v>0</v>
      </c>
      <c r="J21" s="10">
        <f>1*(SUMIFS('GL Extract'!$I$4:$I$943,'GL Extract'!$C$4:$C$943,"6900",'GL Extract'!$B$4:$B$943,"&gt;="&amp;DATE(2026,9,1),'GL Extract'!$B$4:$B$943,"&lt;"&amp;DATE(2026,10,1))+SUMIF('Adjustment Journals'!$C$4:$C$17,"6900",'Adjustment Journals'!$H$4:$H$17))</f>
        <v>5000</v>
      </c>
      <c r="K21" s="10">
        <f>SUM(B21:J21)</f>
        <v>5000</v>
      </c>
      <c r="L21" s="10">
        <f>Budget!K16</f>
        <v>27000</v>
      </c>
      <c r="M21" s="10">
        <f t="shared" si="0"/>
        <v>-22000</v>
      </c>
      <c r="N21" s="16">
        <f>IFERROR(M21/L21,0)</f>
        <v>-0.81481481481481477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>
      <c r="A22" s="17" t="s">
        <v>966</v>
      </c>
      <c r="B22" s="18">
        <f t="shared" ref="B22:J22" si="8">B18-B20-B21</f>
        <v>-132287.96925251675</v>
      </c>
      <c r="C22" s="18">
        <f t="shared" si="8"/>
        <v>-29123.131999635953</v>
      </c>
      <c r="D22" s="18">
        <f t="shared" si="8"/>
        <v>-12433.862232019659</v>
      </c>
      <c r="E22" s="18">
        <f t="shared" si="8"/>
        <v>-4094.0652788804728</v>
      </c>
      <c r="F22" s="18">
        <f t="shared" si="8"/>
        <v>5506.9030804827344</v>
      </c>
      <c r="G22" s="18">
        <f t="shared" si="8"/>
        <v>6072.3067796250107</v>
      </c>
      <c r="H22" s="18">
        <f t="shared" si="8"/>
        <v>20344.34735321789</v>
      </c>
      <c r="I22" s="18">
        <f t="shared" si="8"/>
        <v>15192.228384751885</v>
      </c>
      <c r="J22" s="18">
        <f t="shared" si="8"/>
        <v>-16776.693752367806</v>
      </c>
      <c r="K22" s="18">
        <f>SUM(B22:J22)</f>
        <v>-147599.93691734312</v>
      </c>
      <c r="L22" s="18">
        <f>L18-L20-L21</f>
        <v>-134110</v>
      </c>
      <c r="M22" s="18">
        <f t="shared" si="0"/>
        <v>-13489.936917343119</v>
      </c>
      <c r="N22" s="19">
        <f>IFERROR(M22/L22,0)</f>
        <v>0.10058859829500498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>
      <c r="A23" s="8" t="s">
        <v>122</v>
      </c>
      <c r="B23" s="10">
        <f>1*(SUMIFS('GL Extract'!$I$4:$I$943,'GL Extract'!$C$4:$C$943,"7000",'GL Extract'!$B$4:$B$943,"&gt;="&amp;DATE(2026,1,1),'GL Extract'!$B$4:$B$943,"&lt;"&amp;DATE(2026,2,1)))</f>
        <v>5500</v>
      </c>
      <c r="C23" s="10">
        <f>1*(SUMIFS('GL Extract'!$I$4:$I$943,'GL Extract'!$C$4:$C$943,"7000",'GL Extract'!$B$4:$B$943,"&gt;="&amp;DATE(2026,2,1),'GL Extract'!$B$4:$B$943,"&lt;"&amp;DATE(2026,3,1)))</f>
        <v>5500</v>
      </c>
      <c r="D23" s="10">
        <f>1*(SUMIFS('GL Extract'!$I$4:$I$943,'GL Extract'!$C$4:$C$943,"7000",'GL Extract'!$B$4:$B$943,"&gt;="&amp;DATE(2026,3,1),'GL Extract'!$B$4:$B$943,"&lt;"&amp;DATE(2026,4,1)))</f>
        <v>5500</v>
      </c>
      <c r="E23" s="10">
        <f>1*(SUMIFS('GL Extract'!$I$4:$I$943,'GL Extract'!$C$4:$C$943,"7000",'GL Extract'!$B$4:$B$943,"&gt;="&amp;DATE(2026,4,1),'GL Extract'!$B$4:$B$943,"&lt;"&amp;DATE(2026,5,1)))</f>
        <v>5500</v>
      </c>
      <c r="F23" s="10">
        <f>1*(SUMIFS('GL Extract'!$I$4:$I$943,'GL Extract'!$C$4:$C$943,"7000",'GL Extract'!$B$4:$B$943,"&gt;="&amp;DATE(2026,5,1),'GL Extract'!$B$4:$B$943,"&lt;"&amp;DATE(2026,6,1)))</f>
        <v>5500</v>
      </c>
      <c r="G23" s="10">
        <f>1*(SUMIFS('GL Extract'!$I$4:$I$943,'GL Extract'!$C$4:$C$943,"7000",'GL Extract'!$B$4:$B$943,"&gt;="&amp;DATE(2026,6,1),'GL Extract'!$B$4:$B$943,"&lt;"&amp;DATE(2026,7,1)))</f>
        <v>5500</v>
      </c>
      <c r="H23" s="10">
        <f>1*(SUMIFS('GL Extract'!$I$4:$I$943,'GL Extract'!$C$4:$C$943,"7000",'GL Extract'!$B$4:$B$943,"&gt;="&amp;DATE(2026,7,1),'GL Extract'!$B$4:$B$943,"&lt;"&amp;DATE(2026,8,1)))</f>
        <v>5500</v>
      </c>
      <c r="I23" s="10">
        <f>1*(SUMIFS('GL Extract'!$I$4:$I$943,'GL Extract'!$C$4:$C$943,"7000",'GL Extract'!$B$4:$B$943,"&gt;="&amp;DATE(2026,8,1),'GL Extract'!$B$4:$B$943,"&lt;"&amp;DATE(2026,9,1)))</f>
        <v>5500</v>
      </c>
      <c r="J23" s="10">
        <f>1*(SUMIFS('GL Extract'!$I$4:$I$943,'GL Extract'!$C$4:$C$943,"7000",'GL Extract'!$B$4:$B$943,"&gt;="&amp;DATE(2026,9,1),'GL Extract'!$B$4:$B$943,"&lt;"&amp;DATE(2026,10,1))+SUMIF('Adjustment Journals'!$C$4:$C$17,"7000",'Adjustment Journals'!$H$4:$H$17))</f>
        <v>5500</v>
      </c>
      <c r="K23" s="10">
        <f>SUM(B23:J23)</f>
        <v>49500</v>
      </c>
      <c r="L23" s="10">
        <f>Budget!K17</f>
        <v>49500</v>
      </c>
      <c r="M23" s="10">
        <f t="shared" si="0"/>
        <v>0</v>
      </c>
      <c r="N23" s="16">
        <f>IFERROR(M23/L23,0)</f>
        <v>0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>
      <c r="A24" s="17" t="s">
        <v>967</v>
      </c>
      <c r="B24" s="18">
        <f t="shared" ref="B24:J24" si="9">B22-B23</f>
        <v>-137787.96925251675</v>
      </c>
      <c r="C24" s="18">
        <f t="shared" si="9"/>
        <v>-34623.131999635953</v>
      </c>
      <c r="D24" s="18">
        <f t="shared" si="9"/>
        <v>-17933.862232019659</v>
      </c>
      <c r="E24" s="18">
        <f t="shared" si="9"/>
        <v>-9594.0652788804728</v>
      </c>
      <c r="F24" s="18">
        <f t="shared" si="9"/>
        <v>6.9030804827343673</v>
      </c>
      <c r="G24" s="18">
        <f t="shared" si="9"/>
        <v>572.30677962501068</v>
      </c>
      <c r="H24" s="18">
        <f t="shared" si="9"/>
        <v>14844.34735321789</v>
      </c>
      <c r="I24" s="18">
        <f t="shared" si="9"/>
        <v>9692.2283847518847</v>
      </c>
      <c r="J24" s="18">
        <f t="shared" si="9"/>
        <v>-22276.693752367806</v>
      </c>
      <c r="K24" s="18">
        <f>SUM(B24:J24)</f>
        <v>-197099.93691734312</v>
      </c>
      <c r="L24" s="18">
        <f>L22-L23</f>
        <v>-183610</v>
      </c>
      <c r="M24" s="18">
        <f t="shared" si="0"/>
        <v>-13489.936917343119</v>
      </c>
      <c r="N24" s="19">
        <f>IFERROR(M24/L24,0)</f>
        <v>7.3470600279631385E-2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1:5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1:5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 spans="1:5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 spans="1:5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 spans="1:5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 spans="1:5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 spans="1:5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 spans="1:5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 spans="1:5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 spans="1:5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 spans="1:5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 spans="1:5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 spans="1:5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 spans="1:5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 spans="1:5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 spans="1:5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 spans="1:5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 spans="1:5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 spans="1:5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 spans="1:5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 spans="1:5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 spans="1:5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 spans="1:5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 spans="1:5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 spans="1:5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 spans="1:5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 spans="1:5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 spans="1:5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 spans="1:5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 spans="1:5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 spans="1:5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 spans="1:5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 spans="1:5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 spans="1:5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 spans="1:5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 spans="1:5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 spans="1:5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 spans="1:5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 spans="1:5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 spans="1:5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 spans="1:5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 spans="1:5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 spans="1:5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 spans="1:5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 spans="1:5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 spans="1:5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 spans="1:5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 spans="1:5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 spans="1:5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 spans="1:5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 spans="1:5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 spans="1:5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 spans="1:5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 spans="1: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 spans="1:5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 spans="1:5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 spans="1:5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 spans="1:5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 spans="1:5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 spans="1:5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 spans="1:5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 spans="1:5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 spans="1:5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 spans="1:5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 spans="1:5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 spans="1:5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 spans="1:5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 spans="1:5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 spans="1:5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 spans="1:5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 spans="1:5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 spans="1:5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 spans="1:5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 spans="1:5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 spans="1:5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 spans="1:5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 spans="1:5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 spans="1:5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 spans="1:5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 spans="1:5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 spans="1:5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 spans="1:5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 spans="1:5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 spans="1:5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 spans="1:5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 spans="1:5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 spans="1:5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 spans="1:5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 spans="1:5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 spans="1:5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 spans="1:5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 spans="1:5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 spans="1:5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 spans="1:5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 spans="1:5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 spans="1:5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 spans="1:5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 spans="1:5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 spans="1:5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 spans="1:5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 spans="1:5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 spans="1:5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 spans="1:5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 spans="1:5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 spans="1:5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 spans="1:5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 spans="1:5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 spans="1:5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 spans="1:5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 spans="1:5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 spans="1:5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 spans="1:5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 spans="1:5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 spans="1:5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 spans="1:5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 spans="1:5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 spans="1:5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 spans="1:5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 spans="1:5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 spans="1:5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 spans="1:5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 spans="1:5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 spans="1:5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 spans="1:5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 spans="1:5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 spans="1:5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 spans="1:5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 spans="1:5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 spans="1:5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 spans="1:5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 spans="1:5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 spans="1:5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 spans="1:5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 spans="1:5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 spans="1:5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 spans="1:5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 spans="1:5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 spans="1:5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 spans="1:5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 spans="1:5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 spans="1:5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 spans="1:5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 spans="1:5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 spans="1:5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 spans="1:5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 spans="1:5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 spans="1:5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 spans="1:5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 spans="1:5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 spans="1:5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 spans="1:5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 spans="1:5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 spans="1:5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 spans="1: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 spans="1:5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 spans="1:5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 spans="1:5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 spans="1:5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 spans="1:5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 spans="1:5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 spans="1:5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 spans="1:5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 spans="1:5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 spans="1:5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 spans="1:5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 spans="1:5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 spans="1:5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 spans="1:5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 spans="1:5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 spans="1:5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 spans="1:5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 spans="1:5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 spans="1:5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 spans="1:5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 spans="1:5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 spans="1:5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 spans="1:5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 spans="1:5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 spans="1:5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 spans="1:5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 spans="1:5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 spans="1:5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 spans="1:5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 spans="1:5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 spans="1:5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 spans="1:5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 spans="1:5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 spans="1:5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 spans="1:5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 spans="1:5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 spans="1:5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 spans="1:5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 spans="1:5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 spans="1:5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 spans="1:5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 spans="1:5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 spans="1:5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 spans="1:5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 spans="1:5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 spans="1:5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 spans="1:5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 spans="1:5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 spans="1:5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 spans="1:5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 spans="1:5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 spans="1:5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 spans="1:5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 spans="1:5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 spans="1:5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 spans="1:5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 spans="1:5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 spans="1:5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 spans="1:5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 spans="1:5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 spans="1:5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 spans="1:5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 spans="1:5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 spans="1:5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 spans="1:5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 spans="1:5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 spans="1:5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 spans="1:5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 spans="1:5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 spans="1:5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 spans="1:5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 spans="1:5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 spans="1:5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 spans="1:5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 spans="1:5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 spans="1:5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 spans="1:5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 spans="1:5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 spans="1:5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 spans="1:5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 spans="1:5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 spans="1:5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 spans="1:5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 spans="1:5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 spans="1:5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 spans="1:5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 spans="1:5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 spans="1:5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 spans="1:5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 spans="1:5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 spans="1:5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 spans="1:5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 spans="1:5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 spans="1:5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 spans="1:5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 spans="1:5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 spans="1:5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 spans="1:5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 spans="1:5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 spans="1: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 spans="1:5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 spans="1:5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 spans="1:5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 spans="1:5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 spans="1:5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 spans="1:5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 spans="1:5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 spans="1:5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 spans="1:5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 spans="1:5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 spans="1:5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 spans="1:5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 spans="1:5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 spans="1:5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 spans="1:5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 spans="1:5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 spans="1:5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 spans="1:5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 spans="1:5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 spans="1:5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 spans="1:5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 spans="1:5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 spans="1:5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 spans="1:5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 spans="1:5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 spans="1:5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 spans="1:5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 spans="1:5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 spans="1:5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 spans="1:5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 spans="1:5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 spans="1:5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 spans="1:5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 spans="1:5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 spans="1:5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 spans="1:5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 spans="1:5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 spans="1:5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 spans="1:5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 spans="1:5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 spans="1:5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 spans="1:5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 spans="1:5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 spans="1:5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 spans="1:5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 spans="1:5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 spans="1:5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 spans="1:5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 spans="1:5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 spans="1:5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 spans="1:5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 spans="1:5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 spans="1:5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 spans="1:5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 spans="1:5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 spans="1:5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 spans="1:5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 spans="1:5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 spans="1:5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 spans="1:5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 spans="1:5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 spans="1:5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 spans="1:5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 spans="1:5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 spans="1:5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 spans="1:5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 spans="1:5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 spans="1:5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 spans="1:5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 spans="1:5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 spans="1:5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 spans="1:5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 spans="1:5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 spans="1:5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 spans="1:5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 spans="1:5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 spans="1:5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 spans="1:5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 spans="1:5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 spans="1:5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 spans="1:5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 spans="1:5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 spans="1:5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 spans="1:5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 spans="1:5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 spans="1:5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 spans="1:5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 spans="1:5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 spans="1:5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 spans="1:5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 spans="1:5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 spans="1:5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 spans="1:5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 spans="1:5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 spans="1:5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 spans="1:5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 spans="1:5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 spans="1:5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 spans="1:5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 spans="1: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 spans="1:5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 spans="1:5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 spans="1:5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 spans="1:5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 spans="1:5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 spans="1:5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 spans="1:5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 spans="1:5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 spans="1:5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 spans="1:5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 spans="1:5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 spans="1:5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 spans="1:5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 spans="1:5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 spans="1:5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 spans="1:5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 spans="1:5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 spans="1:5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 spans="1:5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 spans="1:5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 spans="1:5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 spans="1:5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 spans="1:5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 spans="1:5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 spans="1:5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 spans="1:5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 spans="1:5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 spans="1:5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 spans="1:5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 spans="1:5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 spans="1:5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 spans="1:5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 spans="1:5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 spans="1:5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 spans="1:5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 spans="1:5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 spans="1:5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 spans="1:5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 spans="1:5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 spans="1:5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 spans="1:5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 spans="1:5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 spans="1:5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 spans="1:5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 spans="1:5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 spans="1:5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 spans="1:5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 spans="1:5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 spans="1:5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 spans="1:5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 spans="1:5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 spans="1:5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 spans="1:5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 spans="1:5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 spans="1:5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 spans="1:5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 spans="1:5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 spans="1:5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 spans="1:5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 spans="1:5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 spans="1:5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 spans="1:5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 spans="1:5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 spans="1:5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 spans="1:5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 spans="1:5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 spans="1:5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 spans="1:5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 spans="1:5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 spans="1:5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 spans="1:5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 spans="1:5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 spans="1:5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 spans="1:5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 spans="1:5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 spans="1:5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 spans="1:5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 spans="1:5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 spans="1:5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 spans="1:5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 spans="1:5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 spans="1:5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 spans="1:5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 spans="1:5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 spans="1:5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 spans="1:5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 spans="1:5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 spans="1:5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 spans="1:5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 spans="1:5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 spans="1:5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 spans="1:5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 spans="1:5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 spans="1:5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 spans="1:5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 spans="1:5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 spans="1:5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 spans="1:5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 spans="1:5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 spans="1: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 spans="1:5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 spans="1:5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 spans="1:5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 spans="1:5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 spans="1:5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 spans="1:5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 spans="1:5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 spans="1:5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 spans="1:5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 spans="1:5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 spans="1:5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 spans="1:5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 spans="1:5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 spans="1:5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 spans="1:5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 spans="1:5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 spans="1:5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 spans="1:5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 spans="1:5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 spans="1:5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 spans="1:5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 spans="1:5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 spans="1:5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 spans="1:5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 spans="1:5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 spans="1:5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 spans="1:5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 spans="1:5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 spans="1:5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 spans="1:5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 spans="1:5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 spans="1:5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 spans="1:5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 spans="1:5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 spans="1:5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 spans="1:5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 spans="1:5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  <row r="990" spans="1:5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</row>
    <row r="991" spans="1:5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</row>
    <row r="992" spans="1:5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</row>
    <row r="993" spans="1:5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</row>
    <row r="994" spans="1:5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</row>
    <row r="995" spans="1:5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</row>
    <row r="996" spans="1:5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</row>
    <row r="997" spans="1:5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</row>
    <row r="998" spans="1:5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</row>
    <row r="999" spans="1:5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</row>
    <row r="1000" spans="1:5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</row>
  </sheetData>
  <mergeCells count="1">
    <mergeCell ref="A1:N1"/>
  </mergeCells>
  <conditionalFormatting sqref="M4:M24">
    <cfRule type="expression" dxfId="14" priority="1">
      <formula>M4&lt;0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1000"/>
  <sheetViews>
    <sheetView workbookViewId="0">
      <selection sqref="A1:H1"/>
    </sheetView>
  </sheetViews>
  <sheetFormatPr baseColWidth="10" defaultColWidth="8.83203125" defaultRowHeight="15"/>
  <cols>
    <col min="1" max="1" width="34" customWidth="1"/>
    <col min="2" max="4" width="18" customWidth="1"/>
  </cols>
  <sheetData>
    <row r="1" spans="1:52" ht="37.25" customHeight="1">
      <c r="A1" s="35" t="s">
        <v>968</v>
      </c>
      <c r="B1" s="35"/>
      <c r="C1" s="35"/>
      <c r="D1" s="35"/>
      <c r="E1" s="35"/>
      <c r="F1" s="35"/>
      <c r="G1" s="35"/>
      <c r="H1" s="35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16">
      <c r="A3" s="9" t="s">
        <v>969</v>
      </c>
      <c r="B3" s="9" t="s">
        <v>940</v>
      </c>
      <c r="C3" s="9" t="s">
        <v>970</v>
      </c>
      <c r="D3" s="9" t="s">
        <v>971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>
      <c r="A4" s="8" t="s">
        <v>55</v>
      </c>
      <c r="B4" s="10">
        <f>1*SUMIF('Opening TB'!$A$4:$A$30,"1000",'Opening TB'!$C$4:$C$30)</f>
        <v>450000</v>
      </c>
      <c r="C4" s="10">
        <f>1*SUMIF('Adjusted TB'!$A$4:$A$30,"1000",'Adjusted TB'!$H$4:$H$30)</f>
        <v>857522.2194340874</v>
      </c>
      <c r="D4" s="10">
        <f t="shared" ref="D4:D16" si="0">C4-B4</f>
        <v>407522.2194340874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>
      <c r="A5" s="8" t="s">
        <v>59</v>
      </c>
      <c r="B5" s="10">
        <f>1*SUMIF('Opening TB'!$A$4:$A$30,"1100",'Opening TB'!$C$4:$C$30)</f>
        <v>800000</v>
      </c>
      <c r="C5" s="10">
        <f>1*SUMIF('Adjusted TB'!$A$4:$A$30,"1100",'Adjusted TB'!$H$4:$H$30)</f>
        <v>1151225.0000000005</v>
      </c>
      <c r="D5" s="10">
        <f t="shared" si="0"/>
        <v>351225.00000000047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>
      <c r="A6" s="8" t="s">
        <v>61</v>
      </c>
      <c r="B6" s="10">
        <f>-1*SUMIF('Opening TB'!$A$4:$A$30,"1150",'Opening TB'!$C$4:$C$30)</f>
        <v>30000</v>
      </c>
      <c r="C6" s="10">
        <f>-1*SUMIF('Adjusted TB'!$A$4:$A$30,"1150",'Adjusted TB'!$H$4:$H$30)</f>
        <v>35000</v>
      </c>
      <c r="D6" s="10">
        <f t="shared" si="0"/>
        <v>5000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>
      <c r="A7" s="8" t="s">
        <v>64</v>
      </c>
      <c r="B7" s="10">
        <f>1*SUMIF('Opening TB'!$A$4:$A$30,"1200",'Opening TB'!$C$4:$C$30)</f>
        <v>650000</v>
      </c>
      <c r="C7" s="10">
        <f>1*SUMIF('Adjusted TB'!$A$4:$A$30,"1200",'Adjusted TB'!$H$4:$H$30)</f>
        <v>660084.79999999993</v>
      </c>
      <c r="D7" s="10">
        <f t="shared" si="0"/>
        <v>10084.79999999993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>
      <c r="A8" s="8" t="s">
        <v>66</v>
      </c>
      <c r="B8" s="10">
        <f>1*SUMIF('Opening TB'!$A$4:$A$30,"1300",'Opening TB'!$C$4:$C$30)</f>
        <v>90000</v>
      </c>
      <c r="C8" s="10">
        <f>1*SUMIF('Adjusted TB'!$A$4:$A$30,"1300",'Adjusted TB'!$H$4:$H$30)</f>
        <v>114000</v>
      </c>
      <c r="D8" s="10">
        <f t="shared" si="0"/>
        <v>24000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>
      <c r="A9" s="8" t="s">
        <v>68</v>
      </c>
      <c r="B9" s="10">
        <f>1*SUMIF('Opening TB'!$A$4:$A$30,"1400",'Opening TB'!$C$4:$C$30)</f>
        <v>1200000</v>
      </c>
      <c r="C9" s="10">
        <f>1*SUMIF('Adjusted TB'!$A$4:$A$30,"1400",'Adjusted TB'!$H$4:$H$30)</f>
        <v>1430000</v>
      </c>
      <c r="D9" s="10">
        <f t="shared" si="0"/>
        <v>230000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>
      <c r="A10" s="8" t="s">
        <v>70</v>
      </c>
      <c r="B10" s="10">
        <f>-1*SUMIF('Opening TB'!$A$4:$A$30,"1450",'Opening TB'!$C$4:$C$30)</f>
        <v>350000</v>
      </c>
      <c r="C10" s="10">
        <f>-1*SUMIF('Adjusted TB'!$A$4:$A$30,"1450",'Adjusted TB'!$H$4:$H$30)</f>
        <v>485000</v>
      </c>
      <c r="D10" s="10">
        <f t="shared" si="0"/>
        <v>135000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>
      <c r="A11" s="8" t="s">
        <v>72</v>
      </c>
      <c r="B11" s="10">
        <f>-1*SUMIF('Opening TB'!$A$4:$A$30,"2000",'Opening TB'!$C$4:$C$30)</f>
        <v>600000</v>
      </c>
      <c r="C11" s="10">
        <f>-1*SUMIF('Adjusted TB'!$A$4:$A$30,"2000",'Adjusted TB'!$H$4:$H$30)</f>
        <v>1639931.9563514311</v>
      </c>
      <c r="D11" s="10">
        <f t="shared" si="0"/>
        <v>1039931.9563514311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>
      <c r="A12" s="8" t="s">
        <v>75</v>
      </c>
      <c r="B12" s="10">
        <f>-1*SUMIF('Opening TB'!$A$4:$A$30,"2100",'Opening TB'!$C$4:$C$30)</f>
        <v>150000</v>
      </c>
      <c r="C12" s="10">
        <f>-1*SUMIF('Adjusted TB'!$A$4:$A$30,"2100",'Adjusted TB'!$H$4:$H$30)</f>
        <v>255000</v>
      </c>
      <c r="D12" s="10">
        <f t="shared" si="0"/>
        <v>105000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>
      <c r="A13" s="8" t="s">
        <v>77</v>
      </c>
      <c r="B13" s="10">
        <f>-1*SUMIF('Opening TB'!$A$4:$A$30,"2200",'Opening TB'!$C$4:$C$30)</f>
        <v>60000</v>
      </c>
      <c r="C13" s="10">
        <f>-1*SUMIF('Adjusted TB'!$A$4:$A$30,"2200",'Adjusted TB'!$H$4:$H$30)</f>
        <v>60000</v>
      </c>
      <c r="D13" s="10">
        <f t="shared" si="0"/>
        <v>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>
      <c r="A14" s="8" t="s">
        <v>80</v>
      </c>
      <c r="B14" s="10">
        <f>-1*SUMIF('Opening TB'!$A$4:$A$30,"2300",'Opening TB'!$C$4:$C$30)</f>
        <v>100000</v>
      </c>
      <c r="C14" s="10">
        <f>-1*SUMIF('Adjusted TB'!$A$4:$A$30,"2300",'Adjusted TB'!$H$4:$H$30)</f>
        <v>35000</v>
      </c>
      <c r="D14" s="10">
        <f t="shared" si="0"/>
        <v>-65000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>
      <c r="A15" s="8" t="s">
        <v>82</v>
      </c>
      <c r="B15" s="10">
        <f>-1*SUMIF('Opening TB'!$A$4:$A$30,"3000",'Opening TB'!$C$4:$C$30)</f>
        <v>500000</v>
      </c>
      <c r="C15" s="10">
        <f>-1*SUMIF('Adjusted TB'!$A$4:$A$30,"3000",'Adjusted TB'!$H$4:$H$30)</f>
        <v>500000</v>
      </c>
      <c r="D15" s="10">
        <f t="shared" si="0"/>
        <v>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>
      <c r="A16" s="8" t="s">
        <v>85</v>
      </c>
      <c r="B16" s="10">
        <f>-1*SUMIF('Opening TB'!$A$4:$A$30,"3100",'Opening TB'!$C$4:$C$30)</f>
        <v>1400000</v>
      </c>
      <c r="C16" s="10">
        <f>-1*SUMIF('Adjusted TB'!$A$4:$A$30,"3100",'Adjusted TB'!$H$4:$H$30)</f>
        <v>1400000</v>
      </c>
      <c r="D16" s="10">
        <f t="shared" si="0"/>
        <v>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 ht="26.75" customHeight="1">
      <c r="A19" s="36" t="s">
        <v>972</v>
      </c>
      <c r="B19" s="36"/>
      <c r="C19" s="36"/>
      <c r="D19" s="36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 ht="16">
      <c r="A20" s="9" t="s">
        <v>973</v>
      </c>
      <c r="B20" s="9" t="s">
        <v>970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>
      <c r="A21" s="8" t="s">
        <v>974</v>
      </c>
      <c r="B21" s="10">
        <f>C4+C5-C6+C7+C8</f>
        <v>2747832.0194340879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>
      <c r="A22" s="8" t="s">
        <v>975</v>
      </c>
      <c r="B22" s="10">
        <f>C9-C10</f>
        <v>945000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>
      <c r="A23" s="8" t="s">
        <v>976</v>
      </c>
      <c r="B23" s="10">
        <f>B21+B22</f>
        <v>3692832.0194340879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>
      <c r="A24" s="8" t="s">
        <v>977</v>
      </c>
      <c r="B24" s="10">
        <f>SUM(C11:C14)</f>
        <v>1989931.9563514311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>
      <c r="A25" s="8" t="s">
        <v>978</v>
      </c>
      <c r="B25" s="10">
        <f>SUM(C15:C16)+'Management P&amp;L'!K24</f>
        <v>1702900.0630826568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>
      <c r="A26" s="8" t="s">
        <v>979</v>
      </c>
      <c r="B26" s="10">
        <f>B24+B25</f>
        <v>3692832.0194340879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>
      <c r="A27" s="8" t="s">
        <v>980</v>
      </c>
      <c r="B27" s="10">
        <f>B23-B26</f>
        <v>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1:5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1:5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 spans="1:5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 spans="1:5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 spans="1:5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 spans="1:5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 spans="1:5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 spans="1:5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 spans="1:5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 spans="1:5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 spans="1:5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 spans="1:5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 spans="1:5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 spans="1:5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 spans="1:5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 spans="1:5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 spans="1:5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 spans="1:5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 spans="1:5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 spans="1:5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 spans="1:5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 spans="1:5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 spans="1:5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 spans="1:5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 spans="1:5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 spans="1:5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 spans="1:5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 spans="1:5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 spans="1:5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 spans="1:5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 spans="1:5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 spans="1:5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 spans="1:5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 spans="1:5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 spans="1:5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 spans="1:5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 spans="1:5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 spans="1:5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 spans="1:5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 spans="1:5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 spans="1:5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 spans="1:5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 spans="1:5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 spans="1:5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 spans="1:5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 spans="1:5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 spans="1:5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 spans="1:5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 spans="1:5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 spans="1:5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 spans="1:5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 spans="1:5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 spans="1:5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 spans="1: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 spans="1:5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 spans="1:5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 spans="1:5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 spans="1:5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 spans="1:5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 spans="1:5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 spans="1:5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 spans="1:5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 spans="1:5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 spans="1:5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 spans="1:5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 spans="1:5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 spans="1:5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 spans="1:5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 spans="1:5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 spans="1:5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 spans="1:5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 spans="1:5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 spans="1:5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 spans="1:5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 spans="1:5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 spans="1:5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 spans="1:5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 spans="1:5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 spans="1:5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 spans="1:5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 spans="1:5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 spans="1:5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 spans="1:5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 spans="1:5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 spans="1:5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 spans="1:5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 spans="1:5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 spans="1:5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 spans="1:5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 spans="1:5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 spans="1:5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 spans="1:5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 spans="1:5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 spans="1:5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 spans="1:5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 spans="1:5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 spans="1:5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 spans="1:5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 spans="1:5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 spans="1:5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 spans="1:5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 spans="1:5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 spans="1:5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 spans="1:5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 spans="1:5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 spans="1:5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 spans="1:5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 spans="1:5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 spans="1:5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 spans="1:5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 spans="1:5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 spans="1:5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 spans="1:5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 spans="1:5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 spans="1:5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 spans="1:5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 spans="1:5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 spans="1:5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 spans="1:5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 spans="1:5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 spans="1:5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 spans="1:5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 spans="1:5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 spans="1:5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 spans="1:5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 spans="1:5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 spans="1:5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 spans="1:5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 spans="1:5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 spans="1:5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 spans="1:5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 spans="1:5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 spans="1:5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 spans="1:5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 spans="1:5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 spans="1:5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 spans="1:5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 spans="1:5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 spans="1:5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 spans="1:5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 spans="1:5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 spans="1:5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 spans="1:5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 spans="1:5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 spans="1:5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 spans="1:5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 spans="1:5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 spans="1:5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 spans="1:5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 spans="1:5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 spans="1:5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 spans="1:5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 spans="1:5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 spans="1: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 spans="1:5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 spans="1:5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 spans="1:5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 spans="1:5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 spans="1:5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 spans="1:5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 spans="1:5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 spans="1:5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 spans="1:5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 spans="1:5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 spans="1:5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 spans="1:5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 spans="1:5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 spans="1:5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 spans="1:5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 spans="1:5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 spans="1:5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 spans="1:5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 spans="1:5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 spans="1:5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 spans="1:5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 spans="1:5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 spans="1:5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 spans="1:5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 spans="1:5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 spans="1:5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 spans="1:5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 spans="1:5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 spans="1:5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 spans="1:5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 spans="1:5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 spans="1:5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 spans="1:5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 spans="1:5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 spans="1:5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 spans="1:5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 spans="1:5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 spans="1:5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 spans="1:5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 spans="1:5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 spans="1:5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 spans="1:5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 spans="1:5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 spans="1:5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 spans="1:5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 spans="1:5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 spans="1:5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 spans="1:5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 spans="1:5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 spans="1:5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 spans="1:5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 spans="1:5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 spans="1:5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 spans="1:5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 spans="1:5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 spans="1:5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 spans="1:5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 spans="1:5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 spans="1:5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 spans="1:5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 spans="1:5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 spans="1:5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 spans="1:5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 spans="1:5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 spans="1:5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 spans="1:5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 spans="1:5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 spans="1:5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 spans="1:5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 spans="1:5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 spans="1:5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 spans="1:5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 spans="1:5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 spans="1:5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 spans="1:5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 spans="1:5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 spans="1:5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 spans="1:5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 spans="1:5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 spans="1:5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 spans="1:5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 spans="1:5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 spans="1:5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 spans="1:5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 spans="1:5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 spans="1:5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 spans="1:5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 spans="1:5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 spans="1:5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 spans="1:5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 spans="1:5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 spans="1:5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 spans="1:5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 spans="1:5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 spans="1:5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 spans="1:5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 spans="1:5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 spans="1:5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 spans="1:5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 spans="1: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 spans="1:5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 spans="1:5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 spans="1:5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 spans="1:5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 spans="1:5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 spans="1:5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 spans="1:5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 spans="1:5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 spans="1:5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 spans="1:5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 spans="1:5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 spans="1:5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 spans="1:5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 spans="1:5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 spans="1:5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 spans="1:5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 spans="1:5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 spans="1:5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 spans="1:5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 spans="1:5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 spans="1:5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 spans="1:5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 spans="1:5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 spans="1:5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 spans="1:5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 spans="1:5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 spans="1:5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 spans="1:5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 spans="1:5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 spans="1:5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 spans="1:5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 spans="1:5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 spans="1:5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 spans="1:5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 spans="1:5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 spans="1:5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 spans="1:5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 spans="1:5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 spans="1:5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 spans="1:5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 spans="1:5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 spans="1:5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 spans="1:5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 spans="1:5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 spans="1:5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 spans="1:5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 spans="1:5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 spans="1:5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 spans="1:5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 spans="1:5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 spans="1:5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 spans="1:5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 spans="1:5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 spans="1:5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 spans="1:5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 spans="1:5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 spans="1:5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 spans="1:5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 spans="1:5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 spans="1:5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 spans="1:5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 spans="1:5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 spans="1:5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 spans="1:5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 spans="1:5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 spans="1:5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 spans="1:5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 spans="1:5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 spans="1:5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 spans="1:5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 spans="1:5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 spans="1:5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 spans="1:5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 spans="1:5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 spans="1:5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 spans="1:5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 spans="1:5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 spans="1:5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 spans="1:5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 spans="1:5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 spans="1:5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 spans="1:5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 spans="1:5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 spans="1:5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 spans="1:5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 spans="1:5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 spans="1:5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 spans="1:5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 spans="1:5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 spans="1:5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 spans="1:5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 spans="1:5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 spans="1:5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 spans="1:5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 spans="1:5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 spans="1:5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 spans="1:5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 spans="1:5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 spans="1:5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 spans="1: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 spans="1:5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 spans="1:5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 spans="1:5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 spans="1:5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 spans="1:5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 spans="1:5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 spans="1:5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 spans="1:5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 spans="1:5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 spans="1:5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 spans="1:5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 spans="1:5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 spans="1:5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 spans="1:5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 spans="1:5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 spans="1:5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 spans="1:5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 spans="1:5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 spans="1:5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 spans="1:5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 spans="1:5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 spans="1:5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 spans="1:5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 spans="1:5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 spans="1:5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 spans="1:5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 spans="1:5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 spans="1:5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 spans="1:5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 spans="1:5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 spans="1:5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 spans="1:5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 spans="1:5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 spans="1:5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 spans="1:5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 spans="1:5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 spans="1:5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 spans="1:5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 spans="1:5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 spans="1:5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 spans="1:5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 spans="1:5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 spans="1:5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 spans="1:5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 spans="1:5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 spans="1:5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 spans="1:5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 spans="1:5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 spans="1:5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 spans="1:5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 spans="1:5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 spans="1:5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 spans="1:5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 spans="1:5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 spans="1:5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 spans="1:5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 spans="1:5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 spans="1:5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 spans="1:5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 spans="1:5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 spans="1:5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 spans="1:5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 spans="1:5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 spans="1:5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 spans="1:5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 spans="1:5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 spans="1:5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 spans="1:5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 spans="1:5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 spans="1:5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 spans="1:5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 spans="1:5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 spans="1:5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 spans="1:5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 spans="1:5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 spans="1:5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 spans="1:5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 spans="1:5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 spans="1:5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 spans="1:5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 spans="1:5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 spans="1:5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 spans="1:5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 spans="1:5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 spans="1:5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 spans="1:5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 spans="1:5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 spans="1:5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 spans="1:5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 spans="1:5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 spans="1:5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 spans="1:5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 spans="1:5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 spans="1:5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 spans="1:5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 spans="1:5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 spans="1:5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 spans="1:5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 spans="1:5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 spans="1: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 spans="1:5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 spans="1:5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 spans="1:5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 spans="1:5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 spans="1:5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 spans="1:5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 spans="1:5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 spans="1:5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 spans="1:5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 spans="1:5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 spans="1:5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 spans="1:5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 spans="1:5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 spans="1:5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 spans="1:5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 spans="1:5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 spans="1:5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 spans="1:5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 spans="1:5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 spans="1:5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 spans="1:5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 spans="1:5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 spans="1:5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 spans="1:5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 spans="1:5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 spans="1:5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 spans="1:5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 spans="1:5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 spans="1:5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 spans="1:5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 spans="1:5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 spans="1:5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 spans="1:5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 spans="1:5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 spans="1:5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 spans="1:5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 spans="1:5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  <row r="990" spans="1:5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</row>
    <row r="991" spans="1:5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</row>
    <row r="992" spans="1:5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</row>
    <row r="993" spans="1:5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</row>
    <row r="994" spans="1:5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</row>
    <row r="995" spans="1:5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</row>
    <row r="996" spans="1:5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</row>
    <row r="997" spans="1:5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</row>
    <row r="998" spans="1:5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</row>
    <row r="999" spans="1:5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</row>
    <row r="1000" spans="1:5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</row>
  </sheetData>
  <mergeCells count="2">
    <mergeCell ref="A1:H1"/>
    <mergeCell ref="A19:D19"/>
  </mergeCells>
  <conditionalFormatting sqref="B27">
    <cfRule type="expression" dxfId="13" priority="1">
      <formula>ABS(B27)&gt;1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1000"/>
  <sheetViews>
    <sheetView workbookViewId="0">
      <selection sqref="A1:H1"/>
    </sheetView>
  </sheetViews>
  <sheetFormatPr baseColWidth="10" defaultColWidth="8.83203125" defaultRowHeight="15"/>
  <cols>
    <col min="1" max="1" width="32" customWidth="1"/>
    <col min="2" max="3" width="18" customWidth="1"/>
    <col min="4" max="4" width="32" customWidth="1"/>
  </cols>
  <sheetData>
    <row r="1" spans="1:52" ht="37.25" customHeight="1">
      <c r="A1" s="35" t="s">
        <v>981</v>
      </c>
      <c r="B1" s="35"/>
      <c r="C1" s="35"/>
      <c r="D1" s="35"/>
      <c r="E1" s="35"/>
      <c r="F1" s="35"/>
      <c r="G1" s="35"/>
      <c r="H1" s="35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26.75" customHeight="1">
      <c r="A3" s="36" t="s">
        <v>982</v>
      </c>
      <c r="B3" s="36"/>
      <c r="C3" s="36"/>
      <c r="D3" s="36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 ht="16">
      <c r="A4" s="9" t="s">
        <v>983</v>
      </c>
      <c r="B4" s="9" t="s">
        <v>939</v>
      </c>
      <c r="C4" s="9" t="s">
        <v>984</v>
      </c>
      <c r="D4" s="9" t="s">
        <v>21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>
      <c r="A5" s="8" t="s">
        <v>985</v>
      </c>
      <c r="B5" s="8" t="s">
        <v>986</v>
      </c>
      <c r="C5" s="10">
        <v>8500</v>
      </c>
      <c r="D5" s="8" t="s">
        <v>987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>
      <c r="A6" s="8" t="s">
        <v>988</v>
      </c>
      <c r="B6" s="8" t="s">
        <v>986</v>
      </c>
      <c r="C6" s="10">
        <v>7200</v>
      </c>
      <c r="D6" s="8" t="s">
        <v>987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>
      <c r="A7" s="8" t="s">
        <v>989</v>
      </c>
      <c r="B7" s="8" t="s">
        <v>986</v>
      </c>
      <c r="C7" s="10">
        <v>6300</v>
      </c>
      <c r="D7" s="8" t="s">
        <v>987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>
      <c r="A8" s="8" t="s">
        <v>990</v>
      </c>
      <c r="B8" s="8" t="s">
        <v>991</v>
      </c>
      <c r="C8" s="10">
        <v>17000</v>
      </c>
      <c r="D8" s="8" t="s">
        <v>987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 ht="16">
      <c r="A11" s="9" t="s">
        <v>992</v>
      </c>
      <c r="B11" s="9" t="s">
        <v>984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>
      <c r="A12" s="8" t="s">
        <v>993</v>
      </c>
      <c r="B12" s="10">
        <v>852522.2194340874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>
      <c r="A13" s="8" t="s">
        <v>994</v>
      </c>
      <c r="B13" s="10">
        <f>SUM(C5:C7)</f>
        <v>22000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>
      <c r="A14" s="8" t="s">
        <v>995</v>
      </c>
      <c r="B14" s="10">
        <f>C8</f>
        <v>17000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>
      <c r="A15" s="8" t="s">
        <v>996</v>
      </c>
      <c r="B15" s="10">
        <f>B12+B13-B14</f>
        <v>857522.2194340874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>
      <c r="A16" s="8" t="s">
        <v>997</v>
      </c>
      <c r="B16" s="10">
        <f>SUMIF('Adjusted TB'!$A$4:$A$30,"1000",'Adjusted TB'!$H$4:$H$30)</f>
        <v>857522.2194340874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>
      <c r="A17" s="8" t="s">
        <v>998</v>
      </c>
      <c r="B17" s="10">
        <f>B15-B16</f>
        <v>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1:5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1:5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 spans="1:5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 spans="1:5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 spans="1:5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 spans="1:5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 spans="1:5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 spans="1:5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 spans="1:5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 spans="1:5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 spans="1:5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 spans="1:5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 spans="1:5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 spans="1:5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 spans="1:5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 spans="1:5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 spans="1:5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 spans="1:5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 spans="1:5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 spans="1:5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 spans="1:5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 spans="1:5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 spans="1:5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 spans="1:5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 spans="1:5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 spans="1:5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 spans="1:5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 spans="1:5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 spans="1:5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 spans="1:5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 spans="1:5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 spans="1:5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 spans="1:5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 spans="1:5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 spans="1:5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 spans="1:5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 spans="1:5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 spans="1:5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 spans="1:5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 spans="1:5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 spans="1:5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 spans="1:5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 spans="1:5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 spans="1:5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 spans="1:5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 spans="1:5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 spans="1:5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 spans="1:5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 spans="1:5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 spans="1:5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 spans="1:5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 spans="1:5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 spans="1:5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 spans="1: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 spans="1:5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 spans="1:5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 spans="1:5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 spans="1:5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 spans="1:5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 spans="1:5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 spans="1:5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 spans="1:5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 spans="1:5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 spans="1:5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 spans="1:5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 spans="1:5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 spans="1:5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 spans="1:5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 spans="1:5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 spans="1:5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 spans="1:5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 spans="1:5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 spans="1:5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 spans="1:5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 spans="1:5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 spans="1:5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 spans="1:5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 spans="1:5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 spans="1:5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 spans="1:5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 spans="1:5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 spans="1:5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 spans="1:5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 spans="1:5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 spans="1:5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 spans="1:5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 spans="1:5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 spans="1:5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 spans="1:5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 spans="1:5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 spans="1:5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 spans="1:5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 spans="1:5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 spans="1:5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 spans="1:5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 spans="1:5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 spans="1:5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 spans="1:5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 spans="1:5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 spans="1:5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 spans="1:5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 spans="1:5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 spans="1:5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 spans="1:5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 spans="1:5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 spans="1:5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 spans="1:5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 spans="1:5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 spans="1:5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 spans="1:5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 spans="1:5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 spans="1:5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 spans="1:5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 spans="1:5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 spans="1:5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 spans="1:5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 spans="1:5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 spans="1:5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 spans="1:5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 spans="1:5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 spans="1:5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 spans="1:5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 spans="1:5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 spans="1:5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 spans="1:5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 spans="1:5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 spans="1:5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 spans="1:5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 spans="1:5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 spans="1:5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 spans="1:5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 spans="1:5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 spans="1:5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 spans="1:5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 spans="1:5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 spans="1:5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 spans="1:5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 spans="1:5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 spans="1:5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 spans="1:5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 spans="1:5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 spans="1:5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 spans="1:5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 spans="1:5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 spans="1:5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 spans="1:5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 spans="1:5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 spans="1:5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 spans="1:5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 spans="1:5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 spans="1:5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 spans="1:5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 spans="1:5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 spans="1: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 spans="1:5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 spans="1:5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 spans="1:5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 spans="1:5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 spans="1:5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 spans="1:5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 spans="1:5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 spans="1:5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 spans="1:5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 spans="1:5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 spans="1:5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 spans="1:5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 spans="1:5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 spans="1:5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 spans="1:5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 spans="1:5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 spans="1:5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 spans="1:5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 spans="1:5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 spans="1:5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 spans="1:5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 spans="1:5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 spans="1:5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 spans="1:5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 spans="1:5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 spans="1:5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 spans="1:5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 spans="1:5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 spans="1:5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 spans="1:5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 spans="1:5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 spans="1:5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 spans="1:5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 spans="1:5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 spans="1:5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 spans="1:5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 spans="1:5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 spans="1:5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 spans="1:5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 spans="1:5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 spans="1:5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 spans="1:5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 spans="1:5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 spans="1:5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 spans="1:5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 spans="1:5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 spans="1:5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 spans="1:5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 spans="1:5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 spans="1:5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 spans="1:5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 spans="1:5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 spans="1:5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 spans="1:5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 spans="1:5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 spans="1:5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 spans="1:5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 spans="1:5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 spans="1:5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 spans="1:5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 spans="1:5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 spans="1:5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 spans="1:5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 spans="1:5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 spans="1:5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 spans="1:5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 spans="1:5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 spans="1:5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 spans="1:5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 spans="1:5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 spans="1:5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 spans="1:5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 spans="1:5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 spans="1:5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 spans="1:5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 spans="1:5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 spans="1:5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 spans="1:5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 spans="1:5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 spans="1:5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 spans="1:5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 spans="1:5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 spans="1:5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 spans="1:5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 spans="1:5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 spans="1:5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 spans="1:5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 spans="1:5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 spans="1:5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 spans="1:5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 spans="1:5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 spans="1:5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 spans="1:5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 spans="1:5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 spans="1:5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 spans="1:5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 spans="1:5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 spans="1:5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 spans="1:5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 spans="1: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 spans="1:5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 spans="1:5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 spans="1:5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 spans="1:5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 spans="1:5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 spans="1:5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 spans="1:5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 spans="1:5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 spans="1:5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 spans="1:5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 spans="1:5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 spans="1:5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 spans="1:5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 spans="1:5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 spans="1:5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 spans="1:5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 spans="1:5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 spans="1:5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 spans="1:5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 spans="1:5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 spans="1:5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 spans="1:5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 spans="1:5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 spans="1:5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 spans="1:5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 spans="1:5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 spans="1:5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 spans="1:5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 spans="1:5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 spans="1:5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 spans="1:5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 spans="1:5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 spans="1:5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 spans="1:5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 spans="1:5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 spans="1:5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 spans="1:5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 spans="1:5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 spans="1:5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 spans="1:5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 spans="1:5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 spans="1:5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 spans="1:5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 spans="1:5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 spans="1:5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 spans="1:5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 spans="1:5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 spans="1:5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 spans="1:5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 spans="1:5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 spans="1:5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 spans="1:5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 spans="1:5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 spans="1:5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 spans="1:5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 spans="1:5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 spans="1:5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 spans="1:5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 spans="1:5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 spans="1:5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 spans="1:5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 spans="1:5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 spans="1:5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 spans="1:5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 spans="1:5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 spans="1:5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 spans="1:5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 spans="1:5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 spans="1:5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 spans="1:5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 spans="1:5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 spans="1:5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 spans="1:5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 spans="1:5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 spans="1:5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 spans="1:5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 spans="1:5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 spans="1:5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 spans="1:5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 spans="1:5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 spans="1:5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 spans="1:5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 spans="1:5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 spans="1:5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 spans="1:5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 spans="1:5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 spans="1:5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 spans="1:5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 spans="1:5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 spans="1:5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 spans="1:5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 spans="1:5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 spans="1:5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 spans="1:5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 spans="1:5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 spans="1:5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 spans="1:5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 spans="1:5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 spans="1:5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 spans="1: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 spans="1:5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 spans="1:5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 spans="1:5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 spans="1:5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 spans="1:5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 spans="1:5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 spans="1:5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 spans="1:5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 spans="1:5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 spans="1:5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 spans="1:5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 spans="1:5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 spans="1:5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 spans="1:5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 spans="1:5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 spans="1:5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 spans="1:5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 spans="1:5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 spans="1:5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 spans="1:5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 spans="1:5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 spans="1:5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 spans="1:5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 spans="1:5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 spans="1:5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 spans="1:5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 spans="1:5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 spans="1:5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 spans="1:5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 spans="1:5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 spans="1:5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 spans="1:5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 spans="1:5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 spans="1:5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 spans="1:5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 spans="1:5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 spans="1:5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 spans="1:5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 spans="1:5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 spans="1:5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 spans="1:5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 spans="1:5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 spans="1:5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 spans="1:5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 spans="1:5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 spans="1:5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 spans="1:5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 spans="1:5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 spans="1:5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 spans="1:5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 spans="1:5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 spans="1:5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 spans="1:5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 spans="1:5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 spans="1:5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 spans="1:5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 spans="1:5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 spans="1:5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 spans="1:5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 spans="1:5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 spans="1:5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 spans="1:5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 spans="1:5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 spans="1:5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 spans="1:5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 spans="1:5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 spans="1:5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 spans="1:5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 spans="1:5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 spans="1:5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 spans="1:5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 spans="1:5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 spans="1:5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 spans="1:5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 spans="1:5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 spans="1:5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 spans="1:5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 spans="1:5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 spans="1:5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 spans="1:5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 spans="1:5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 spans="1:5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 spans="1:5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 spans="1:5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 spans="1:5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 spans="1:5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 spans="1:5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 spans="1:5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 spans="1:5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 spans="1:5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 spans="1:5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 spans="1:5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 spans="1:5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 spans="1:5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 spans="1:5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 spans="1:5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 spans="1:5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 spans="1:5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 spans="1:5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 spans="1: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 spans="1:5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 spans="1:5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 spans="1:5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 spans="1:5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 spans="1:5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 spans="1:5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 spans="1:5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 spans="1:5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 spans="1:5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 spans="1:5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 spans="1:5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 spans="1:5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 spans="1:5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 spans="1:5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 spans="1:5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 spans="1:5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 spans="1:5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 spans="1:5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 spans="1:5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 spans="1:5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 spans="1:5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 spans="1:5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 spans="1:5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 spans="1:5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 spans="1:5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 spans="1:5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 spans="1:5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 spans="1:5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 spans="1:5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 spans="1:5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 spans="1:5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 spans="1:5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 spans="1:5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 spans="1:5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 spans="1:5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 spans="1:5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 spans="1:5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  <row r="990" spans="1:5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</row>
    <row r="991" spans="1:5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</row>
    <row r="992" spans="1:5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</row>
    <row r="993" spans="1:5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</row>
    <row r="994" spans="1:5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</row>
    <row r="995" spans="1:5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</row>
    <row r="996" spans="1:5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</row>
    <row r="997" spans="1:5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</row>
    <row r="998" spans="1:5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</row>
    <row r="999" spans="1:5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</row>
    <row r="1000" spans="1:5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</row>
  </sheetData>
  <mergeCells count="2">
    <mergeCell ref="A1:H1"/>
    <mergeCell ref="A3:D3"/>
  </mergeCells>
  <conditionalFormatting sqref="B17">
    <cfRule type="expression" dxfId="12" priority="1">
      <formula>ABS(B17)&gt;1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Z1000"/>
  <sheetViews>
    <sheetView workbookViewId="0">
      <selection sqref="A1:K1"/>
    </sheetView>
  </sheetViews>
  <sheetFormatPr baseColWidth="10" defaultColWidth="8.83203125" defaultRowHeight="15"/>
  <cols>
    <col min="1" max="1" width="13" customWidth="1"/>
    <col min="2" max="2" width="28" customWidth="1"/>
    <col min="3" max="4" width="15" customWidth="1"/>
    <col min="5" max="5" width="17" customWidth="1"/>
    <col min="6" max="6" width="14" customWidth="1"/>
    <col min="7" max="7" width="13" customWidth="1"/>
    <col min="8" max="8" width="19" customWidth="1"/>
    <col min="9" max="9" width="15" customWidth="1"/>
    <col min="10" max="10" width="18" customWidth="1"/>
    <col min="11" max="11" width="24" customWidth="1"/>
  </cols>
  <sheetData>
    <row r="1" spans="1:52" ht="37.25" customHeight="1">
      <c r="A1" s="35" t="s">
        <v>999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32">
      <c r="A3" s="9" t="s">
        <v>1000</v>
      </c>
      <c r="B3" s="9" t="s">
        <v>1001</v>
      </c>
      <c r="C3" s="9" t="s">
        <v>1002</v>
      </c>
      <c r="D3" s="9" t="s">
        <v>1003</v>
      </c>
      <c r="E3" s="9" t="s">
        <v>1004</v>
      </c>
      <c r="F3" s="9" t="s">
        <v>1005</v>
      </c>
      <c r="G3" s="9" t="s">
        <v>1006</v>
      </c>
      <c r="H3" s="9" t="s">
        <v>1007</v>
      </c>
      <c r="I3" s="9" t="s">
        <v>1008</v>
      </c>
      <c r="J3" s="9" t="s">
        <v>1009</v>
      </c>
      <c r="K3" s="9" t="s">
        <v>21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>
      <c r="A4" s="8" t="s">
        <v>1010</v>
      </c>
      <c r="B4" s="8" t="s">
        <v>1011</v>
      </c>
      <c r="C4" s="13">
        <v>46207</v>
      </c>
      <c r="D4" s="13">
        <v>46237</v>
      </c>
      <c r="E4" s="10">
        <v>14039.077965681514</v>
      </c>
      <c r="F4" s="8">
        <f t="shared" ref="F4:F35" si="0">DATE(2026,9,30)-D4</f>
        <v>58</v>
      </c>
      <c r="G4" s="8" t="str">
        <f t="shared" ref="G4:G35" si="1">IF(F4&lt;=0,"Current",IF(F4&lt;=30,"1-30",IF(F4&lt;=60,"31-60",IF(F4&lt;=90,"61-90","90+"))))</f>
        <v>31-60</v>
      </c>
      <c r="H4" s="16">
        <f t="shared" ref="H4:H35" si="2">IF(G4="Current",0.5%,IF(G4="1-30",1%,IF(G4="31-60",3%,IF(G4="61-90",10%,25%))))</f>
        <v>0.03</v>
      </c>
      <c r="I4" s="10">
        <f t="shared" ref="I4:I35" si="3">E4*H4</f>
        <v>421.17233897044542</v>
      </c>
      <c r="J4" s="8" t="str">
        <f t="shared" ref="J4:J35" si="4">IF(F4&gt;90,"Escalate",IF(F4&gt;30,"Chase","Routine"))</f>
        <v>Chase</v>
      </c>
      <c r="K4" s="8" t="s">
        <v>1012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>
      <c r="A5" s="8" t="s">
        <v>1013</v>
      </c>
      <c r="B5" s="8" t="s">
        <v>1014</v>
      </c>
      <c r="C5" s="13">
        <v>46272</v>
      </c>
      <c r="D5" s="13">
        <v>46302</v>
      </c>
      <c r="E5" s="10">
        <v>31470.478580666</v>
      </c>
      <c r="F5" s="8">
        <f t="shared" si="0"/>
        <v>-7</v>
      </c>
      <c r="G5" s="8" t="str">
        <f t="shared" si="1"/>
        <v>Current</v>
      </c>
      <c r="H5" s="16">
        <f t="shared" si="2"/>
        <v>5.0000000000000001E-3</v>
      </c>
      <c r="I5" s="10">
        <f t="shared" si="3"/>
        <v>157.35239290333001</v>
      </c>
      <c r="J5" s="8" t="str">
        <f t="shared" si="4"/>
        <v>Routine</v>
      </c>
      <c r="K5" s="8" t="s">
        <v>1012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>
      <c r="A6" s="8" t="s">
        <v>1015</v>
      </c>
      <c r="B6" s="8" t="s">
        <v>1016</v>
      </c>
      <c r="C6" s="13">
        <v>46266</v>
      </c>
      <c r="D6" s="13">
        <v>46296</v>
      </c>
      <c r="E6" s="10">
        <v>7983.4549465384307</v>
      </c>
      <c r="F6" s="8">
        <f t="shared" si="0"/>
        <v>-1</v>
      </c>
      <c r="G6" s="8" t="str">
        <f t="shared" si="1"/>
        <v>Current</v>
      </c>
      <c r="H6" s="16">
        <f t="shared" si="2"/>
        <v>5.0000000000000001E-3</v>
      </c>
      <c r="I6" s="10">
        <f t="shared" si="3"/>
        <v>39.917274732692157</v>
      </c>
      <c r="J6" s="8" t="str">
        <f t="shared" si="4"/>
        <v>Routine</v>
      </c>
      <c r="K6" s="8" t="s">
        <v>1012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>
      <c r="A7" s="8" t="s">
        <v>1017</v>
      </c>
      <c r="B7" s="8" t="s">
        <v>1018</v>
      </c>
      <c r="C7" s="13">
        <v>46182</v>
      </c>
      <c r="D7" s="13">
        <v>46212</v>
      </c>
      <c r="E7" s="10">
        <v>15628.995154277705</v>
      </c>
      <c r="F7" s="8">
        <f t="shared" si="0"/>
        <v>83</v>
      </c>
      <c r="G7" s="8" t="str">
        <f t="shared" si="1"/>
        <v>61-90</v>
      </c>
      <c r="H7" s="16">
        <f t="shared" si="2"/>
        <v>0.1</v>
      </c>
      <c r="I7" s="10">
        <f t="shared" si="3"/>
        <v>1562.8995154277707</v>
      </c>
      <c r="J7" s="8" t="str">
        <f t="shared" si="4"/>
        <v>Chase</v>
      </c>
      <c r="K7" s="8" t="s">
        <v>1012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>
      <c r="A8" s="8" t="s">
        <v>1019</v>
      </c>
      <c r="B8" s="8" t="s">
        <v>1020</v>
      </c>
      <c r="C8" s="13">
        <v>46274</v>
      </c>
      <c r="D8" s="13">
        <v>46304</v>
      </c>
      <c r="E8" s="10">
        <v>15869.442486315211</v>
      </c>
      <c r="F8" s="8">
        <f t="shared" si="0"/>
        <v>-9</v>
      </c>
      <c r="G8" s="8" t="str">
        <f t="shared" si="1"/>
        <v>Current</v>
      </c>
      <c r="H8" s="16">
        <f t="shared" si="2"/>
        <v>5.0000000000000001E-3</v>
      </c>
      <c r="I8" s="10">
        <f t="shared" si="3"/>
        <v>79.347212431576054</v>
      </c>
      <c r="J8" s="8" t="str">
        <f t="shared" si="4"/>
        <v>Routine</v>
      </c>
      <c r="K8" s="8" t="s">
        <v>1012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>
      <c r="A9" s="8" t="s">
        <v>1021</v>
      </c>
      <c r="B9" s="8" t="s">
        <v>1022</v>
      </c>
      <c r="C9" s="13">
        <v>46263</v>
      </c>
      <c r="D9" s="13">
        <v>46293</v>
      </c>
      <c r="E9" s="10">
        <v>31764.283282647986</v>
      </c>
      <c r="F9" s="8">
        <f t="shared" si="0"/>
        <v>2</v>
      </c>
      <c r="G9" s="8" t="str">
        <f t="shared" si="1"/>
        <v>1-30</v>
      </c>
      <c r="H9" s="16">
        <f t="shared" si="2"/>
        <v>0.01</v>
      </c>
      <c r="I9" s="10">
        <f t="shared" si="3"/>
        <v>317.64283282647989</v>
      </c>
      <c r="J9" s="8" t="str">
        <f t="shared" si="4"/>
        <v>Routine</v>
      </c>
      <c r="K9" s="8" t="s">
        <v>1012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>
      <c r="A10" s="8" t="s">
        <v>1023</v>
      </c>
      <c r="B10" s="8" t="s">
        <v>1024</v>
      </c>
      <c r="C10" s="13">
        <v>46267</v>
      </c>
      <c r="D10" s="13">
        <v>46297</v>
      </c>
      <c r="E10" s="10">
        <v>13557.091283918935</v>
      </c>
      <c r="F10" s="8">
        <f t="shared" si="0"/>
        <v>-2</v>
      </c>
      <c r="G10" s="8" t="str">
        <f t="shared" si="1"/>
        <v>Current</v>
      </c>
      <c r="H10" s="16">
        <f t="shared" si="2"/>
        <v>5.0000000000000001E-3</v>
      </c>
      <c r="I10" s="10">
        <f t="shared" si="3"/>
        <v>67.785456419594681</v>
      </c>
      <c r="J10" s="8" t="str">
        <f t="shared" si="4"/>
        <v>Routine</v>
      </c>
      <c r="K10" s="8" t="s">
        <v>1012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>
      <c r="A11" s="8" t="s">
        <v>1025</v>
      </c>
      <c r="B11" s="8" t="s">
        <v>1026</v>
      </c>
      <c r="C11" s="13">
        <v>46284</v>
      </c>
      <c r="D11" s="13">
        <v>46314</v>
      </c>
      <c r="E11" s="10">
        <v>12017.833480551297</v>
      </c>
      <c r="F11" s="8">
        <f t="shared" si="0"/>
        <v>-19</v>
      </c>
      <c r="G11" s="8" t="str">
        <f t="shared" si="1"/>
        <v>Current</v>
      </c>
      <c r="H11" s="16">
        <f t="shared" si="2"/>
        <v>5.0000000000000001E-3</v>
      </c>
      <c r="I11" s="10">
        <f t="shared" si="3"/>
        <v>60.089167402756487</v>
      </c>
      <c r="J11" s="8" t="str">
        <f t="shared" si="4"/>
        <v>Routine</v>
      </c>
      <c r="K11" s="8" t="s">
        <v>1012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>
      <c r="A12" s="8" t="s">
        <v>1027</v>
      </c>
      <c r="B12" s="8" t="s">
        <v>1020</v>
      </c>
      <c r="C12" s="13">
        <v>46178</v>
      </c>
      <c r="D12" s="13">
        <v>46208</v>
      </c>
      <c r="E12" s="10">
        <v>21988.503887733987</v>
      </c>
      <c r="F12" s="8">
        <f t="shared" si="0"/>
        <v>87</v>
      </c>
      <c r="G12" s="8" t="str">
        <f t="shared" si="1"/>
        <v>61-90</v>
      </c>
      <c r="H12" s="16">
        <f t="shared" si="2"/>
        <v>0.1</v>
      </c>
      <c r="I12" s="10">
        <f t="shared" si="3"/>
        <v>2198.8503887733987</v>
      </c>
      <c r="J12" s="8" t="str">
        <f t="shared" si="4"/>
        <v>Chase</v>
      </c>
      <c r="K12" s="8" t="s">
        <v>1012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>
      <c r="A13" s="8" t="s">
        <v>1028</v>
      </c>
      <c r="B13" s="8" t="s">
        <v>1029</v>
      </c>
      <c r="C13" s="13">
        <v>46281</v>
      </c>
      <c r="D13" s="13">
        <v>46311</v>
      </c>
      <c r="E13" s="10">
        <v>8647.2067101263856</v>
      </c>
      <c r="F13" s="8">
        <f t="shared" si="0"/>
        <v>-16</v>
      </c>
      <c r="G13" s="8" t="str">
        <f t="shared" si="1"/>
        <v>Current</v>
      </c>
      <c r="H13" s="16">
        <f t="shared" si="2"/>
        <v>5.0000000000000001E-3</v>
      </c>
      <c r="I13" s="10">
        <f t="shared" si="3"/>
        <v>43.23603355063193</v>
      </c>
      <c r="J13" s="8" t="str">
        <f t="shared" si="4"/>
        <v>Routine</v>
      </c>
      <c r="K13" s="8" t="s">
        <v>1012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>
      <c r="A14" s="8" t="s">
        <v>1030</v>
      </c>
      <c r="B14" s="8" t="s">
        <v>1014</v>
      </c>
      <c r="C14" s="13">
        <v>46256</v>
      </c>
      <c r="D14" s="13">
        <v>46286</v>
      </c>
      <c r="E14" s="10">
        <v>13661.759020126088</v>
      </c>
      <c r="F14" s="8">
        <f t="shared" si="0"/>
        <v>9</v>
      </c>
      <c r="G14" s="8" t="str">
        <f t="shared" si="1"/>
        <v>1-30</v>
      </c>
      <c r="H14" s="16">
        <f t="shared" si="2"/>
        <v>0.01</v>
      </c>
      <c r="I14" s="10">
        <f t="shared" si="3"/>
        <v>136.6175902012609</v>
      </c>
      <c r="J14" s="8" t="str">
        <f t="shared" si="4"/>
        <v>Routine</v>
      </c>
      <c r="K14" s="8" t="s">
        <v>1012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>
      <c r="A15" s="8" t="s">
        <v>1031</v>
      </c>
      <c r="B15" s="8" t="s">
        <v>1032</v>
      </c>
      <c r="C15" s="13">
        <v>46259</v>
      </c>
      <c r="D15" s="13">
        <v>46289</v>
      </c>
      <c r="E15" s="10">
        <v>31918.290280343273</v>
      </c>
      <c r="F15" s="8">
        <f t="shared" si="0"/>
        <v>6</v>
      </c>
      <c r="G15" s="8" t="str">
        <f t="shared" si="1"/>
        <v>1-30</v>
      </c>
      <c r="H15" s="16">
        <f t="shared" si="2"/>
        <v>0.01</v>
      </c>
      <c r="I15" s="10">
        <f t="shared" si="3"/>
        <v>319.18290280343274</v>
      </c>
      <c r="J15" s="8" t="str">
        <f t="shared" si="4"/>
        <v>Routine</v>
      </c>
      <c r="K15" s="8" t="s">
        <v>1012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>
      <c r="A16" s="8" t="s">
        <v>1033</v>
      </c>
      <c r="B16" s="8" t="s">
        <v>1034</v>
      </c>
      <c r="C16" s="13">
        <v>46259</v>
      </c>
      <c r="D16" s="13">
        <v>46289</v>
      </c>
      <c r="E16" s="10">
        <v>9555.0517433770437</v>
      </c>
      <c r="F16" s="8">
        <f t="shared" si="0"/>
        <v>6</v>
      </c>
      <c r="G16" s="8" t="str">
        <f t="shared" si="1"/>
        <v>1-30</v>
      </c>
      <c r="H16" s="16">
        <f t="shared" si="2"/>
        <v>0.01</v>
      </c>
      <c r="I16" s="10">
        <f t="shared" si="3"/>
        <v>95.550517433770437</v>
      </c>
      <c r="J16" s="8" t="str">
        <f t="shared" si="4"/>
        <v>Routine</v>
      </c>
      <c r="K16" s="8" t="s">
        <v>1012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>
      <c r="A17" s="8" t="s">
        <v>1035</v>
      </c>
      <c r="B17" s="8" t="s">
        <v>1036</v>
      </c>
      <c r="C17" s="13">
        <v>46220</v>
      </c>
      <c r="D17" s="13">
        <v>46250</v>
      </c>
      <c r="E17" s="10">
        <v>25734.629546210177</v>
      </c>
      <c r="F17" s="8">
        <f t="shared" si="0"/>
        <v>45</v>
      </c>
      <c r="G17" s="8" t="str">
        <f t="shared" si="1"/>
        <v>31-60</v>
      </c>
      <c r="H17" s="16">
        <f t="shared" si="2"/>
        <v>0.03</v>
      </c>
      <c r="I17" s="10">
        <f t="shared" si="3"/>
        <v>772.03888638630531</v>
      </c>
      <c r="J17" s="8" t="str">
        <f t="shared" si="4"/>
        <v>Chase</v>
      </c>
      <c r="K17" s="8" t="s">
        <v>1012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>
      <c r="A18" s="8" t="s">
        <v>1037</v>
      </c>
      <c r="B18" s="8" t="s">
        <v>1026</v>
      </c>
      <c r="C18" s="13">
        <v>46290</v>
      </c>
      <c r="D18" s="13">
        <v>46320</v>
      </c>
      <c r="E18" s="10">
        <v>7617.3448269994842</v>
      </c>
      <c r="F18" s="8">
        <f t="shared" si="0"/>
        <v>-25</v>
      </c>
      <c r="G18" s="8" t="str">
        <f t="shared" si="1"/>
        <v>Current</v>
      </c>
      <c r="H18" s="16">
        <f t="shared" si="2"/>
        <v>5.0000000000000001E-3</v>
      </c>
      <c r="I18" s="10">
        <f t="shared" si="3"/>
        <v>38.086724134997425</v>
      </c>
      <c r="J18" s="8" t="str">
        <f t="shared" si="4"/>
        <v>Routine</v>
      </c>
      <c r="K18" s="8" t="s">
        <v>1012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>
      <c r="A19" s="8" t="s">
        <v>1038</v>
      </c>
      <c r="B19" s="8" t="s">
        <v>1039</v>
      </c>
      <c r="C19" s="13">
        <v>46212</v>
      </c>
      <c r="D19" s="13">
        <v>46242</v>
      </c>
      <c r="E19" s="10">
        <v>30828.128387207977</v>
      </c>
      <c r="F19" s="8">
        <f t="shared" si="0"/>
        <v>53</v>
      </c>
      <c r="G19" s="8" t="str">
        <f t="shared" si="1"/>
        <v>31-60</v>
      </c>
      <c r="H19" s="16">
        <f t="shared" si="2"/>
        <v>0.03</v>
      </c>
      <c r="I19" s="10">
        <f t="shared" si="3"/>
        <v>924.84385161623925</v>
      </c>
      <c r="J19" s="8" t="str">
        <f t="shared" si="4"/>
        <v>Chase</v>
      </c>
      <c r="K19" s="8" t="s">
        <v>1012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>
      <c r="A20" s="8" t="s">
        <v>1040</v>
      </c>
      <c r="B20" s="8" t="s">
        <v>1026</v>
      </c>
      <c r="C20" s="13">
        <v>46284</v>
      </c>
      <c r="D20" s="13">
        <v>46314</v>
      </c>
      <c r="E20" s="10">
        <v>17531.83809621774</v>
      </c>
      <c r="F20" s="8">
        <f t="shared" si="0"/>
        <v>-19</v>
      </c>
      <c r="G20" s="8" t="str">
        <f t="shared" si="1"/>
        <v>Current</v>
      </c>
      <c r="H20" s="16">
        <f t="shared" si="2"/>
        <v>5.0000000000000001E-3</v>
      </c>
      <c r="I20" s="10">
        <f t="shared" si="3"/>
        <v>87.6591904810887</v>
      </c>
      <c r="J20" s="8" t="str">
        <f t="shared" si="4"/>
        <v>Routine</v>
      </c>
      <c r="K20" s="8" t="s">
        <v>1012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>
      <c r="A21" s="8" t="s">
        <v>1041</v>
      </c>
      <c r="B21" s="8" t="s">
        <v>1034</v>
      </c>
      <c r="C21" s="13">
        <v>46270</v>
      </c>
      <c r="D21" s="13">
        <v>46300</v>
      </c>
      <c r="E21" s="10">
        <v>16023.87717079152</v>
      </c>
      <c r="F21" s="8">
        <f t="shared" si="0"/>
        <v>-5</v>
      </c>
      <c r="G21" s="8" t="str">
        <f t="shared" si="1"/>
        <v>Current</v>
      </c>
      <c r="H21" s="16">
        <f t="shared" si="2"/>
        <v>5.0000000000000001E-3</v>
      </c>
      <c r="I21" s="10">
        <f t="shared" si="3"/>
        <v>80.11938585395761</v>
      </c>
      <c r="J21" s="8" t="str">
        <f t="shared" si="4"/>
        <v>Routine</v>
      </c>
      <c r="K21" s="8" t="s">
        <v>1012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>
      <c r="A22" s="8" t="s">
        <v>1042</v>
      </c>
      <c r="B22" s="8" t="s">
        <v>1043</v>
      </c>
      <c r="C22" s="13">
        <v>46262</v>
      </c>
      <c r="D22" s="13">
        <v>46292</v>
      </c>
      <c r="E22" s="10">
        <v>27896.638696671136</v>
      </c>
      <c r="F22" s="8">
        <f t="shared" si="0"/>
        <v>3</v>
      </c>
      <c r="G22" s="8" t="str">
        <f t="shared" si="1"/>
        <v>1-30</v>
      </c>
      <c r="H22" s="16">
        <f t="shared" si="2"/>
        <v>0.01</v>
      </c>
      <c r="I22" s="10">
        <f t="shared" si="3"/>
        <v>278.96638696671135</v>
      </c>
      <c r="J22" s="8" t="str">
        <f t="shared" si="4"/>
        <v>Routine</v>
      </c>
      <c r="K22" s="8" t="s">
        <v>1012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>
      <c r="A23" s="8" t="s">
        <v>1044</v>
      </c>
      <c r="B23" s="8" t="s">
        <v>1020</v>
      </c>
      <c r="C23" s="13">
        <v>46279</v>
      </c>
      <c r="D23" s="13">
        <v>46309</v>
      </c>
      <c r="E23" s="10">
        <v>12016.33430721247</v>
      </c>
      <c r="F23" s="8">
        <f t="shared" si="0"/>
        <v>-14</v>
      </c>
      <c r="G23" s="8" t="str">
        <f t="shared" si="1"/>
        <v>Current</v>
      </c>
      <c r="H23" s="16">
        <f t="shared" si="2"/>
        <v>5.0000000000000001E-3</v>
      </c>
      <c r="I23" s="10">
        <f t="shared" si="3"/>
        <v>60.081671536062352</v>
      </c>
      <c r="J23" s="8" t="str">
        <f t="shared" si="4"/>
        <v>Routine</v>
      </c>
      <c r="K23" s="8" t="s">
        <v>1012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>
      <c r="A24" s="8" t="s">
        <v>1045</v>
      </c>
      <c r="B24" s="8" t="s">
        <v>1032</v>
      </c>
      <c r="C24" s="13">
        <v>46267</v>
      </c>
      <c r="D24" s="13">
        <v>46297</v>
      </c>
      <c r="E24" s="10">
        <v>8379.3421918065869</v>
      </c>
      <c r="F24" s="8">
        <f t="shared" si="0"/>
        <v>-2</v>
      </c>
      <c r="G24" s="8" t="str">
        <f t="shared" si="1"/>
        <v>Current</v>
      </c>
      <c r="H24" s="16">
        <f t="shared" si="2"/>
        <v>5.0000000000000001E-3</v>
      </c>
      <c r="I24" s="10">
        <f t="shared" si="3"/>
        <v>41.896710959032937</v>
      </c>
      <c r="J24" s="8" t="str">
        <f t="shared" si="4"/>
        <v>Routine</v>
      </c>
      <c r="K24" s="8" t="s">
        <v>1012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>
      <c r="A25" s="8" t="s">
        <v>1046</v>
      </c>
      <c r="B25" s="8" t="s">
        <v>1047</v>
      </c>
      <c r="C25" s="13">
        <v>46276</v>
      </c>
      <c r="D25" s="13">
        <v>46306</v>
      </c>
      <c r="E25" s="10">
        <v>8436.0142265452723</v>
      </c>
      <c r="F25" s="8">
        <f t="shared" si="0"/>
        <v>-11</v>
      </c>
      <c r="G25" s="8" t="str">
        <f t="shared" si="1"/>
        <v>Current</v>
      </c>
      <c r="H25" s="16">
        <f t="shared" si="2"/>
        <v>5.0000000000000001E-3</v>
      </c>
      <c r="I25" s="10">
        <f t="shared" si="3"/>
        <v>42.180071132726361</v>
      </c>
      <c r="J25" s="8" t="str">
        <f t="shared" si="4"/>
        <v>Routine</v>
      </c>
      <c r="K25" s="8" t="s">
        <v>1012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>
      <c r="A26" s="8" t="s">
        <v>1048</v>
      </c>
      <c r="B26" s="8" t="s">
        <v>1049</v>
      </c>
      <c r="C26" s="13">
        <v>46219</v>
      </c>
      <c r="D26" s="13">
        <v>46249</v>
      </c>
      <c r="E26" s="10">
        <v>24692.36930464027</v>
      </c>
      <c r="F26" s="8">
        <f t="shared" si="0"/>
        <v>46</v>
      </c>
      <c r="G26" s="8" t="str">
        <f t="shared" si="1"/>
        <v>31-60</v>
      </c>
      <c r="H26" s="16">
        <f t="shared" si="2"/>
        <v>0.03</v>
      </c>
      <c r="I26" s="10">
        <f t="shared" si="3"/>
        <v>740.77107913920804</v>
      </c>
      <c r="J26" s="8" t="str">
        <f t="shared" si="4"/>
        <v>Chase</v>
      </c>
      <c r="K26" s="8" t="s">
        <v>1012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>
      <c r="A27" s="8" t="s">
        <v>1050</v>
      </c>
      <c r="B27" s="8" t="s">
        <v>1051</v>
      </c>
      <c r="C27" s="13">
        <v>46253</v>
      </c>
      <c r="D27" s="13">
        <v>46283</v>
      </c>
      <c r="E27" s="10">
        <v>7262.280989722316</v>
      </c>
      <c r="F27" s="8">
        <f t="shared" si="0"/>
        <v>12</v>
      </c>
      <c r="G27" s="8" t="str">
        <f t="shared" si="1"/>
        <v>1-30</v>
      </c>
      <c r="H27" s="16">
        <f t="shared" si="2"/>
        <v>0.01</v>
      </c>
      <c r="I27" s="10">
        <f t="shared" si="3"/>
        <v>72.622809897223163</v>
      </c>
      <c r="J27" s="8" t="str">
        <f t="shared" si="4"/>
        <v>Routine</v>
      </c>
      <c r="K27" s="8" t="s">
        <v>1012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>
      <c r="A28" s="8" t="s">
        <v>1052</v>
      </c>
      <c r="B28" s="8" t="s">
        <v>1018</v>
      </c>
      <c r="C28" s="13">
        <v>46263</v>
      </c>
      <c r="D28" s="13">
        <v>46293</v>
      </c>
      <c r="E28" s="10">
        <v>19272.221856283049</v>
      </c>
      <c r="F28" s="8">
        <f t="shared" si="0"/>
        <v>2</v>
      </c>
      <c r="G28" s="8" t="str">
        <f t="shared" si="1"/>
        <v>1-30</v>
      </c>
      <c r="H28" s="16">
        <f t="shared" si="2"/>
        <v>0.01</v>
      </c>
      <c r="I28" s="10">
        <f t="shared" si="3"/>
        <v>192.72221856283051</v>
      </c>
      <c r="J28" s="8" t="str">
        <f t="shared" si="4"/>
        <v>Routine</v>
      </c>
      <c r="K28" s="8" t="s">
        <v>1012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>
      <c r="A29" s="8" t="s">
        <v>1053</v>
      </c>
      <c r="B29" s="8" t="s">
        <v>1054</v>
      </c>
      <c r="C29" s="13">
        <v>46257</v>
      </c>
      <c r="D29" s="13">
        <v>46287</v>
      </c>
      <c r="E29" s="10">
        <v>9787.147681333905</v>
      </c>
      <c r="F29" s="8">
        <f t="shared" si="0"/>
        <v>8</v>
      </c>
      <c r="G29" s="8" t="str">
        <f t="shared" si="1"/>
        <v>1-30</v>
      </c>
      <c r="H29" s="16">
        <f t="shared" si="2"/>
        <v>0.01</v>
      </c>
      <c r="I29" s="10">
        <f t="shared" si="3"/>
        <v>97.871476813339058</v>
      </c>
      <c r="J29" s="8" t="str">
        <f t="shared" si="4"/>
        <v>Routine</v>
      </c>
      <c r="K29" s="8" t="s">
        <v>1012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>
      <c r="A30" s="8" t="s">
        <v>1055</v>
      </c>
      <c r="B30" s="8" t="s">
        <v>1039</v>
      </c>
      <c r="C30" s="13">
        <v>46280</v>
      </c>
      <c r="D30" s="13">
        <v>46310</v>
      </c>
      <c r="E30" s="10">
        <v>26466.103583125878</v>
      </c>
      <c r="F30" s="8">
        <f t="shared" si="0"/>
        <v>-15</v>
      </c>
      <c r="G30" s="8" t="str">
        <f t="shared" si="1"/>
        <v>Current</v>
      </c>
      <c r="H30" s="16">
        <f t="shared" si="2"/>
        <v>5.0000000000000001E-3</v>
      </c>
      <c r="I30" s="10">
        <f t="shared" si="3"/>
        <v>132.3305179156294</v>
      </c>
      <c r="J30" s="8" t="str">
        <f t="shared" si="4"/>
        <v>Routine</v>
      </c>
      <c r="K30" s="8" t="s">
        <v>1012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>
      <c r="A31" s="8" t="s">
        <v>1056</v>
      </c>
      <c r="B31" s="8" t="s">
        <v>1057</v>
      </c>
      <c r="C31" s="13">
        <v>46236</v>
      </c>
      <c r="D31" s="13">
        <v>46266</v>
      </c>
      <c r="E31" s="10">
        <v>26322.064990335348</v>
      </c>
      <c r="F31" s="8">
        <f t="shared" si="0"/>
        <v>29</v>
      </c>
      <c r="G31" s="8" t="str">
        <f t="shared" si="1"/>
        <v>1-30</v>
      </c>
      <c r="H31" s="16">
        <f t="shared" si="2"/>
        <v>0.01</v>
      </c>
      <c r="I31" s="10">
        <f t="shared" si="3"/>
        <v>263.22064990335349</v>
      </c>
      <c r="J31" s="8" t="str">
        <f t="shared" si="4"/>
        <v>Routine</v>
      </c>
      <c r="K31" s="8" t="s">
        <v>1012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>
      <c r="A32" s="8" t="s">
        <v>1058</v>
      </c>
      <c r="B32" s="8" t="s">
        <v>1032</v>
      </c>
      <c r="C32" s="13">
        <v>46239</v>
      </c>
      <c r="D32" s="13">
        <v>46269</v>
      </c>
      <c r="E32" s="10">
        <v>29576.767800174926</v>
      </c>
      <c r="F32" s="8">
        <f t="shared" si="0"/>
        <v>26</v>
      </c>
      <c r="G32" s="8" t="str">
        <f t="shared" si="1"/>
        <v>1-30</v>
      </c>
      <c r="H32" s="16">
        <f t="shared" si="2"/>
        <v>0.01</v>
      </c>
      <c r="I32" s="10">
        <f t="shared" si="3"/>
        <v>295.76767800174929</v>
      </c>
      <c r="J32" s="8" t="str">
        <f t="shared" si="4"/>
        <v>Routine</v>
      </c>
      <c r="K32" s="8" t="s">
        <v>1012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>
      <c r="A33" s="8" t="s">
        <v>1059</v>
      </c>
      <c r="B33" s="8" t="s">
        <v>1014</v>
      </c>
      <c r="C33" s="13">
        <v>46243</v>
      </c>
      <c r="D33" s="13">
        <v>46273</v>
      </c>
      <c r="E33" s="10">
        <v>10079.293186507632</v>
      </c>
      <c r="F33" s="8">
        <f t="shared" si="0"/>
        <v>22</v>
      </c>
      <c r="G33" s="8" t="str">
        <f t="shared" si="1"/>
        <v>1-30</v>
      </c>
      <c r="H33" s="16">
        <f t="shared" si="2"/>
        <v>0.01</v>
      </c>
      <c r="I33" s="10">
        <f t="shared" si="3"/>
        <v>100.79293186507631</v>
      </c>
      <c r="J33" s="8" t="str">
        <f t="shared" si="4"/>
        <v>Routine</v>
      </c>
      <c r="K33" s="8" t="s">
        <v>1012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>
      <c r="A34" s="8" t="s">
        <v>1060</v>
      </c>
      <c r="B34" s="8" t="s">
        <v>1061</v>
      </c>
      <c r="C34" s="13">
        <v>46230</v>
      </c>
      <c r="D34" s="13">
        <v>46260</v>
      </c>
      <c r="E34" s="10">
        <v>13694.538488865912</v>
      </c>
      <c r="F34" s="8">
        <f t="shared" si="0"/>
        <v>35</v>
      </c>
      <c r="G34" s="8" t="str">
        <f t="shared" si="1"/>
        <v>31-60</v>
      </c>
      <c r="H34" s="16">
        <f t="shared" si="2"/>
        <v>0.03</v>
      </c>
      <c r="I34" s="10">
        <f t="shared" si="3"/>
        <v>410.83615466597735</v>
      </c>
      <c r="J34" s="8" t="str">
        <f t="shared" si="4"/>
        <v>Chase</v>
      </c>
      <c r="K34" s="8" t="s">
        <v>1012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>
      <c r="A35" s="8" t="s">
        <v>1062</v>
      </c>
      <c r="B35" s="8" t="s">
        <v>1063</v>
      </c>
      <c r="C35" s="13">
        <v>46173</v>
      </c>
      <c r="D35" s="13">
        <v>46203</v>
      </c>
      <c r="E35" s="10">
        <v>17385.898619125015</v>
      </c>
      <c r="F35" s="8">
        <f t="shared" si="0"/>
        <v>92</v>
      </c>
      <c r="G35" s="8" t="str">
        <f t="shared" si="1"/>
        <v>90+</v>
      </c>
      <c r="H35" s="16">
        <f t="shared" si="2"/>
        <v>0.25</v>
      </c>
      <c r="I35" s="10">
        <f t="shared" si="3"/>
        <v>4346.4746547812538</v>
      </c>
      <c r="J35" s="8" t="str">
        <f t="shared" si="4"/>
        <v>Escalate</v>
      </c>
      <c r="K35" s="8" t="s">
        <v>1012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>
      <c r="A36" s="8" t="s">
        <v>1064</v>
      </c>
      <c r="B36" s="8" t="s">
        <v>1065</v>
      </c>
      <c r="C36" s="13">
        <v>46239</v>
      </c>
      <c r="D36" s="13">
        <v>46269</v>
      </c>
      <c r="E36" s="10">
        <v>12100.435129585552</v>
      </c>
      <c r="F36" s="8">
        <f t="shared" ref="F36:F63" si="5">DATE(2026,9,30)-D36</f>
        <v>26</v>
      </c>
      <c r="G36" s="8" t="str">
        <f t="shared" ref="G36:G67" si="6">IF(F36&lt;=0,"Current",IF(F36&lt;=30,"1-30",IF(F36&lt;=60,"31-60",IF(F36&lt;=90,"61-90","90+"))))</f>
        <v>1-30</v>
      </c>
      <c r="H36" s="16">
        <f t="shared" ref="H36:H67" si="7">IF(G36="Current",0.5%,IF(G36="1-30",1%,IF(G36="31-60",3%,IF(G36="61-90",10%,25%))))</f>
        <v>0.01</v>
      </c>
      <c r="I36" s="10">
        <f t="shared" ref="I36:I67" si="8">E36*H36</f>
        <v>121.00435129585553</v>
      </c>
      <c r="J36" s="8" t="str">
        <f t="shared" ref="J36:J63" si="9">IF(F36&gt;90,"Escalate",IF(F36&gt;30,"Chase","Routine"))</f>
        <v>Routine</v>
      </c>
      <c r="K36" s="8" t="s">
        <v>1012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>
      <c r="A37" s="8" t="s">
        <v>1066</v>
      </c>
      <c r="B37" s="8" t="s">
        <v>1063</v>
      </c>
      <c r="C37" s="13">
        <v>46286</v>
      </c>
      <c r="D37" s="13">
        <v>46316</v>
      </c>
      <c r="E37" s="10">
        <v>7485.212728362334</v>
      </c>
      <c r="F37" s="8">
        <f t="shared" si="5"/>
        <v>-21</v>
      </c>
      <c r="G37" s="8" t="str">
        <f t="shared" si="6"/>
        <v>Current</v>
      </c>
      <c r="H37" s="16">
        <f t="shared" si="7"/>
        <v>5.0000000000000001E-3</v>
      </c>
      <c r="I37" s="10">
        <f t="shared" si="8"/>
        <v>37.426063641811673</v>
      </c>
      <c r="J37" s="8" t="str">
        <f t="shared" si="9"/>
        <v>Routine</v>
      </c>
      <c r="K37" s="8" t="s">
        <v>1012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>
      <c r="A38" s="8" t="s">
        <v>1067</v>
      </c>
      <c r="B38" s="8" t="s">
        <v>1051</v>
      </c>
      <c r="C38" s="13">
        <v>46286</v>
      </c>
      <c r="D38" s="13">
        <v>46316</v>
      </c>
      <c r="E38" s="10">
        <v>24519.347527323822</v>
      </c>
      <c r="F38" s="8">
        <f t="shared" si="5"/>
        <v>-21</v>
      </c>
      <c r="G38" s="8" t="str">
        <f t="shared" si="6"/>
        <v>Current</v>
      </c>
      <c r="H38" s="16">
        <f t="shared" si="7"/>
        <v>5.0000000000000001E-3</v>
      </c>
      <c r="I38" s="10">
        <f t="shared" si="8"/>
        <v>122.59673763661911</v>
      </c>
      <c r="J38" s="8" t="str">
        <f t="shared" si="9"/>
        <v>Routine</v>
      </c>
      <c r="K38" s="8" t="s">
        <v>1012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>
      <c r="A39" s="8" t="s">
        <v>1068</v>
      </c>
      <c r="B39" s="8" t="s">
        <v>1047</v>
      </c>
      <c r="C39" s="13">
        <v>46230</v>
      </c>
      <c r="D39" s="13">
        <v>46260</v>
      </c>
      <c r="E39" s="10">
        <v>28629.419548729391</v>
      </c>
      <c r="F39" s="8">
        <f t="shared" si="5"/>
        <v>35</v>
      </c>
      <c r="G39" s="8" t="str">
        <f t="shared" si="6"/>
        <v>31-60</v>
      </c>
      <c r="H39" s="16">
        <f t="shared" si="7"/>
        <v>0.03</v>
      </c>
      <c r="I39" s="10">
        <f t="shared" si="8"/>
        <v>858.88258646188171</v>
      </c>
      <c r="J39" s="8" t="str">
        <f t="shared" si="9"/>
        <v>Chase</v>
      </c>
      <c r="K39" s="8" t="s">
        <v>1012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>
      <c r="A40" s="8" t="s">
        <v>1069</v>
      </c>
      <c r="B40" s="8" t="s">
        <v>1070</v>
      </c>
      <c r="C40" s="13">
        <v>46286</v>
      </c>
      <c r="D40" s="13">
        <v>46316</v>
      </c>
      <c r="E40" s="10">
        <v>31108.529947527193</v>
      </c>
      <c r="F40" s="8">
        <f t="shared" si="5"/>
        <v>-21</v>
      </c>
      <c r="G40" s="8" t="str">
        <f t="shared" si="6"/>
        <v>Current</v>
      </c>
      <c r="H40" s="16">
        <f t="shared" si="7"/>
        <v>5.0000000000000001E-3</v>
      </c>
      <c r="I40" s="10">
        <f t="shared" si="8"/>
        <v>155.54264973763597</v>
      </c>
      <c r="J40" s="8" t="str">
        <f t="shared" si="9"/>
        <v>Routine</v>
      </c>
      <c r="K40" s="8" t="s">
        <v>1012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>
      <c r="A41" s="8" t="s">
        <v>1071</v>
      </c>
      <c r="B41" s="8" t="s">
        <v>1070</v>
      </c>
      <c r="C41" s="13">
        <v>46254</v>
      </c>
      <c r="D41" s="13">
        <v>46284</v>
      </c>
      <c r="E41" s="10">
        <v>31216.312587638513</v>
      </c>
      <c r="F41" s="8">
        <f t="shared" si="5"/>
        <v>11</v>
      </c>
      <c r="G41" s="8" t="str">
        <f t="shared" si="6"/>
        <v>1-30</v>
      </c>
      <c r="H41" s="16">
        <f t="shared" si="7"/>
        <v>0.01</v>
      </c>
      <c r="I41" s="10">
        <f t="shared" si="8"/>
        <v>312.16312587638515</v>
      </c>
      <c r="J41" s="8" t="str">
        <f t="shared" si="9"/>
        <v>Routine</v>
      </c>
      <c r="K41" s="8" t="s">
        <v>1012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>
      <c r="A42" s="8" t="s">
        <v>1072</v>
      </c>
      <c r="B42" s="8" t="s">
        <v>1073</v>
      </c>
      <c r="C42" s="13">
        <v>46254</v>
      </c>
      <c r="D42" s="13">
        <v>46284</v>
      </c>
      <c r="E42" s="10">
        <v>8933.9756905842423</v>
      </c>
      <c r="F42" s="8">
        <f t="shared" si="5"/>
        <v>11</v>
      </c>
      <c r="G42" s="8" t="str">
        <f t="shared" si="6"/>
        <v>1-30</v>
      </c>
      <c r="H42" s="16">
        <f t="shared" si="7"/>
        <v>0.01</v>
      </c>
      <c r="I42" s="10">
        <f t="shared" si="8"/>
        <v>89.339756905842421</v>
      </c>
      <c r="J42" s="8" t="str">
        <f t="shared" si="9"/>
        <v>Routine</v>
      </c>
      <c r="K42" s="8" t="s">
        <v>1012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>
      <c r="A43" s="8" t="s">
        <v>1074</v>
      </c>
      <c r="B43" s="8" t="s">
        <v>1016</v>
      </c>
      <c r="C43" s="13">
        <v>46221</v>
      </c>
      <c r="D43" s="13">
        <v>46251</v>
      </c>
      <c r="E43" s="10">
        <v>29759.543031731155</v>
      </c>
      <c r="F43" s="8">
        <f t="shared" si="5"/>
        <v>44</v>
      </c>
      <c r="G43" s="8" t="str">
        <f t="shared" si="6"/>
        <v>31-60</v>
      </c>
      <c r="H43" s="16">
        <f t="shared" si="7"/>
        <v>0.03</v>
      </c>
      <c r="I43" s="10">
        <f t="shared" si="8"/>
        <v>892.78629095193457</v>
      </c>
      <c r="J43" s="8" t="str">
        <f t="shared" si="9"/>
        <v>Chase</v>
      </c>
      <c r="K43" s="8" t="s">
        <v>1012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>
      <c r="A44" s="8" t="s">
        <v>1075</v>
      </c>
      <c r="B44" s="8" t="s">
        <v>1076</v>
      </c>
      <c r="C44" s="13">
        <v>46285</v>
      </c>
      <c r="D44" s="13">
        <v>46315</v>
      </c>
      <c r="E44" s="10">
        <v>25223.196490847629</v>
      </c>
      <c r="F44" s="8">
        <f t="shared" si="5"/>
        <v>-20</v>
      </c>
      <c r="G44" s="8" t="str">
        <f t="shared" si="6"/>
        <v>Current</v>
      </c>
      <c r="H44" s="16">
        <f t="shared" si="7"/>
        <v>5.0000000000000001E-3</v>
      </c>
      <c r="I44" s="10">
        <f t="shared" si="8"/>
        <v>126.11598245423815</v>
      </c>
      <c r="J44" s="8" t="str">
        <f t="shared" si="9"/>
        <v>Routine</v>
      </c>
      <c r="K44" s="8" t="s">
        <v>1012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>
      <c r="A45" s="8" t="s">
        <v>1077</v>
      </c>
      <c r="B45" s="8" t="s">
        <v>1014</v>
      </c>
      <c r="C45" s="13">
        <v>46276</v>
      </c>
      <c r="D45" s="13">
        <v>46306</v>
      </c>
      <c r="E45" s="10">
        <v>20806.816241215976</v>
      </c>
      <c r="F45" s="8">
        <f t="shared" si="5"/>
        <v>-11</v>
      </c>
      <c r="G45" s="8" t="str">
        <f t="shared" si="6"/>
        <v>Current</v>
      </c>
      <c r="H45" s="16">
        <f t="shared" si="7"/>
        <v>5.0000000000000001E-3</v>
      </c>
      <c r="I45" s="10">
        <f t="shared" si="8"/>
        <v>104.03408120607989</v>
      </c>
      <c r="J45" s="8" t="str">
        <f t="shared" si="9"/>
        <v>Routine</v>
      </c>
      <c r="K45" s="8" t="s">
        <v>1012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>
      <c r="A46" s="8" t="s">
        <v>1078</v>
      </c>
      <c r="B46" s="8" t="s">
        <v>1057</v>
      </c>
      <c r="C46" s="13">
        <v>46266</v>
      </c>
      <c r="D46" s="13">
        <v>46296</v>
      </c>
      <c r="E46" s="10">
        <v>15557.646570851415</v>
      </c>
      <c r="F46" s="8">
        <f t="shared" si="5"/>
        <v>-1</v>
      </c>
      <c r="G46" s="8" t="str">
        <f t="shared" si="6"/>
        <v>Current</v>
      </c>
      <c r="H46" s="16">
        <f t="shared" si="7"/>
        <v>5.0000000000000001E-3</v>
      </c>
      <c r="I46" s="10">
        <f t="shared" si="8"/>
        <v>77.788232854257075</v>
      </c>
      <c r="J46" s="8" t="str">
        <f t="shared" si="9"/>
        <v>Routine</v>
      </c>
      <c r="K46" s="8" t="s">
        <v>1012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>
      <c r="A47" s="8" t="s">
        <v>1079</v>
      </c>
      <c r="B47" s="8" t="s">
        <v>1051</v>
      </c>
      <c r="C47" s="13">
        <v>46246</v>
      </c>
      <c r="D47" s="13">
        <v>46276</v>
      </c>
      <c r="E47" s="10">
        <v>8288.9545208938689</v>
      </c>
      <c r="F47" s="8">
        <f t="shared" si="5"/>
        <v>19</v>
      </c>
      <c r="G47" s="8" t="str">
        <f t="shared" si="6"/>
        <v>1-30</v>
      </c>
      <c r="H47" s="16">
        <f t="shared" si="7"/>
        <v>0.01</v>
      </c>
      <c r="I47" s="10">
        <f t="shared" si="8"/>
        <v>82.889545208938685</v>
      </c>
      <c r="J47" s="8" t="str">
        <f t="shared" si="9"/>
        <v>Routine</v>
      </c>
      <c r="K47" s="8" t="s">
        <v>1012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>
      <c r="A48" s="8" t="s">
        <v>1080</v>
      </c>
      <c r="B48" s="8" t="s">
        <v>1014</v>
      </c>
      <c r="C48" s="13">
        <v>46266</v>
      </c>
      <c r="D48" s="13">
        <v>46296</v>
      </c>
      <c r="E48" s="10">
        <v>14845.586099156017</v>
      </c>
      <c r="F48" s="8">
        <f t="shared" si="5"/>
        <v>-1</v>
      </c>
      <c r="G48" s="8" t="str">
        <f t="shared" si="6"/>
        <v>Current</v>
      </c>
      <c r="H48" s="16">
        <f t="shared" si="7"/>
        <v>5.0000000000000001E-3</v>
      </c>
      <c r="I48" s="10">
        <f t="shared" si="8"/>
        <v>74.227930495780086</v>
      </c>
      <c r="J48" s="8" t="str">
        <f t="shared" si="9"/>
        <v>Routine</v>
      </c>
      <c r="K48" s="8" t="s">
        <v>1012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>
      <c r="A49" s="8" t="s">
        <v>1081</v>
      </c>
      <c r="B49" s="8" t="s">
        <v>1032</v>
      </c>
      <c r="C49" s="13">
        <v>46273</v>
      </c>
      <c r="D49" s="13">
        <v>46303</v>
      </c>
      <c r="E49" s="10">
        <v>28600.571672014212</v>
      </c>
      <c r="F49" s="8">
        <f t="shared" si="5"/>
        <v>-8</v>
      </c>
      <c r="G49" s="8" t="str">
        <f t="shared" si="6"/>
        <v>Current</v>
      </c>
      <c r="H49" s="16">
        <f t="shared" si="7"/>
        <v>5.0000000000000001E-3</v>
      </c>
      <c r="I49" s="10">
        <f t="shared" si="8"/>
        <v>143.00285836007106</v>
      </c>
      <c r="J49" s="8" t="str">
        <f t="shared" si="9"/>
        <v>Routine</v>
      </c>
      <c r="K49" s="8" t="s">
        <v>1012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>
      <c r="A50" s="8" t="s">
        <v>1082</v>
      </c>
      <c r="B50" s="8" t="s">
        <v>1011</v>
      </c>
      <c r="C50" s="13">
        <v>46290</v>
      </c>
      <c r="D50" s="13">
        <v>46320</v>
      </c>
      <c r="E50" s="10">
        <v>27366.387087158906</v>
      </c>
      <c r="F50" s="8">
        <f t="shared" si="5"/>
        <v>-25</v>
      </c>
      <c r="G50" s="8" t="str">
        <f t="shared" si="6"/>
        <v>Current</v>
      </c>
      <c r="H50" s="16">
        <f t="shared" si="7"/>
        <v>5.0000000000000001E-3</v>
      </c>
      <c r="I50" s="10">
        <f t="shared" si="8"/>
        <v>136.83193543579452</v>
      </c>
      <c r="J50" s="8" t="str">
        <f t="shared" si="9"/>
        <v>Routine</v>
      </c>
      <c r="K50" s="8" t="s">
        <v>1012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>
      <c r="A51" s="8" t="s">
        <v>1083</v>
      </c>
      <c r="B51" s="8" t="s">
        <v>1032</v>
      </c>
      <c r="C51" s="13">
        <v>46233</v>
      </c>
      <c r="D51" s="13">
        <v>46263</v>
      </c>
      <c r="E51" s="10">
        <v>13434.633894508257</v>
      </c>
      <c r="F51" s="8">
        <f t="shared" si="5"/>
        <v>32</v>
      </c>
      <c r="G51" s="8" t="str">
        <f t="shared" si="6"/>
        <v>31-60</v>
      </c>
      <c r="H51" s="16">
        <f t="shared" si="7"/>
        <v>0.03</v>
      </c>
      <c r="I51" s="10">
        <f t="shared" si="8"/>
        <v>403.03901683524771</v>
      </c>
      <c r="J51" s="8" t="str">
        <f t="shared" si="9"/>
        <v>Chase</v>
      </c>
      <c r="K51" s="8" t="s">
        <v>1012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>
      <c r="A52" s="8" t="s">
        <v>1084</v>
      </c>
      <c r="B52" s="8" t="s">
        <v>1076</v>
      </c>
      <c r="C52" s="13">
        <v>46283</v>
      </c>
      <c r="D52" s="13">
        <v>46313</v>
      </c>
      <c r="E52" s="10">
        <v>24217.283386721032</v>
      </c>
      <c r="F52" s="8">
        <f t="shared" si="5"/>
        <v>-18</v>
      </c>
      <c r="G52" s="8" t="str">
        <f t="shared" si="6"/>
        <v>Current</v>
      </c>
      <c r="H52" s="16">
        <f t="shared" si="7"/>
        <v>5.0000000000000001E-3</v>
      </c>
      <c r="I52" s="10">
        <f t="shared" si="8"/>
        <v>121.08641693360516</v>
      </c>
      <c r="J52" s="8" t="str">
        <f t="shared" si="9"/>
        <v>Routine</v>
      </c>
      <c r="K52" s="8" t="s">
        <v>1012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>
      <c r="A53" s="8" t="s">
        <v>1085</v>
      </c>
      <c r="B53" s="8" t="s">
        <v>1086</v>
      </c>
      <c r="C53" s="13">
        <v>46261</v>
      </c>
      <c r="D53" s="13">
        <v>46291</v>
      </c>
      <c r="E53" s="10">
        <v>23044.850290194783</v>
      </c>
      <c r="F53" s="8">
        <f t="shared" si="5"/>
        <v>4</v>
      </c>
      <c r="G53" s="8" t="str">
        <f t="shared" si="6"/>
        <v>1-30</v>
      </c>
      <c r="H53" s="16">
        <f t="shared" si="7"/>
        <v>0.01</v>
      </c>
      <c r="I53" s="10">
        <f t="shared" si="8"/>
        <v>230.44850290194785</v>
      </c>
      <c r="J53" s="8" t="str">
        <f t="shared" si="9"/>
        <v>Routine</v>
      </c>
      <c r="K53" s="8" t="s">
        <v>1012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>
      <c r="A54" s="8" t="s">
        <v>1087</v>
      </c>
      <c r="B54" s="8" t="s">
        <v>1065</v>
      </c>
      <c r="C54" s="13">
        <v>46217</v>
      </c>
      <c r="D54" s="13">
        <v>46247</v>
      </c>
      <c r="E54" s="10">
        <v>33816.961036437126</v>
      </c>
      <c r="F54" s="8">
        <f t="shared" si="5"/>
        <v>48</v>
      </c>
      <c r="G54" s="8" t="str">
        <f t="shared" si="6"/>
        <v>31-60</v>
      </c>
      <c r="H54" s="16">
        <f t="shared" si="7"/>
        <v>0.03</v>
      </c>
      <c r="I54" s="10">
        <f t="shared" si="8"/>
        <v>1014.5088310931137</v>
      </c>
      <c r="J54" s="8" t="str">
        <f t="shared" si="9"/>
        <v>Chase</v>
      </c>
      <c r="K54" s="8" t="s">
        <v>1012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>
      <c r="A55" s="8" t="s">
        <v>1088</v>
      </c>
      <c r="B55" s="8" t="s">
        <v>1063</v>
      </c>
      <c r="C55" s="13">
        <v>46273</v>
      </c>
      <c r="D55" s="13">
        <v>46303</v>
      </c>
      <c r="E55" s="10">
        <v>11269.68225243455</v>
      </c>
      <c r="F55" s="8">
        <f t="shared" si="5"/>
        <v>-8</v>
      </c>
      <c r="G55" s="8" t="str">
        <f t="shared" si="6"/>
        <v>Current</v>
      </c>
      <c r="H55" s="16">
        <f t="shared" si="7"/>
        <v>5.0000000000000001E-3</v>
      </c>
      <c r="I55" s="10">
        <f t="shared" si="8"/>
        <v>56.348411262172753</v>
      </c>
      <c r="J55" s="8" t="str">
        <f t="shared" si="9"/>
        <v>Routine</v>
      </c>
      <c r="K55" s="8" t="s">
        <v>1012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>
      <c r="A56" s="8" t="s">
        <v>1089</v>
      </c>
      <c r="B56" s="8" t="s">
        <v>1076</v>
      </c>
      <c r="C56" s="13">
        <v>46276</v>
      </c>
      <c r="D56" s="13">
        <v>46306</v>
      </c>
      <c r="E56" s="10">
        <v>10699.835092292773</v>
      </c>
      <c r="F56" s="8">
        <f t="shared" si="5"/>
        <v>-11</v>
      </c>
      <c r="G56" s="8" t="str">
        <f t="shared" si="6"/>
        <v>Current</v>
      </c>
      <c r="H56" s="16">
        <f t="shared" si="7"/>
        <v>5.0000000000000001E-3</v>
      </c>
      <c r="I56" s="10">
        <f t="shared" si="8"/>
        <v>53.499175461463864</v>
      </c>
      <c r="J56" s="8" t="str">
        <f t="shared" si="9"/>
        <v>Routine</v>
      </c>
      <c r="K56" s="8" t="s">
        <v>1012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>
      <c r="A57" s="8" t="s">
        <v>1090</v>
      </c>
      <c r="B57" s="8" t="s">
        <v>1024</v>
      </c>
      <c r="C57" s="13">
        <v>46191</v>
      </c>
      <c r="D57" s="13">
        <v>46221</v>
      </c>
      <c r="E57" s="10">
        <v>8921.8329266928613</v>
      </c>
      <c r="F57" s="8">
        <f t="shared" si="5"/>
        <v>74</v>
      </c>
      <c r="G57" s="8" t="str">
        <f t="shared" si="6"/>
        <v>61-90</v>
      </c>
      <c r="H57" s="16">
        <f t="shared" si="7"/>
        <v>0.1</v>
      </c>
      <c r="I57" s="10">
        <f t="shared" si="8"/>
        <v>892.18329266928617</v>
      </c>
      <c r="J57" s="8" t="str">
        <f t="shared" si="9"/>
        <v>Chase</v>
      </c>
      <c r="K57" s="8" t="s">
        <v>1012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>
      <c r="A58" s="8" t="s">
        <v>1091</v>
      </c>
      <c r="B58" s="8" t="s">
        <v>1073</v>
      </c>
      <c r="C58" s="13">
        <v>46290</v>
      </c>
      <c r="D58" s="13">
        <v>46320</v>
      </c>
      <c r="E58" s="10">
        <v>34875.612099160142</v>
      </c>
      <c r="F58" s="8">
        <f t="shared" si="5"/>
        <v>-25</v>
      </c>
      <c r="G58" s="8" t="str">
        <f t="shared" si="6"/>
        <v>Current</v>
      </c>
      <c r="H58" s="16">
        <f t="shared" si="7"/>
        <v>5.0000000000000001E-3</v>
      </c>
      <c r="I58" s="10">
        <f t="shared" si="8"/>
        <v>174.37806049580072</v>
      </c>
      <c r="J58" s="8" t="str">
        <f t="shared" si="9"/>
        <v>Routine</v>
      </c>
      <c r="K58" s="8" t="s">
        <v>1012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>
      <c r="A59" s="8" t="s">
        <v>1092</v>
      </c>
      <c r="B59" s="8" t="s">
        <v>1029</v>
      </c>
      <c r="C59" s="13">
        <v>46176</v>
      </c>
      <c r="D59" s="13">
        <v>46206</v>
      </c>
      <c r="E59" s="10">
        <v>33537.958519934713</v>
      </c>
      <c r="F59" s="8">
        <f t="shared" si="5"/>
        <v>89</v>
      </c>
      <c r="G59" s="8" t="str">
        <f t="shared" si="6"/>
        <v>61-90</v>
      </c>
      <c r="H59" s="16">
        <f t="shared" si="7"/>
        <v>0.1</v>
      </c>
      <c r="I59" s="10">
        <f t="shared" si="8"/>
        <v>3353.7958519934714</v>
      </c>
      <c r="J59" s="8" t="str">
        <f t="shared" si="9"/>
        <v>Chase</v>
      </c>
      <c r="K59" s="8" t="s">
        <v>1012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>
      <c r="A60" s="8" t="s">
        <v>1093</v>
      </c>
      <c r="B60" s="8" t="s">
        <v>1026</v>
      </c>
      <c r="C60" s="13">
        <v>46281</v>
      </c>
      <c r="D60" s="13">
        <v>46311</v>
      </c>
      <c r="E60" s="10">
        <v>24055.537304451445</v>
      </c>
      <c r="F60" s="8">
        <f t="shared" si="5"/>
        <v>-16</v>
      </c>
      <c r="G60" s="8" t="str">
        <f t="shared" si="6"/>
        <v>Current</v>
      </c>
      <c r="H60" s="16">
        <f t="shared" si="7"/>
        <v>5.0000000000000001E-3</v>
      </c>
      <c r="I60" s="10">
        <f t="shared" si="8"/>
        <v>120.27768652225723</v>
      </c>
      <c r="J60" s="8" t="str">
        <f t="shared" si="9"/>
        <v>Routine</v>
      </c>
      <c r="K60" s="8" t="s">
        <v>1012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>
      <c r="A61" s="8" t="s">
        <v>1094</v>
      </c>
      <c r="B61" s="8" t="s">
        <v>1057</v>
      </c>
      <c r="C61" s="13">
        <v>46189</v>
      </c>
      <c r="D61" s="13">
        <v>46219</v>
      </c>
      <c r="E61" s="10">
        <v>13326.505742815254</v>
      </c>
      <c r="F61" s="8">
        <f t="shared" si="5"/>
        <v>76</v>
      </c>
      <c r="G61" s="8" t="str">
        <f t="shared" si="6"/>
        <v>61-90</v>
      </c>
      <c r="H61" s="16">
        <f t="shared" si="7"/>
        <v>0.1</v>
      </c>
      <c r="I61" s="10">
        <f t="shared" si="8"/>
        <v>1332.6505742815255</v>
      </c>
      <c r="J61" s="8" t="str">
        <f t="shared" si="9"/>
        <v>Chase</v>
      </c>
      <c r="K61" s="8" t="s">
        <v>1012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>
      <c r="A62" s="8" t="s">
        <v>1095</v>
      </c>
      <c r="B62" s="8" t="s">
        <v>1016</v>
      </c>
      <c r="C62" s="13">
        <v>46273</v>
      </c>
      <c r="D62" s="13">
        <v>46303</v>
      </c>
      <c r="E62" s="10">
        <v>13409.306570099176</v>
      </c>
      <c r="F62" s="8">
        <f t="shared" si="5"/>
        <v>-8</v>
      </c>
      <c r="G62" s="8" t="str">
        <f t="shared" si="6"/>
        <v>Current</v>
      </c>
      <c r="H62" s="16">
        <f t="shared" si="7"/>
        <v>5.0000000000000001E-3</v>
      </c>
      <c r="I62" s="10">
        <f t="shared" si="8"/>
        <v>67.046532850495879</v>
      </c>
      <c r="J62" s="8" t="str">
        <f t="shared" si="9"/>
        <v>Routine</v>
      </c>
      <c r="K62" s="8" t="s">
        <v>1012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>
      <c r="A63" s="8" t="s">
        <v>1096</v>
      </c>
      <c r="B63" s="8" t="s">
        <v>1061</v>
      </c>
      <c r="C63" s="13">
        <v>46283</v>
      </c>
      <c r="D63" s="13">
        <v>46313</v>
      </c>
      <c r="E63" s="10">
        <v>25068.763238557651</v>
      </c>
      <c r="F63" s="8">
        <f t="shared" si="5"/>
        <v>-18</v>
      </c>
      <c r="G63" s="8" t="str">
        <f t="shared" si="6"/>
        <v>Current</v>
      </c>
      <c r="H63" s="16">
        <f t="shared" si="7"/>
        <v>5.0000000000000001E-3</v>
      </c>
      <c r="I63" s="10">
        <f t="shared" si="8"/>
        <v>125.34381619278825</v>
      </c>
      <c r="J63" s="8" t="str">
        <f t="shared" si="9"/>
        <v>Routine</v>
      </c>
      <c r="K63" s="8" t="s">
        <v>1012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 ht="26.75" customHeight="1">
      <c r="A67" s="36" t="s">
        <v>1097</v>
      </c>
      <c r="B67" s="36"/>
      <c r="C67" s="36"/>
      <c r="D67" s="36"/>
      <c r="E67" s="36"/>
      <c r="F67" s="36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 ht="16">
      <c r="A68" s="9" t="s">
        <v>1006</v>
      </c>
      <c r="B68" s="9" t="s">
        <v>1098</v>
      </c>
      <c r="C68" s="9" t="s">
        <v>1099</v>
      </c>
      <c r="D68" s="8"/>
      <c r="E68" s="9" t="s">
        <v>127</v>
      </c>
      <c r="F68" s="9" t="s">
        <v>19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>
      <c r="A69" s="8" t="s">
        <v>1100</v>
      </c>
      <c r="B69" s="10">
        <f>SUMIF(G4:G63,A69,E4:E63)</f>
        <v>525125.6761989895</v>
      </c>
      <c r="C69" s="16">
        <f>B69/$B$74</f>
        <v>0.4561451290572992</v>
      </c>
      <c r="D69" s="8"/>
      <c r="E69" s="8" t="s">
        <v>1101</v>
      </c>
      <c r="F69" s="10">
        <f>B74</f>
        <v>1151225.0000000005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>
      <c r="A70" s="8" t="s">
        <v>1102</v>
      </c>
      <c r="B70" s="10">
        <f>SUMIF(G4:G63,A70,E4:E63)</f>
        <v>300680.32774641964</v>
      </c>
      <c r="C70" s="16">
        <f>B70/$B$74</f>
        <v>0.26118293795428305</v>
      </c>
      <c r="D70" s="8"/>
      <c r="E70" s="8" t="s">
        <v>1103</v>
      </c>
      <c r="F70" s="10">
        <f>SUMIF('Adjusted TB'!$A$4:$A$30,"1100",'Adjusted TB'!$H$4:$H$30)</f>
        <v>1151225.0000000005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>
      <c r="A71" s="8" t="s">
        <v>1104</v>
      </c>
      <c r="B71" s="10">
        <f>SUMIF(G4:G63,A71,E4:E63)</f>
        <v>214629.3012040118</v>
      </c>
      <c r="C71" s="16">
        <f>B71/$B$74</f>
        <v>0.18643558053726397</v>
      </c>
      <c r="D71" s="8"/>
      <c r="E71" s="8" t="s">
        <v>998</v>
      </c>
      <c r="F71" s="10">
        <f>F69-F70</f>
        <v>0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>
      <c r="A72" s="8" t="s">
        <v>1105</v>
      </c>
      <c r="B72" s="10">
        <f>SUMIF(G4:G63,A72,E4:E63)</f>
        <v>93403.796231454515</v>
      </c>
      <c r="C72" s="16">
        <f>B72/$B$74</f>
        <v>8.1134266743212211E-2</v>
      </c>
      <c r="D72" s="8"/>
      <c r="E72" s="8" t="s">
        <v>1106</v>
      </c>
      <c r="F72" s="10">
        <f>SUM(I4:I63)</f>
        <v>25758.164972506205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>
      <c r="A73" s="8" t="s">
        <v>1107</v>
      </c>
      <c r="B73" s="10">
        <f>SUMIF(G4:G63,A73,E4:E63)</f>
        <v>17385.898619125015</v>
      </c>
      <c r="C73" s="16">
        <f>B73/$B$74</f>
        <v>1.5102085707941547E-2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>
      <c r="A74" s="8" t="s">
        <v>129</v>
      </c>
      <c r="B74" s="10">
        <f>SUM(E4:E63)</f>
        <v>1151225.0000000005</v>
      </c>
      <c r="C74" s="16">
        <f>SUM(C69:C73)</f>
        <v>1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1:5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1:5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 spans="1:5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 spans="1:5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 spans="1:5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 spans="1:5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 spans="1:5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 spans="1:5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 spans="1:5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 spans="1:5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 spans="1:5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 spans="1:5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 spans="1:5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 spans="1:5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 spans="1:5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 spans="1:5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 spans="1:5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 spans="1:5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 spans="1:5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 spans="1:5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 spans="1:5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 spans="1:5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 spans="1:5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 spans="1:5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 spans="1:5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 spans="1:5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 spans="1:5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 spans="1:5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 spans="1:5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 spans="1:5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 spans="1:5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 spans="1:5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 spans="1:5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 spans="1:5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 spans="1:5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 spans="1:5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 spans="1:5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 spans="1:5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 spans="1:5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 spans="1:5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 spans="1:5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 spans="1:5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 spans="1:5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 spans="1:5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 spans="1:5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 spans="1:5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 spans="1:5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 spans="1:5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 spans="1:5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 spans="1:5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 spans="1:5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 spans="1:5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 spans="1:5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 spans="1: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 spans="1:5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 spans="1:5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 spans="1:5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 spans="1:5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 spans="1:5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 spans="1:5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 spans="1:5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 spans="1:5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 spans="1:5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 spans="1:5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 spans="1:5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 spans="1:5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 spans="1:5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 spans="1:5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 spans="1:5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 spans="1:5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 spans="1:5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 spans="1:5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 spans="1:5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 spans="1:5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 spans="1:5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 spans="1:5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 spans="1:5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 spans="1:5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 spans="1:5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 spans="1:5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 spans="1:5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 spans="1:5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 spans="1:5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 spans="1:5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 spans="1:5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 spans="1:5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 spans="1:5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 spans="1:5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 spans="1:5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 spans="1:5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 spans="1:5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 spans="1:5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 spans="1:5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 spans="1:5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 spans="1:5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 spans="1:5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 spans="1:5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 spans="1:5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 spans="1:5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 spans="1:5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 spans="1:5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 spans="1:5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 spans="1:5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 spans="1:5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 spans="1:5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 spans="1:5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 spans="1:5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 spans="1:5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 spans="1:5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 spans="1:5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 spans="1:5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 spans="1:5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 spans="1:5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 spans="1:5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 spans="1:5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 spans="1:5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 spans="1:5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 spans="1:5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 spans="1:5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 spans="1:5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 spans="1:5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 spans="1:5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 spans="1:5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 spans="1:5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 spans="1:5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 spans="1:5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 spans="1:5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 spans="1:5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 spans="1:5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 spans="1:5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 spans="1:5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 spans="1:5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 spans="1:5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 spans="1:5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 spans="1:5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 spans="1:5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 spans="1:5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 spans="1:5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 spans="1:5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 spans="1:5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 spans="1:5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 spans="1:5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 spans="1:5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 spans="1:5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 spans="1:5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 spans="1:5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 spans="1:5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 spans="1:5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 spans="1:5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 spans="1:5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 spans="1:5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 spans="1:5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 spans="1:5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 spans="1: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 spans="1:5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 spans="1:5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 spans="1:5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 spans="1:5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 spans="1:5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 spans="1:5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 spans="1:5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 spans="1:5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 spans="1:5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 spans="1:5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 spans="1:5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 spans="1:5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 spans="1:5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 spans="1:5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 spans="1:5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 spans="1:5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 spans="1:5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 spans="1:5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 spans="1:5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 spans="1:5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 spans="1:5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 spans="1:5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 spans="1:5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 spans="1:5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 spans="1:5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 spans="1:5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 spans="1:5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 spans="1:5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 spans="1:5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 spans="1:5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 spans="1:5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 spans="1:5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 spans="1:5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 spans="1:5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 spans="1:5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 spans="1:5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 spans="1:5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 spans="1:5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 spans="1:5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 spans="1:5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 spans="1:5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 spans="1:5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 spans="1:5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 spans="1:5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 spans="1:5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 spans="1:5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 spans="1:5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 spans="1:5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 spans="1:5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 spans="1:5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 spans="1:5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 spans="1:5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 spans="1:5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 spans="1:5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 spans="1:5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 spans="1:5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 spans="1:5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 spans="1:5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 spans="1:5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 spans="1:5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 spans="1:5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 spans="1:5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 spans="1:5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 spans="1:5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 spans="1:5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 spans="1:5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 spans="1:5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 spans="1:5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 spans="1:5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 spans="1:5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 spans="1:5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 spans="1:5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 spans="1:5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 spans="1:5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 spans="1:5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 spans="1:5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 spans="1:5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 spans="1:5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 spans="1:5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 spans="1:5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 spans="1:5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 spans="1:5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 spans="1:5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 spans="1:5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 spans="1:5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 spans="1:5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 spans="1:5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 spans="1:5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 spans="1:5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 spans="1:5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 spans="1:5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 spans="1:5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 spans="1:5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 spans="1:5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 spans="1:5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 spans="1:5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 spans="1:5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 spans="1:5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 spans="1:5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 spans="1: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 spans="1:5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 spans="1:5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 spans="1:5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 spans="1:5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 spans="1:5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 spans="1:5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 spans="1:5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 spans="1:5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 spans="1:5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 spans="1:5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 spans="1:5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 spans="1:5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 spans="1:5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 spans="1:5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 spans="1:5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 spans="1:5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 spans="1:5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 spans="1:5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 spans="1:5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 spans="1:5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 spans="1:5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 spans="1:5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 spans="1:5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 spans="1:5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 spans="1:5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 spans="1:5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 spans="1:5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 spans="1:5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 spans="1:5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 spans="1:5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 spans="1:5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 spans="1:5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 spans="1:5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 spans="1:5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 spans="1:5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 spans="1:5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 spans="1:5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 spans="1:5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 spans="1:5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 spans="1:5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 spans="1:5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 spans="1:5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 spans="1:5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 spans="1:5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 spans="1:5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 spans="1:5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 spans="1:5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 spans="1:5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 spans="1:5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 spans="1:5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 spans="1:5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 spans="1:5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 spans="1:5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 spans="1:5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 spans="1:5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 spans="1:5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 spans="1:5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 spans="1:5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 spans="1:5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 spans="1:5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 spans="1:5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 spans="1:5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 spans="1:5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 spans="1:5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 spans="1:5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 spans="1:5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 spans="1:5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 spans="1:5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 spans="1:5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 spans="1:5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 spans="1:5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 spans="1:5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 spans="1:5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 spans="1:5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 spans="1:5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 spans="1:5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 spans="1:5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 spans="1:5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 spans="1:5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 spans="1:5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 spans="1:5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 spans="1:5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 spans="1:5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 spans="1:5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 spans="1:5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 spans="1:5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 spans="1:5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 spans="1:5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 spans="1:5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 spans="1:5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 spans="1:5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 spans="1:5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 spans="1:5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 spans="1:5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 spans="1:5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 spans="1:5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 spans="1:5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 spans="1:5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 spans="1:5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 spans="1: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 spans="1:5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 spans="1:5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 spans="1:5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 spans="1:5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 spans="1:5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 spans="1:5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 spans="1:5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 spans="1:5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 spans="1:5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 spans="1:5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 spans="1:5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 spans="1:5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 spans="1:5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 spans="1:5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 spans="1:5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 spans="1:5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 spans="1:5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 spans="1:5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 spans="1:5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 spans="1:5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 spans="1:5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 spans="1:5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 spans="1:5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 spans="1:5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 spans="1:5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 spans="1:5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 spans="1:5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 spans="1:5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 spans="1:5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 spans="1:5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 spans="1:5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 spans="1:5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 spans="1:5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 spans="1:5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 spans="1:5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 spans="1:5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 spans="1:5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 spans="1:5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 spans="1:5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 spans="1:5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 spans="1:5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 spans="1:5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 spans="1:5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 spans="1:5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 spans="1:5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 spans="1:5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 spans="1:5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 spans="1:5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 spans="1:5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 spans="1:5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 spans="1:5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 spans="1:5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 spans="1:5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 spans="1:5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 spans="1:5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 spans="1:5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 spans="1:5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 spans="1:5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 spans="1:5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 spans="1:5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 spans="1:5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 spans="1:5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 spans="1:5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 spans="1:5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 spans="1:5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 spans="1:5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 spans="1:5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 spans="1:5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 spans="1:5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 spans="1:5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 spans="1:5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 spans="1:5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 spans="1:5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 spans="1:5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 spans="1:5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 spans="1:5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 spans="1:5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 spans="1:5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 spans="1:5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 spans="1:5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 spans="1:5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 spans="1:5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 spans="1:5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 spans="1:5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 spans="1:5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 spans="1:5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 spans="1:5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 spans="1:5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 spans="1:5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 spans="1:5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 spans="1:5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 spans="1:5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 spans="1:5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 spans="1:5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 spans="1:5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 spans="1:5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 spans="1:5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 spans="1:5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 spans="1:5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 spans="1: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 spans="1:5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 spans="1:5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 spans="1:5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 spans="1:5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 spans="1:5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 spans="1:5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 spans="1:5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 spans="1:5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 spans="1:5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 spans="1:5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 spans="1:5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 spans="1:5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 spans="1:5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 spans="1:5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 spans="1:5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 spans="1:5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 spans="1:5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 spans="1:5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 spans="1:5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 spans="1:5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 spans="1:5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 spans="1:5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 spans="1:5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 spans="1:5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 spans="1:5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 spans="1:5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 spans="1:5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 spans="1:5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 spans="1:5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 spans="1:5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 spans="1:5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 spans="1:5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 spans="1:5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 spans="1:5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 spans="1:5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 spans="1:5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 spans="1:5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  <row r="990" spans="1:5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</row>
    <row r="991" spans="1:5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</row>
    <row r="992" spans="1:5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</row>
    <row r="993" spans="1:5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</row>
    <row r="994" spans="1:5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</row>
    <row r="995" spans="1:5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</row>
    <row r="996" spans="1:5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</row>
    <row r="997" spans="1:5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</row>
    <row r="998" spans="1:5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</row>
    <row r="999" spans="1:5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</row>
    <row r="1000" spans="1:5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</row>
  </sheetData>
  <mergeCells count="2">
    <mergeCell ref="A1:K1"/>
    <mergeCell ref="A67:F67"/>
  </mergeCells>
  <conditionalFormatting sqref="F71">
    <cfRule type="expression" dxfId="11" priority="2">
      <formula>ABS(F71)&gt;1</formula>
    </cfRule>
  </conditionalFormatting>
  <conditionalFormatting sqref="J4:J63">
    <cfRule type="expression" dxfId="10" priority="1">
      <formula>J4="Escalate"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Z1000"/>
  <sheetViews>
    <sheetView workbookViewId="0">
      <selection sqref="A1:I1"/>
    </sheetView>
  </sheetViews>
  <sheetFormatPr baseColWidth="10" defaultColWidth="8.83203125" defaultRowHeight="15"/>
  <cols>
    <col min="1" max="1" width="13" customWidth="1"/>
    <col min="2" max="2" width="28" customWidth="1"/>
    <col min="3" max="4" width="15" customWidth="1"/>
    <col min="5" max="5" width="17" customWidth="1"/>
    <col min="6" max="6" width="14" customWidth="1"/>
    <col min="7" max="7" width="13" customWidth="1"/>
    <col min="8" max="8" width="17" customWidth="1"/>
    <col min="9" max="9" width="24" customWidth="1"/>
  </cols>
  <sheetData>
    <row r="1" spans="1:52" ht="37.25" customHeight="1">
      <c r="A1" s="35" t="s">
        <v>1108</v>
      </c>
      <c r="B1" s="35"/>
      <c r="C1" s="35"/>
      <c r="D1" s="35"/>
      <c r="E1" s="35"/>
      <c r="F1" s="35"/>
      <c r="G1" s="35"/>
      <c r="H1" s="35"/>
      <c r="I1" s="35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16">
      <c r="A3" s="9" t="s">
        <v>1000</v>
      </c>
      <c r="B3" s="9" t="s">
        <v>1109</v>
      </c>
      <c r="C3" s="9" t="s">
        <v>1002</v>
      </c>
      <c r="D3" s="9" t="s">
        <v>1003</v>
      </c>
      <c r="E3" s="9" t="s">
        <v>1004</v>
      </c>
      <c r="F3" s="9" t="s">
        <v>1005</v>
      </c>
      <c r="G3" s="9" t="s">
        <v>1006</v>
      </c>
      <c r="H3" s="9" t="s">
        <v>1110</v>
      </c>
      <c r="I3" s="9" t="s">
        <v>21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>
      <c r="A4" s="8" t="s">
        <v>1111</v>
      </c>
      <c r="B4" s="8" t="s">
        <v>1112</v>
      </c>
      <c r="C4" s="13">
        <v>46245</v>
      </c>
      <c r="D4" s="13">
        <v>46275</v>
      </c>
      <c r="E4" s="10">
        <v>50864.074621437438</v>
      </c>
      <c r="F4" s="8">
        <f t="shared" ref="F4:F35" si="0">DATE(2026,9,30)-D4</f>
        <v>20</v>
      </c>
      <c r="G4" s="8" t="str">
        <f t="shared" ref="G4:G35" si="1">IF(F4&lt;=0,"Current",IF(F4&lt;=30,"1-30",IF(F4&lt;=60,"31-60",IF(F4&lt;=90,"61-90","90+"))))</f>
        <v>1-30</v>
      </c>
      <c r="H4" s="8" t="str">
        <f t="shared" ref="H4:H35" si="2">IF(F4&gt;60,"Urgent",IF(F4&gt;30,"Schedule","Routine"))</f>
        <v>Routine</v>
      </c>
      <c r="I4" s="8" t="s">
        <v>1113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>
      <c r="A5" s="8" t="s">
        <v>1114</v>
      </c>
      <c r="B5" s="8" t="s">
        <v>1115</v>
      </c>
      <c r="C5" s="13">
        <v>46278</v>
      </c>
      <c r="D5" s="13">
        <v>46308</v>
      </c>
      <c r="E5" s="10">
        <v>38483.993946685689</v>
      </c>
      <c r="F5" s="8">
        <f t="shared" si="0"/>
        <v>-13</v>
      </c>
      <c r="G5" s="8" t="str">
        <f t="shared" si="1"/>
        <v>Current</v>
      </c>
      <c r="H5" s="8" t="str">
        <f t="shared" si="2"/>
        <v>Routine</v>
      </c>
      <c r="I5" s="8" t="s">
        <v>1113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>
      <c r="A6" s="8" t="s">
        <v>1116</v>
      </c>
      <c r="B6" s="8" t="s">
        <v>1117</v>
      </c>
      <c r="C6" s="13">
        <v>46270</v>
      </c>
      <c r="D6" s="13">
        <v>46300</v>
      </c>
      <c r="E6" s="10">
        <v>15438.229134904625</v>
      </c>
      <c r="F6" s="8">
        <f t="shared" si="0"/>
        <v>-5</v>
      </c>
      <c r="G6" s="8" t="str">
        <f t="shared" si="1"/>
        <v>Current</v>
      </c>
      <c r="H6" s="8" t="str">
        <f t="shared" si="2"/>
        <v>Routine</v>
      </c>
      <c r="I6" s="8" t="s">
        <v>1113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>
      <c r="A7" s="8" t="s">
        <v>1118</v>
      </c>
      <c r="B7" s="8" t="s">
        <v>1119</v>
      </c>
      <c r="C7" s="13">
        <v>46286</v>
      </c>
      <c r="D7" s="13">
        <v>46316</v>
      </c>
      <c r="E7" s="10">
        <v>46383.742240429783</v>
      </c>
      <c r="F7" s="8">
        <f t="shared" si="0"/>
        <v>-21</v>
      </c>
      <c r="G7" s="8" t="str">
        <f t="shared" si="1"/>
        <v>Current</v>
      </c>
      <c r="H7" s="8" t="str">
        <f t="shared" si="2"/>
        <v>Routine</v>
      </c>
      <c r="I7" s="8" t="s">
        <v>1113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>
      <c r="A8" s="8" t="s">
        <v>1120</v>
      </c>
      <c r="B8" s="8" t="s">
        <v>1121</v>
      </c>
      <c r="C8" s="13">
        <v>46289</v>
      </c>
      <c r="D8" s="13">
        <v>46319</v>
      </c>
      <c r="E8" s="10">
        <v>12797.56762289389</v>
      </c>
      <c r="F8" s="8">
        <f t="shared" si="0"/>
        <v>-24</v>
      </c>
      <c r="G8" s="8" t="str">
        <f t="shared" si="1"/>
        <v>Current</v>
      </c>
      <c r="H8" s="8" t="str">
        <f t="shared" si="2"/>
        <v>Routine</v>
      </c>
      <c r="I8" s="8" t="s">
        <v>1113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>
      <c r="A9" s="8" t="s">
        <v>1122</v>
      </c>
      <c r="B9" s="8" t="s">
        <v>1123</v>
      </c>
      <c r="C9" s="13">
        <v>46272</v>
      </c>
      <c r="D9" s="13">
        <v>46302</v>
      </c>
      <c r="E9" s="10">
        <v>39524.21152852325</v>
      </c>
      <c r="F9" s="8">
        <f t="shared" si="0"/>
        <v>-7</v>
      </c>
      <c r="G9" s="8" t="str">
        <f t="shared" si="1"/>
        <v>Current</v>
      </c>
      <c r="H9" s="8" t="str">
        <f t="shared" si="2"/>
        <v>Routine</v>
      </c>
      <c r="I9" s="8" t="s">
        <v>1113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>
      <c r="A10" s="8" t="s">
        <v>1124</v>
      </c>
      <c r="B10" s="8" t="s">
        <v>1125</v>
      </c>
      <c r="C10" s="13">
        <v>46281</v>
      </c>
      <c r="D10" s="13">
        <v>46311</v>
      </c>
      <c r="E10" s="10">
        <v>13784.845420866897</v>
      </c>
      <c r="F10" s="8">
        <f t="shared" si="0"/>
        <v>-16</v>
      </c>
      <c r="G10" s="8" t="str">
        <f t="shared" si="1"/>
        <v>Current</v>
      </c>
      <c r="H10" s="8" t="str">
        <f t="shared" si="2"/>
        <v>Routine</v>
      </c>
      <c r="I10" s="8" t="s">
        <v>1113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>
      <c r="A11" s="8" t="s">
        <v>1126</v>
      </c>
      <c r="B11" s="8" t="s">
        <v>1127</v>
      </c>
      <c r="C11" s="13">
        <v>46275</v>
      </c>
      <c r="D11" s="13">
        <v>46305</v>
      </c>
      <c r="E11" s="10">
        <v>26360.362945278324</v>
      </c>
      <c r="F11" s="8">
        <f t="shared" si="0"/>
        <v>-10</v>
      </c>
      <c r="G11" s="8" t="str">
        <f t="shared" si="1"/>
        <v>Current</v>
      </c>
      <c r="H11" s="8" t="str">
        <f t="shared" si="2"/>
        <v>Routine</v>
      </c>
      <c r="I11" s="8" t="s">
        <v>1113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>
      <c r="A12" s="8" t="s">
        <v>1128</v>
      </c>
      <c r="B12" s="8" t="s">
        <v>1129</v>
      </c>
      <c r="C12" s="13">
        <v>46275</v>
      </c>
      <c r="D12" s="13">
        <v>46305</v>
      </c>
      <c r="E12" s="10">
        <v>46928.262818207011</v>
      </c>
      <c r="F12" s="8">
        <f t="shared" si="0"/>
        <v>-10</v>
      </c>
      <c r="G12" s="8" t="str">
        <f t="shared" si="1"/>
        <v>Current</v>
      </c>
      <c r="H12" s="8" t="str">
        <f t="shared" si="2"/>
        <v>Routine</v>
      </c>
      <c r="I12" s="8" t="s">
        <v>1113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>
      <c r="A13" s="8" t="s">
        <v>1130</v>
      </c>
      <c r="B13" s="8" t="s">
        <v>1131</v>
      </c>
      <c r="C13" s="13">
        <v>46197</v>
      </c>
      <c r="D13" s="13">
        <v>46227</v>
      </c>
      <c r="E13" s="10">
        <v>49684.766477021461</v>
      </c>
      <c r="F13" s="8">
        <f t="shared" si="0"/>
        <v>68</v>
      </c>
      <c r="G13" s="8" t="str">
        <f t="shared" si="1"/>
        <v>61-90</v>
      </c>
      <c r="H13" s="8" t="str">
        <f t="shared" si="2"/>
        <v>Urgent</v>
      </c>
      <c r="I13" s="8" t="s">
        <v>1113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>
      <c r="A14" s="8" t="s">
        <v>1132</v>
      </c>
      <c r="B14" s="8" t="s">
        <v>1131</v>
      </c>
      <c r="C14" s="13">
        <v>46240</v>
      </c>
      <c r="D14" s="13">
        <v>46270</v>
      </c>
      <c r="E14" s="10">
        <v>51396.929876952607</v>
      </c>
      <c r="F14" s="8">
        <f t="shared" si="0"/>
        <v>25</v>
      </c>
      <c r="G14" s="8" t="str">
        <f t="shared" si="1"/>
        <v>1-30</v>
      </c>
      <c r="H14" s="8" t="str">
        <f t="shared" si="2"/>
        <v>Routine</v>
      </c>
      <c r="I14" s="8" t="s">
        <v>1113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>
      <c r="A15" s="8" t="s">
        <v>1133</v>
      </c>
      <c r="B15" s="8" t="s">
        <v>1129</v>
      </c>
      <c r="C15" s="13">
        <v>46290</v>
      </c>
      <c r="D15" s="13">
        <v>46320</v>
      </c>
      <c r="E15" s="10">
        <v>48759.030039752703</v>
      </c>
      <c r="F15" s="8">
        <f t="shared" si="0"/>
        <v>-25</v>
      </c>
      <c r="G15" s="8" t="str">
        <f t="shared" si="1"/>
        <v>Current</v>
      </c>
      <c r="H15" s="8" t="str">
        <f t="shared" si="2"/>
        <v>Routine</v>
      </c>
      <c r="I15" s="8" t="s">
        <v>1113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>
      <c r="A16" s="8" t="s">
        <v>1134</v>
      </c>
      <c r="B16" s="8" t="s">
        <v>1115</v>
      </c>
      <c r="C16" s="13">
        <v>46178</v>
      </c>
      <c r="D16" s="13">
        <v>46208</v>
      </c>
      <c r="E16" s="10">
        <v>48362.413443368656</v>
      </c>
      <c r="F16" s="8">
        <f t="shared" si="0"/>
        <v>87</v>
      </c>
      <c r="G16" s="8" t="str">
        <f t="shared" si="1"/>
        <v>61-90</v>
      </c>
      <c r="H16" s="8" t="str">
        <f t="shared" si="2"/>
        <v>Urgent</v>
      </c>
      <c r="I16" s="8" t="s">
        <v>1113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>
      <c r="A17" s="8" t="s">
        <v>1135</v>
      </c>
      <c r="B17" s="8" t="s">
        <v>1129</v>
      </c>
      <c r="C17" s="13">
        <v>46243</v>
      </c>
      <c r="D17" s="13">
        <v>46273</v>
      </c>
      <c r="E17" s="10">
        <v>14038.764020677741</v>
      </c>
      <c r="F17" s="8">
        <f t="shared" si="0"/>
        <v>22</v>
      </c>
      <c r="G17" s="8" t="str">
        <f t="shared" si="1"/>
        <v>1-30</v>
      </c>
      <c r="H17" s="8" t="str">
        <f t="shared" si="2"/>
        <v>Routine</v>
      </c>
      <c r="I17" s="8" t="s">
        <v>1113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>
      <c r="A18" s="8" t="s">
        <v>1136</v>
      </c>
      <c r="B18" s="8" t="s">
        <v>1137</v>
      </c>
      <c r="C18" s="13">
        <v>46288</v>
      </c>
      <c r="D18" s="13">
        <v>46318</v>
      </c>
      <c r="E18" s="10">
        <v>36970.691658336502</v>
      </c>
      <c r="F18" s="8">
        <f t="shared" si="0"/>
        <v>-23</v>
      </c>
      <c r="G18" s="8" t="str">
        <f t="shared" si="1"/>
        <v>Current</v>
      </c>
      <c r="H18" s="8" t="str">
        <f t="shared" si="2"/>
        <v>Routine</v>
      </c>
      <c r="I18" s="8" t="s">
        <v>1113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>
      <c r="A19" s="8" t="s">
        <v>1138</v>
      </c>
      <c r="B19" s="8" t="s">
        <v>1121</v>
      </c>
      <c r="C19" s="13">
        <v>46221</v>
      </c>
      <c r="D19" s="13">
        <v>46251</v>
      </c>
      <c r="E19" s="10">
        <v>27825.620305018339</v>
      </c>
      <c r="F19" s="8">
        <f t="shared" si="0"/>
        <v>44</v>
      </c>
      <c r="G19" s="8" t="str">
        <f t="shared" si="1"/>
        <v>31-60</v>
      </c>
      <c r="H19" s="8" t="str">
        <f t="shared" si="2"/>
        <v>Schedule</v>
      </c>
      <c r="I19" s="8" t="s">
        <v>1113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>
      <c r="A20" s="8" t="s">
        <v>1139</v>
      </c>
      <c r="B20" s="8" t="s">
        <v>1123</v>
      </c>
      <c r="C20" s="13">
        <v>46285</v>
      </c>
      <c r="D20" s="13">
        <v>46315</v>
      </c>
      <c r="E20" s="10">
        <v>11092.95707076968</v>
      </c>
      <c r="F20" s="8">
        <f t="shared" si="0"/>
        <v>-20</v>
      </c>
      <c r="G20" s="8" t="str">
        <f t="shared" si="1"/>
        <v>Current</v>
      </c>
      <c r="H20" s="8" t="str">
        <f t="shared" si="2"/>
        <v>Routine</v>
      </c>
      <c r="I20" s="8" t="s">
        <v>1113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>
      <c r="A21" s="8" t="s">
        <v>1140</v>
      </c>
      <c r="B21" s="8" t="s">
        <v>1141</v>
      </c>
      <c r="C21" s="13">
        <v>46204</v>
      </c>
      <c r="D21" s="13">
        <v>46234</v>
      </c>
      <c r="E21" s="10">
        <v>30380.022846808653</v>
      </c>
      <c r="F21" s="8">
        <f t="shared" si="0"/>
        <v>61</v>
      </c>
      <c r="G21" s="8" t="str">
        <f t="shared" si="1"/>
        <v>61-90</v>
      </c>
      <c r="H21" s="8" t="str">
        <f t="shared" si="2"/>
        <v>Urgent</v>
      </c>
      <c r="I21" s="8" t="s">
        <v>1113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>
      <c r="A22" s="8" t="s">
        <v>1142</v>
      </c>
      <c r="B22" s="8" t="s">
        <v>1115</v>
      </c>
      <c r="C22" s="13">
        <v>46257</v>
      </c>
      <c r="D22" s="13">
        <v>46287</v>
      </c>
      <c r="E22" s="10">
        <v>41623.703296202206</v>
      </c>
      <c r="F22" s="8">
        <f t="shared" si="0"/>
        <v>8</v>
      </c>
      <c r="G22" s="8" t="str">
        <f t="shared" si="1"/>
        <v>1-30</v>
      </c>
      <c r="H22" s="8" t="str">
        <f t="shared" si="2"/>
        <v>Routine</v>
      </c>
      <c r="I22" s="8" t="s">
        <v>1113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>
      <c r="A23" s="8" t="s">
        <v>1143</v>
      </c>
      <c r="B23" s="8" t="s">
        <v>1144</v>
      </c>
      <c r="C23" s="13">
        <v>46285</v>
      </c>
      <c r="D23" s="13">
        <v>46315</v>
      </c>
      <c r="E23" s="10">
        <v>10344.411763094236</v>
      </c>
      <c r="F23" s="8">
        <f t="shared" si="0"/>
        <v>-20</v>
      </c>
      <c r="G23" s="8" t="str">
        <f t="shared" si="1"/>
        <v>Current</v>
      </c>
      <c r="H23" s="8" t="str">
        <f t="shared" si="2"/>
        <v>Routine</v>
      </c>
      <c r="I23" s="8" t="s">
        <v>1113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>
      <c r="A24" s="8" t="s">
        <v>1145</v>
      </c>
      <c r="B24" s="8" t="s">
        <v>1137</v>
      </c>
      <c r="C24" s="13">
        <v>46277</v>
      </c>
      <c r="D24" s="13">
        <v>46307</v>
      </c>
      <c r="E24" s="10">
        <v>17767.314922126709</v>
      </c>
      <c r="F24" s="8">
        <f t="shared" si="0"/>
        <v>-12</v>
      </c>
      <c r="G24" s="8" t="str">
        <f t="shared" si="1"/>
        <v>Current</v>
      </c>
      <c r="H24" s="8" t="str">
        <f t="shared" si="2"/>
        <v>Routine</v>
      </c>
      <c r="I24" s="8" t="s">
        <v>1113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>
      <c r="A25" s="8" t="s">
        <v>1146</v>
      </c>
      <c r="B25" s="8" t="s">
        <v>1144</v>
      </c>
      <c r="C25" s="13">
        <v>46136</v>
      </c>
      <c r="D25" s="13">
        <v>46166</v>
      </c>
      <c r="E25" s="10">
        <v>32131.271117178927</v>
      </c>
      <c r="F25" s="8">
        <f t="shared" si="0"/>
        <v>129</v>
      </c>
      <c r="G25" s="8" t="str">
        <f t="shared" si="1"/>
        <v>90+</v>
      </c>
      <c r="H25" s="8" t="str">
        <f t="shared" si="2"/>
        <v>Urgent</v>
      </c>
      <c r="I25" s="8" t="s">
        <v>1113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>
      <c r="A26" s="8" t="s">
        <v>1147</v>
      </c>
      <c r="B26" s="8" t="s">
        <v>1121</v>
      </c>
      <c r="C26" s="13">
        <v>46231</v>
      </c>
      <c r="D26" s="13">
        <v>46261</v>
      </c>
      <c r="E26" s="10">
        <v>43321.089324840897</v>
      </c>
      <c r="F26" s="8">
        <f t="shared" si="0"/>
        <v>34</v>
      </c>
      <c r="G26" s="8" t="str">
        <f t="shared" si="1"/>
        <v>31-60</v>
      </c>
      <c r="H26" s="8" t="str">
        <f t="shared" si="2"/>
        <v>Schedule</v>
      </c>
      <c r="I26" s="8" t="s">
        <v>1113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>
      <c r="A27" s="8" t="s">
        <v>1148</v>
      </c>
      <c r="B27" s="8" t="s">
        <v>1117</v>
      </c>
      <c r="C27" s="13">
        <v>46273</v>
      </c>
      <c r="D27" s="13">
        <v>46303</v>
      </c>
      <c r="E27" s="10">
        <v>27861.047409351773</v>
      </c>
      <c r="F27" s="8">
        <f t="shared" si="0"/>
        <v>-8</v>
      </c>
      <c r="G27" s="8" t="str">
        <f t="shared" si="1"/>
        <v>Current</v>
      </c>
      <c r="H27" s="8" t="str">
        <f t="shared" si="2"/>
        <v>Routine</v>
      </c>
      <c r="I27" s="8" t="s">
        <v>1113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>
      <c r="A28" s="8" t="s">
        <v>1149</v>
      </c>
      <c r="B28" s="8" t="s">
        <v>1127</v>
      </c>
      <c r="C28" s="13">
        <v>46274</v>
      </c>
      <c r="D28" s="13">
        <v>46304</v>
      </c>
      <c r="E28" s="10">
        <v>21062.313792904279</v>
      </c>
      <c r="F28" s="8">
        <f t="shared" si="0"/>
        <v>-9</v>
      </c>
      <c r="G28" s="8" t="str">
        <f t="shared" si="1"/>
        <v>Current</v>
      </c>
      <c r="H28" s="8" t="str">
        <f t="shared" si="2"/>
        <v>Routine</v>
      </c>
      <c r="I28" s="8" t="s">
        <v>1113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>
      <c r="A29" s="8" t="s">
        <v>1150</v>
      </c>
      <c r="B29" s="8" t="s">
        <v>1151</v>
      </c>
      <c r="C29" s="13">
        <v>46243</v>
      </c>
      <c r="D29" s="13">
        <v>46273</v>
      </c>
      <c r="E29" s="10">
        <v>50340.817252778994</v>
      </c>
      <c r="F29" s="8">
        <f t="shared" si="0"/>
        <v>22</v>
      </c>
      <c r="G29" s="8" t="str">
        <f t="shared" si="1"/>
        <v>1-30</v>
      </c>
      <c r="H29" s="8" t="str">
        <f t="shared" si="2"/>
        <v>Routine</v>
      </c>
      <c r="I29" s="8" t="s">
        <v>1113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>
      <c r="A30" s="8" t="s">
        <v>1152</v>
      </c>
      <c r="B30" s="8" t="s">
        <v>1153</v>
      </c>
      <c r="C30" s="13">
        <v>46232</v>
      </c>
      <c r="D30" s="13">
        <v>46262</v>
      </c>
      <c r="E30" s="10">
        <v>31720.250182722506</v>
      </c>
      <c r="F30" s="8">
        <f t="shared" si="0"/>
        <v>33</v>
      </c>
      <c r="G30" s="8" t="str">
        <f t="shared" si="1"/>
        <v>31-60</v>
      </c>
      <c r="H30" s="8" t="str">
        <f t="shared" si="2"/>
        <v>Schedule</v>
      </c>
      <c r="I30" s="8" t="s">
        <v>1113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>
      <c r="A31" s="8" t="s">
        <v>1154</v>
      </c>
      <c r="B31" s="8" t="s">
        <v>1155</v>
      </c>
      <c r="C31" s="13">
        <v>46274</v>
      </c>
      <c r="D31" s="13">
        <v>46304</v>
      </c>
      <c r="E31" s="10">
        <v>46754.229361042817</v>
      </c>
      <c r="F31" s="8">
        <f t="shared" si="0"/>
        <v>-9</v>
      </c>
      <c r="G31" s="8" t="str">
        <f t="shared" si="1"/>
        <v>Current</v>
      </c>
      <c r="H31" s="8" t="str">
        <f t="shared" si="2"/>
        <v>Routine</v>
      </c>
      <c r="I31" s="8" t="s">
        <v>1113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>
      <c r="A32" s="8" t="s">
        <v>1156</v>
      </c>
      <c r="B32" s="8" t="s">
        <v>1119</v>
      </c>
      <c r="C32" s="13">
        <v>46170</v>
      </c>
      <c r="D32" s="13">
        <v>46200</v>
      </c>
      <c r="E32" s="10">
        <v>27737.25900724599</v>
      </c>
      <c r="F32" s="8">
        <f t="shared" si="0"/>
        <v>95</v>
      </c>
      <c r="G32" s="8" t="str">
        <f t="shared" si="1"/>
        <v>90+</v>
      </c>
      <c r="H32" s="8" t="str">
        <f t="shared" si="2"/>
        <v>Urgent</v>
      </c>
      <c r="I32" s="8" t="s">
        <v>1113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>
      <c r="A33" s="8" t="s">
        <v>1157</v>
      </c>
      <c r="B33" s="8" t="s">
        <v>1115</v>
      </c>
      <c r="C33" s="13">
        <v>46274</v>
      </c>
      <c r="D33" s="13">
        <v>46304</v>
      </c>
      <c r="E33" s="10">
        <v>31078.626475266403</v>
      </c>
      <c r="F33" s="8">
        <f t="shared" si="0"/>
        <v>-9</v>
      </c>
      <c r="G33" s="8" t="str">
        <f t="shared" si="1"/>
        <v>Current</v>
      </c>
      <c r="H33" s="8" t="str">
        <f t="shared" si="2"/>
        <v>Routine</v>
      </c>
      <c r="I33" s="8" t="s">
        <v>1113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>
      <c r="A34" s="8" t="s">
        <v>1158</v>
      </c>
      <c r="B34" s="8" t="s">
        <v>1119</v>
      </c>
      <c r="C34" s="13">
        <v>46266</v>
      </c>
      <c r="D34" s="13">
        <v>46296</v>
      </c>
      <c r="E34" s="10">
        <v>17266.353659281795</v>
      </c>
      <c r="F34" s="8">
        <f t="shared" si="0"/>
        <v>-1</v>
      </c>
      <c r="G34" s="8" t="str">
        <f t="shared" si="1"/>
        <v>Current</v>
      </c>
      <c r="H34" s="8" t="str">
        <f t="shared" si="2"/>
        <v>Routine</v>
      </c>
      <c r="I34" s="8" t="s">
        <v>1113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>
      <c r="A35" s="8" t="s">
        <v>1159</v>
      </c>
      <c r="B35" s="8" t="s">
        <v>1144</v>
      </c>
      <c r="C35" s="13">
        <v>46288</v>
      </c>
      <c r="D35" s="13">
        <v>46318</v>
      </c>
      <c r="E35" s="10">
        <v>39813.042776475755</v>
      </c>
      <c r="F35" s="8">
        <f t="shared" si="0"/>
        <v>-23</v>
      </c>
      <c r="G35" s="8" t="str">
        <f t="shared" si="1"/>
        <v>Current</v>
      </c>
      <c r="H35" s="8" t="str">
        <f t="shared" si="2"/>
        <v>Routine</v>
      </c>
      <c r="I35" s="8" t="s">
        <v>1113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>
      <c r="A36" s="8" t="s">
        <v>1160</v>
      </c>
      <c r="B36" s="8" t="s">
        <v>1127</v>
      </c>
      <c r="C36" s="13">
        <v>46254</v>
      </c>
      <c r="D36" s="13">
        <v>46284</v>
      </c>
      <c r="E36" s="10">
        <v>32541.265850235031</v>
      </c>
      <c r="F36" s="8">
        <f t="shared" ref="F36:F53" si="3">DATE(2026,9,30)-D36</f>
        <v>11</v>
      </c>
      <c r="G36" s="8" t="str">
        <f t="shared" ref="G36:G67" si="4">IF(F36&lt;=0,"Current",IF(F36&lt;=30,"1-30",IF(F36&lt;=60,"31-60",IF(F36&lt;=90,"61-90","90+"))))</f>
        <v>1-30</v>
      </c>
      <c r="H36" s="8" t="str">
        <f t="shared" ref="H36:H53" si="5">IF(F36&gt;60,"Urgent",IF(F36&gt;30,"Schedule","Routine"))</f>
        <v>Routine</v>
      </c>
      <c r="I36" s="8" t="s">
        <v>1113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>
      <c r="A37" s="8" t="s">
        <v>1161</v>
      </c>
      <c r="B37" s="8" t="s">
        <v>1117</v>
      </c>
      <c r="C37" s="13">
        <v>46246</v>
      </c>
      <c r="D37" s="13">
        <v>46276</v>
      </c>
      <c r="E37" s="10">
        <v>42341.383043828631</v>
      </c>
      <c r="F37" s="8">
        <f t="shared" si="3"/>
        <v>19</v>
      </c>
      <c r="G37" s="8" t="str">
        <f t="shared" si="4"/>
        <v>1-30</v>
      </c>
      <c r="H37" s="8" t="str">
        <f t="shared" si="5"/>
        <v>Routine</v>
      </c>
      <c r="I37" s="8" t="s">
        <v>1113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>
      <c r="A38" s="8" t="s">
        <v>1162</v>
      </c>
      <c r="B38" s="8" t="s">
        <v>1163</v>
      </c>
      <c r="C38" s="13">
        <v>46289</v>
      </c>
      <c r="D38" s="13">
        <v>46319</v>
      </c>
      <c r="E38" s="10">
        <v>22340.829730953574</v>
      </c>
      <c r="F38" s="8">
        <f t="shared" si="3"/>
        <v>-24</v>
      </c>
      <c r="G38" s="8" t="str">
        <f t="shared" si="4"/>
        <v>Current</v>
      </c>
      <c r="H38" s="8" t="str">
        <f t="shared" si="5"/>
        <v>Routine</v>
      </c>
      <c r="I38" s="8" t="s">
        <v>1113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>
      <c r="A39" s="8" t="s">
        <v>1164</v>
      </c>
      <c r="B39" s="8" t="s">
        <v>1155</v>
      </c>
      <c r="C39" s="13">
        <v>46270</v>
      </c>
      <c r="D39" s="13">
        <v>46300</v>
      </c>
      <c r="E39" s="10">
        <v>50262.079648340281</v>
      </c>
      <c r="F39" s="8">
        <f t="shared" si="3"/>
        <v>-5</v>
      </c>
      <c r="G39" s="8" t="str">
        <f t="shared" si="4"/>
        <v>Current</v>
      </c>
      <c r="H39" s="8" t="str">
        <f t="shared" si="5"/>
        <v>Routine</v>
      </c>
      <c r="I39" s="8" t="s">
        <v>1113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>
      <c r="A40" s="8" t="s">
        <v>1165</v>
      </c>
      <c r="B40" s="8" t="s">
        <v>1163</v>
      </c>
      <c r="C40" s="13">
        <v>46240</v>
      </c>
      <c r="D40" s="13">
        <v>46270</v>
      </c>
      <c r="E40" s="10">
        <v>36605.167833725827</v>
      </c>
      <c r="F40" s="8">
        <f t="shared" si="3"/>
        <v>25</v>
      </c>
      <c r="G40" s="8" t="str">
        <f t="shared" si="4"/>
        <v>1-30</v>
      </c>
      <c r="H40" s="8" t="str">
        <f t="shared" si="5"/>
        <v>Routine</v>
      </c>
      <c r="I40" s="8" t="s">
        <v>1113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>
      <c r="A41" s="8" t="s">
        <v>1166</v>
      </c>
      <c r="B41" s="8" t="s">
        <v>1167</v>
      </c>
      <c r="C41" s="13">
        <v>46273</v>
      </c>
      <c r="D41" s="13">
        <v>46303</v>
      </c>
      <c r="E41" s="10">
        <v>28116.832958340274</v>
      </c>
      <c r="F41" s="8">
        <f t="shared" si="3"/>
        <v>-8</v>
      </c>
      <c r="G41" s="8" t="str">
        <f t="shared" si="4"/>
        <v>Current</v>
      </c>
      <c r="H41" s="8" t="str">
        <f t="shared" si="5"/>
        <v>Routine</v>
      </c>
      <c r="I41" s="8" t="s">
        <v>1113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>
      <c r="A42" s="8" t="s">
        <v>1168</v>
      </c>
      <c r="B42" s="8" t="s">
        <v>1169</v>
      </c>
      <c r="C42" s="13">
        <v>46231</v>
      </c>
      <c r="D42" s="13">
        <v>46261</v>
      </c>
      <c r="E42" s="10">
        <v>29310.033004716755</v>
      </c>
      <c r="F42" s="8">
        <f t="shared" si="3"/>
        <v>34</v>
      </c>
      <c r="G42" s="8" t="str">
        <f t="shared" si="4"/>
        <v>31-60</v>
      </c>
      <c r="H42" s="8" t="str">
        <f t="shared" si="5"/>
        <v>Schedule</v>
      </c>
      <c r="I42" s="8" t="s">
        <v>1113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>
      <c r="A43" s="8" t="s">
        <v>1170</v>
      </c>
      <c r="B43" s="8" t="s">
        <v>1127</v>
      </c>
      <c r="C43" s="13">
        <v>46283</v>
      </c>
      <c r="D43" s="13">
        <v>46313</v>
      </c>
      <c r="E43" s="10">
        <v>23362.267519850255</v>
      </c>
      <c r="F43" s="8">
        <f t="shared" si="3"/>
        <v>-18</v>
      </c>
      <c r="G43" s="8" t="str">
        <f t="shared" si="4"/>
        <v>Current</v>
      </c>
      <c r="H43" s="8" t="str">
        <f t="shared" si="5"/>
        <v>Routine</v>
      </c>
      <c r="I43" s="8" t="s">
        <v>1113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>
      <c r="A44" s="8" t="s">
        <v>1171</v>
      </c>
      <c r="B44" s="8" t="s">
        <v>1127</v>
      </c>
      <c r="C44" s="13">
        <v>46242</v>
      </c>
      <c r="D44" s="13">
        <v>46272</v>
      </c>
      <c r="E44" s="10">
        <v>45420.418312472029</v>
      </c>
      <c r="F44" s="8">
        <f t="shared" si="3"/>
        <v>23</v>
      </c>
      <c r="G44" s="8" t="str">
        <f t="shared" si="4"/>
        <v>1-30</v>
      </c>
      <c r="H44" s="8" t="str">
        <f t="shared" si="5"/>
        <v>Routine</v>
      </c>
      <c r="I44" s="8" t="s">
        <v>1113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>
      <c r="A45" s="8" t="s">
        <v>1172</v>
      </c>
      <c r="B45" s="8" t="s">
        <v>1167</v>
      </c>
      <c r="C45" s="13">
        <v>46196</v>
      </c>
      <c r="D45" s="13">
        <v>46226</v>
      </c>
      <c r="E45" s="10">
        <v>17996.242900959609</v>
      </c>
      <c r="F45" s="8">
        <f t="shared" si="3"/>
        <v>69</v>
      </c>
      <c r="G45" s="8" t="str">
        <f t="shared" si="4"/>
        <v>61-90</v>
      </c>
      <c r="H45" s="8" t="str">
        <f t="shared" si="5"/>
        <v>Urgent</v>
      </c>
      <c r="I45" s="8" t="s">
        <v>1113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>
      <c r="A46" s="8" t="s">
        <v>1173</v>
      </c>
      <c r="B46" s="8" t="s">
        <v>1141</v>
      </c>
      <c r="C46" s="13">
        <v>46279</v>
      </c>
      <c r="D46" s="13">
        <v>46309</v>
      </c>
      <c r="E46" s="10">
        <v>19738.693112423403</v>
      </c>
      <c r="F46" s="8">
        <f t="shared" si="3"/>
        <v>-14</v>
      </c>
      <c r="G46" s="8" t="str">
        <f t="shared" si="4"/>
        <v>Current</v>
      </c>
      <c r="H46" s="8" t="str">
        <f t="shared" si="5"/>
        <v>Routine</v>
      </c>
      <c r="I46" s="8" t="s">
        <v>1113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>
      <c r="A47" s="8" t="s">
        <v>1174</v>
      </c>
      <c r="B47" s="8" t="s">
        <v>1163</v>
      </c>
      <c r="C47" s="13">
        <v>46284</v>
      </c>
      <c r="D47" s="13">
        <v>46314</v>
      </c>
      <c r="E47" s="10">
        <v>43729.579126868746</v>
      </c>
      <c r="F47" s="8">
        <f t="shared" si="3"/>
        <v>-19</v>
      </c>
      <c r="G47" s="8" t="str">
        <f t="shared" si="4"/>
        <v>Current</v>
      </c>
      <c r="H47" s="8" t="str">
        <f t="shared" si="5"/>
        <v>Routine</v>
      </c>
      <c r="I47" s="8" t="s">
        <v>1113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>
      <c r="A48" s="8" t="s">
        <v>1175</v>
      </c>
      <c r="B48" s="8" t="s">
        <v>1155</v>
      </c>
      <c r="C48" s="13">
        <v>46269</v>
      </c>
      <c r="D48" s="13">
        <v>46299</v>
      </c>
      <c r="E48" s="10">
        <v>49594.722577656874</v>
      </c>
      <c r="F48" s="8">
        <f t="shared" si="3"/>
        <v>-4</v>
      </c>
      <c r="G48" s="8" t="str">
        <f t="shared" si="4"/>
        <v>Current</v>
      </c>
      <c r="H48" s="8" t="str">
        <f t="shared" si="5"/>
        <v>Routine</v>
      </c>
      <c r="I48" s="8" t="s">
        <v>1113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>
      <c r="A49" s="8" t="s">
        <v>1176</v>
      </c>
      <c r="B49" s="8" t="s">
        <v>1121</v>
      </c>
      <c r="C49" s="13">
        <v>46290</v>
      </c>
      <c r="D49" s="13">
        <v>46320</v>
      </c>
      <c r="E49" s="10">
        <v>20072.826005066156</v>
      </c>
      <c r="F49" s="8">
        <f t="shared" si="3"/>
        <v>-25</v>
      </c>
      <c r="G49" s="8" t="str">
        <f t="shared" si="4"/>
        <v>Current</v>
      </c>
      <c r="H49" s="8" t="str">
        <f t="shared" si="5"/>
        <v>Routine</v>
      </c>
      <c r="I49" s="8" t="s">
        <v>1113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>
      <c r="A50" s="8" t="s">
        <v>1177</v>
      </c>
      <c r="B50" s="8" t="s">
        <v>1163</v>
      </c>
      <c r="C50" s="13">
        <v>46193</v>
      </c>
      <c r="D50" s="13">
        <v>46223</v>
      </c>
      <c r="E50" s="10">
        <v>20408.746391297056</v>
      </c>
      <c r="F50" s="8">
        <f t="shared" si="3"/>
        <v>72</v>
      </c>
      <c r="G50" s="8" t="str">
        <f t="shared" si="4"/>
        <v>61-90</v>
      </c>
      <c r="H50" s="8" t="str">
        <f t="shared" si="5"/>
        <v>Urgent</v>
      </c>
      <c r="I50" s="8" t="s">
        <v>1113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>
      <c r="A51" s="8" t="s">
        <v>1178</v>
      </c>
      <c r="B51" s="8" t="s">
        <v>1123</v>
      </c>
      <c r="C51" s="13">
        <v>46273</v>
      </c>
      <c r="D51" s="13">
        <v>46303</v>
      </c>
      <c r="E51" s="10">
        <v>30980.116009659057</v>
      </c>
      <c r="F51" s="8">
        <f t="shared" si="3"/>
        <v>-8</v>
      </c>
      <c r="G51" s="8" t="str">
        <f t="shared" si="4"/>
        <v>Current</v>
      </c>
      <c r="H51" s="8" t="str">
        <f t="shared" si="5"/>
        <v>Routine</v>
      </c>
      <c r="I51" s="8" t="s">
        <v>1113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>
      <c r="A52" s="8" t="s">
        <v>1179</v>
      </c>
      <c r="B52" s="8" t="s">
        <v>1137</v>
      </c>
      <c r="C52" s="13">
        <v>46287</v>
      </c>
      <c r="D52" s="13">
        <v>46317</v>
      </c>
      <c r="E52" s="10">
        <v>48395.134148653633</v>
      </c>
      <c r="F52" s="8">
        <f t="shared" si="3"/>
        <v>-22</v>
      </c>
      <c r="G52" s="8" t="str">
        <f t="shared" si="4"/>
        <v>Current</v>
      </c>
      <c r="H52" s="8" t="str">
        <f t="shared" si="5"/>
        <v>Routine</v>
      </c>
      <c r="I52" s="8" t="s">
        <v>1113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>
      <c r="A53" s="8" t="s">
        <v>1180</v>
      </c>
      <c r="B53" s="8" t="s">
        <v>1117</v>
      </c>
      <c r="C53" s="13">
        <v>46266</v>
      </c>
      <c r="D53" s="13">
        <v>46296</v>
      </c>
      <c r="E53" s="10">
        <v>30817.401817937305</v>
      </c>
      <c r="F53" s="8">
        <f t="shared" si="3"/>
        <v>-1</v>
      </c>
      <c r="G53" s="8" t="str">
        <f t="shared" si="4"/>
        <v>Current</v>
      </c>
      <c r="H53" s="8" t="str">
        <f t="shared" si="5"/>
        <v>Routine</v>
      </c>
      <c r="I53" s="8" t="s">
        <v>1113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 ht="26.75" customHeight="1">
      <c r="A57" s="36" t="s">
        <v>1181</v>
      </c>
      <c r="B57" s="36"/>
      <c r="C57" s="36"/>
      <c r="D57" s="36"/>
      <c r="E57" s="36"/>
      <c r="F57" s="36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 ht="16">
      <c r="A58" s="9" t="s">
        <v>1006</v>
      </c>
      <c r="B58" s="9" t="s">
        <v>1098</v>
      </c>
      <c r="C58" s="9" t="s">
        <v>1182</v>
      </c>
      <c r="D58" s="8"/>
      <c r="E58" s="9" t="s">
        <v>127</v>
      </c>
      <c r="F58" s="9" t="s">
        <v>19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>
      <c r="A59" s="8" t="s">
        <v>1100</v>
      </c>
      <c r="B59" s="10">
        <f>SUMIF(G4:G53,A59,E4:E53)</f>
        <v>915881.71724194149</v>
      </c>
      <c r="C59" s="16">
        <f>B59/$B$64</f>
        <v>0.55848763340134056</v>
      </c>
      <c r="D59" s="8"/>
      <c r="E59" s="8" t="s">
        <v>1183</v>
      </c>
      <c r="F59" s="10">
        <f>B64</f>
        <v>1639931.9563514313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>
      <c r="A60" s="8" t="s">
        <v>1102</v>
      </c>
      <c r="B60" s="10">
        <f>SUMIF(G4:G53,A60,E4:E53)</f>
        <v>365172.52410831046</v>
      </c>
      <c r="C60" s="16">
        <f>B60/$B$64</f>
        <v>0.22267541204621502</v>
      </c>
      <c r="D60" s="8"/>
      <c r="E60" s="8" t="s">
        <v>1184</v>
      </c>
      <c r="F60" s="10">
        <f>-SUMIF('Adjusted TB'!$A$4:$A$30,"2000",'Adjusted TB'!$H$4:$H$30)</f>
        <v>1639931.9563514311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>
      <c r="A61" s="8" t="s">
        <v>1104</v>
      </c>
      <c r="B61" s="10">
        <f>SUMIF(G4:G53,A61,E4:E53)</f>
        <v>132176.99281729851</v>
      </c>
      <c r="C61" s="16">
        <f>B61/$B$64</f>
        <v>8.0599071385479767E-2</v>
      </c>
      <c r="D61" s="8"/>
      <c r="E61" s="8" t="s">
        <v>998</v>
      </c>
      <c r="F61" s="10">
        <f>F59-F60</f>
        <v>0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>
      <c r="A62" s="8" t="s">
        <v>1105</v>
      </c>
      <c r="B62" s="10">
        <f>SUMIF(G4:G53,A62,E4:E53)</f>
        <v>166832.19205945544</v>
      </c>
      <c r="C62" s="16">
        <f>B62/$B$64</f>
        <v>0.10173116720685692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>
      <c r="A63" s="8" t="s">
        <v>1107</v>
      </c>
      <c r="B63" s="10">
        <f>SUMIF(G4:G53,A63,E4:E53)</f>
        <v>59868.530124424913</v>
      </c>
      <c r="C63" s="16">
        <f>B63/$B$64</f>
        <v>3.6506715960107378E-2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>
      <c r="A64" s="8" t="s">
        <v>129</v>
      </c>
      <c r="B64" s="10">
        <f>SUM(E4:E53)</f>
        <v>1639931.9563514313</v>
      </c>
      <c r="C64" s="16">
        <f>SUM(C59:C63)</f>
        <v>0.99999999999999956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1:5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1:5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 spans="1:5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 spans="1:5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 spans="1:5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 spans="1:5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 spans="1:5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 spans="1:5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 spans="1:5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 spans="1:5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 spans="1:5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 spans="1:5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 spans="1:5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 spans="1:5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 spans="1:5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 spans="1:5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 spans="1:5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 spans="1:5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 spans="1:5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 spans="1:5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 spans="1:5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 spans="1:5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 spans="1:5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 spans="1:5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 spans="1:5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 spans="1:5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 spans="1:5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 spans="1:5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 spans="1:5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 spans="1:5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 spans="1:5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 spans="1:5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 spans="1:5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 spans="1:5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 spans="1:5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 spans="1:5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 spans="1:5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 spans="1:5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 spans="1:5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 spans="1:5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 spans="1:5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 spans="1:5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 spans="1:5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 spans="1:5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 spans="1:5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 spans="1:5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 spans="1:5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 spans="1:5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 spans="1:5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 spans="1:5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 spans="1:5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 spans="1:5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 spans="1:5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 spans="1: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 spans="1:5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 spans="1:5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 spans="1:5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 spans="1:5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 spans="1:5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 spans="1:5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 spans="1:5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 spans="1:5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 spans="1:5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 spans="1:5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 spans="1:5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 spans="1:5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 spans="1:5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 spans="1:5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 spans="1:5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 spans="1:5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 spans="1:5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 spans="1:5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 spans="1:5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 spans="1:5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 spans="1:5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 spans="1:5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 spans="1:5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 spans="1:5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 spans="1:5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 spans="1:5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 spans="1:5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 spans="1:5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 spans="1:5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 spans="1:5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 spans="1:5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 spans="1:5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 spans="1:5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 spans="1:5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 spans="1:5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 spans="1:5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 spans="1:5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 spans="1:5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 spans="1:5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 spans="1:5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 spans="1:5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 spans="1:5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 spans="1:5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 spans="1:5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 spans="1:5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 spans="1:5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 spans="1:5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 spans="1:5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 spans="1:5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 spans="1:5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 spans="1:5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 spans="1:5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 spans="1:5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 spans="1:5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 spans="1:5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 spans="1:5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 spans="1:5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 spans="1:5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 spans="1:5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 spans="1:5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 spans="1:5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 spans="1:5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 spans="1:5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 spans="1:5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 spans="1:5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 spans="1:5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 spans="1:5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 spans="1:5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 spans="1:5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 spans="1:5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 spans="1:5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 spans="1:5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 spans="1:5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 spans="1:5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 spans="1:5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 spans="1:5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 spans="1:5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 spans="1:5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 spans="1:5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 spans="1:5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 spans="1:5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 spans="1:5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 spans="1:5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 spans="1:5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 spans="1:5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 spans="1:5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 spans="1:5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 spans="1:5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 spans="1:5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 spans="1:5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 spans="1:5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 spans="1:5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 spans="1:5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 spans="1:5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 spans="1:5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 spans="1:5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 spans="1:5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 spans="1:5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 spans="1:5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 spans="1: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 spans="1:5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 spans="1:5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 spans="1:5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 spans="1:5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 spans="1:5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 spans="1:5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 spans="1:5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 spans="1:5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 spans="1:5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 spans="1:5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 spans="1:5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 spans="1:5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 spans="1:5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 spans="1:5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 spans="1:5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 spans="1:5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 spans="1:5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 spans="1:5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 spans="1:5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 spans="1:5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 spans="1:5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 spans="1:5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 spans="1:5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 spans="1:5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 spans="1:5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 spans="1:5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 spans="1:5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 spans="1:5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 spans="1:5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 spans="1:5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 spans="1:5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 spans="1:5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 spans="1:5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 spans="1:5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 spans="1:5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 spans="1:5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 spans="1:5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 spans="1:5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 spans="1:5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 spans="1:5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 spans="1:5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 spans="1:5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 spans="1:5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 spans="1:5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 spans="1:5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 spans="1:5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 spans="1:5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 spans="1:5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 spans="1:5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 spans="1:5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 spans="1:5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 spans="1:5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 spans="1:5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 spans="1:5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 spans="1:5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 spans="1:5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 spans="1:5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 spans="1:5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 spans="1:5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 spans="1:5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 spans="1:5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 spans="1:5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 spans="1:5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 spans="1:5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 spans="1:5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 spans="1:5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 spans="1:5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 spans="1:5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 spans="1:5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 spans="1:5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 spans="1:5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 spans="1:5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 spans="1:5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 spans="1:5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 spans="1:5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 spans="1:5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 spans="1:5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 spans="1:5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 spans="1:5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 spans="1:5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 spans="1:5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 spans="1:5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 spans="1:5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 spans="1:5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 spans="1:5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 spans="1:5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 spans="1:5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 spans="1:5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 spans="1:5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 spans="1:5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 spans="1:5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 spans="1:5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 spans="1:5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 spans="1:5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 spans="1:5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 spans="1:5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 spans="1:5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 spans="1:5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 spans="1:5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 spans="1: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 spans="1:5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 spans="1:5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 spans="1:5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 spans="1:5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 spans="1:5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 spans="1:5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 spans="1:5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 spans="1:5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 spans="1:5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 spans="1:5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 spans="1:5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 spans="1:5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 spans="1:5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 spans="1:5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 spans="1:5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 spans="1:5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 spans="1:5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 spans="1:5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 spans="1:5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 spans="1:5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 spans="1:5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 spans="1:5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 spans="1:5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 spans="1:5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 spans="1:5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 spans="1:5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 spans="1:5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 spans="1:5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 spans="1:5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 spans="1:5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 spans="1:5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 spans="1:5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 spans="1:5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 spans="1:5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 spans="1:5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 spans="1:5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 spans="1:5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 spans="1:5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 spans="1:5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 spans="1:5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 spans="1:5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 spans="1:5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 spans="1:5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 spans="1:5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 spans="1:5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 spans="1:5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 spans="1:5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 spans="1:5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 spans="1:5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 spans="1:5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 spans="1:5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 spans="1:5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 spans="1:5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 spans="1:5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 spans="1:5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 spans="1:5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 spans="1:5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 spans="1:5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 spans="1:5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 spans="1:5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 spans="1:5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 spans="1:5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 spans="1:5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 spans="1:5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 spans="1:5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 spans="1:5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 spans="1:5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 spans="1:5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 spans="1:5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 spans="1:5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 spans="1:5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 spans="1:5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 spans="1:5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 spans="1:5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 spans="1:5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 spans="1:5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 spans="1:5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 spans="1:5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 spans="1:5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 spans="1:5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 spans="1:5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 spans="1:5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 spans="1:5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 spans="1:5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 spans="1:5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 spans="1:5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 spans="1:5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 spans="1:5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 spans="1:5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 spans="1:5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 spans="1:5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 spans="1:5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 spans="1:5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 spans="1:5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 spans="1:5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 spans="1:5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 spans="1:5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 spans="1:5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 spans="1:5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 spans="1: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 spans="1:5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 spans="1:5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 spans="1:5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 spans="1:5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 spans="1:5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 spans="1:5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 spans="1:5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 spans="1:5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 spans="1:5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 spans="1:5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 spans="1:5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 spans="1:5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 spans="1:5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 spans="1:5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 spans="1:5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 spans="1:5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 spans="1:5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 spans="1:5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 spans="1:5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 spans="1:5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 spans="1:5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 spans="1:5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 spans="1:5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 spans="1:5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 spans="1:5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 spans="1:5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 spans="1:5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 spans="1:5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 spans="1:5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 spans="1:5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 spans="1:5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 spans="1:5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 spans="1:5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 spans="1:5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 spans="1:5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 spans="1:5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 spans="1:5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 spans="1:5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 spans="1:5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 spans="1:5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 spans="1:5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 spans="1:5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 spans="1:5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 spans="1:5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 spans="1:5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 spans="1:5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 spans="1:5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 spans="1:5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 spans="1:5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 spans="1:5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 spans="1:5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 spans="1:5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 spans="1:5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 spans="1:5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 spans="1:5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 spans="1:5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 spans="1:5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 spans="1:5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 spans="1:5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 spans="1:5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 spans="1:5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 spans="1:5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 spans="1:5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 spans="1:5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 spans="1:5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 spans="1:5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 spans="1:5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 spans="1:5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 spans="1:5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 spans="1:5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 spans="1:5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 spans="1:5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 spans="1:5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 spans="1:5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 spans="1:5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 spans="1:5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 spans="1:5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 spans="1:5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 spans="1:5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 spans="1:5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 spans="1:5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 spans="1:5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 spans="1:5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 spans="1:5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 spans="1:5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 spans="1:5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 spans="1:5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 spans="1:5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 spans="1:5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 spans="1:5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 spans="1:5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 spans="1:5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 spans="1:5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 spans="1:5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 spans="1:5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 spans="1:5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 spans="1:5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 spans="1:5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 spans="1:5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 spans="1: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 spans="1:5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 spans="1:5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 spans="1:5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 spans="1:5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 spans="1:5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 spans="1:5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 spans="1:5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 spans="1:5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 spans="1:5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 spans="1:5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 spans="1:5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 spans="1:5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 spans="1:5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 spans="1:5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 spans="1:5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 spans="1:5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 spans="1:5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 spans="1:5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 spans="1:5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 spans="1:5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 spans="1:5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 spans="1:5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 spans="1:5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 spans="1:5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 spans="1:5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 spans="1:5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 spans="1:5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 spans="1:5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 spans="1:5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 spans="1:5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 spans="1:5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 spans="1:5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 spans="1:5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 spans="1:5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 spans="1:5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 spans="1:5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 spans="1:5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  <row r="990" spans="1:5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</row>
    <row r="991" spans="1:5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</row>
    <row r="992" spans="1:5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</row>
    <row r="993" spans="1:5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</row>
    <row r="994" spans="1:5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</row>
    <row r="995" spans="1:5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</row>
    <row r="996" spans="1:5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</row>
    <row r="997" spans="1:5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</row>
    <row r="998" spans="1:5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</row>
    <row r="999" spans="1:5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</row>
    <row r="1000" spans="1:5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</row>
  </sheetData>
  <mergeCells count="2">
    <mergeCell ref="A1:I1"/>
    <mergeCell ref="A57:F57"/>
  </mergeCells>
  <conditionalFormatting sqref="F61">
    <cfRule type="expression" dxfId="9" priority="2">
      <formula>ABS(F61)&gt;1</formula>
    </cfRule>
  </conditionalFormatting>
  <conditionalFormatting sqref="H4:H53">
    <cfRule type="expression" dxfId="8" priority="1">
      <formula>H4="Urgent"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Z1000"/>
  <sheetViews>
    <sheetView topLeftCell="A7" workbookViewId="0">
      <selection sqref="A1:M1"/>
    </sheetView>
  </sheetViews>
  <sheetFormatPr baseColWidth="10" defaultColWidth="8.83203125" defaultRowHeight="15"/>
  <cols>
    <col min="1" max="1" width="14" customWidth="1"/>
    <col min="2" max="3" width="16" customWidth="1"/>
    <col min="4" max="4" width="19" customWidth="1"/>
    <col min="5" max="5" width="16" customWidth="1"/>
    <col min="6" max="6" width="17" customWidth="1"/>
    <col min="7" max="7" width="12" customWidth="1"/>
    <col min="8" max="8" width="15" customWidth="1"/>
    <col min="9" max="9" width="12" customWidth="1"/>
    <col min="10" max="10" width="21" customWidth="1"/>
    <col min="11" max="11" width="20" customWidth="1"/>
    <col min="12" max="12" width="17" customWidth="1"/>
    <col min="13" max="13" width="24" customWidth="1"/>
  </cols>
  <sheetData>
    <row r="1" spans="1:52" ht="37.25" customHeight="1">
      <c r="A1" s="35" t="s">
        <v>1185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32">
      <c r="A3" s="9" t="s">
        <v>136</v>
      </c>
      <c r="B3" s="9" t="s">
        <v>1186</v>
      </c>
      <c r="C3" s="9" t="s">
        <v>1187</v>
      </c>
      <c r="D3" s="9" t="s">
        <v>1188</v>
      </c>
      <c r="E3" s="9" t="s">
        <v>1189</v>
      </c>
      <c r="F3" s="9" t="s">
        <v>1190</v>
      </c>
      <c r="G3" s="9" t="s">
        <v>1191</v>
      </c>
      <c r="H3" s="9" t="s">
        <v>1192</v>
      </c>
      <c r="I3" s="9" t="s">
        <v>1193</v>
      </c>
      <c r="J3" s="9" t="s">
        <v>1194</v>
      </c>
      <c r="K3" s="9" t="s">
        <v>1195</v>
      </c>
      <c r="L3" s="9" t="s">
        <v>1196</v>
      </c>
      <c r="M3" s="9" t="s">
        <v>1197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>
      <c r="A4" s="20">
        <v>46023</v>
      </c>
      <c r="B4" s="10">
        <f>-SUMIFS('GL Extract'!$I$4:$I$943,'GL Extract'!$C$4:$C$943,"4000",'GL Extract'!$B$4:$B$943,"&gt;="&amp;DATE(2026,1,1),'GL Extract'!$B$4:$B$943,"&lt;"&amp;DATE(2026,2,1))</f>
        <v>820000</v>
      </c>
      <c r="C4" s="10">
        <f>SUMIFS('GL Extract'!$I$4:$I$943,'GL Extract'!$C$4:$C$943,"5000",'GL Extract'!$B$4:$B$943,"&gt;="&amp;DATE(2026,1,1),'GL Extract'!$B$4:$B$943,"&lt;"&amp;DATE(2026,2,1))</f>
        <v>455099.99999999988</v>
      </c>
      <c r="D4" s="10">
        <f>1*(SUMIF('Opening TB'!$A$4:$A$30,"1100",'Opening TB'!$C$4:$C$30)+SUMIFS('GL Extract'!$I$4:$I$943,'GL Extract'!$C$4:$C$943,"1100",'GL Extract'!$B$4:$B$943,"&lt;"&amp;DATE(2026,2,1)))</f>
        <v>836899.99999999988</v>
      </c>
      <c r="E4" s="10">
        <f>1*(SUMIF('Opening TB'!$A$4:$A$30,"1200",'Opening TB'!$C$4:$C$30)+SUMIFS('GL Extract'!$I$4:$I$943,'GL Extract'!$C$4:$C$943,"1200",'GL Extract'!$B$4:$B$943,"&lt;"&amp;DATE(2026,2,1)))</f>
        <v>645449</v>
      </c>
      <c r="F4" s="10">
        <f>-1*(SUMIF('Opening TB'!$A$4:$A$30,"2000",'Opening TB'!$C$4:$C$30)+SUMIFS('GL Extract'!$I$4:$I$943,'GL Extract'!$C$4:$C$943,"2000",'GL Extract'!$B$4:$B$943,"&lt;"&amp;DATE(2026,2,1)))</f>
        <v>709934.55415331235</v>
      </c>
      <c r="G4" s="21">
        <f t="shared" ref="G4:G12" si="0">IFERROR(D4/B4*30,0)</f>
        <v>30.618292682926828</v>
      </c>
      <c r="H4" s="21">
        <f t="shared" ref="H4:H12" si="1">IFERROR(E4/C4*30,0)</f>
        <v>42.547725774555055</v>
      </c>
      <c r="I4" s="21">
        <f t="shared" ref="I4:I12" si="2">IFERROR(F4/C4*30,0)</f>
        <v>46.798586298834053</v>
      </c>
      <c r="J4" s="21">
        <f t="shared" ref="J4:J12" si="3">G4+H4-I4</f>
        <v>26.36743215864783</v>
      </c>
      <c r="K4" s="10">
        <f t="shared" ref="K4:K12" si="4">D4+E4-F4</f>
        <v>772414.44584668765</v>
      </c>
      <c r="L4" s="10" t="s">
        <v>962</v>
      </c>
      <c r="M4" s="8" t="str">
        <f t="shared" ref="M4:M12" si="5">IF(J4&gt;75,"Working capital pressure",IF(J4&lt;60,"Efficient conversion","Monitor"))</f>
        <v>Efficient conversion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>
      <c r="A5" s="20">
        <v>46054</v>
      </c>
      <c r="B5" s="10">
        <f>-SUMIFS('GL Extract'!$I$4:$I$943,'GL Extract'!$C$4:$C$943,"4000",'GL Extract'!$B$4:$B$943,"&gt;="&amp;DATE(2026,2,1),'GL Extract'!$B$4:$B$943,"&lt;"&amp;DATE(2026,3,1))</f>
        <v>844999.99999999988</v>
      </c>
      <c r="C5" s="10">
        <f>SUMIFS('GL Extract'!$I$4:$I$943,'GL Extract'!$C$4:$C$943,"5000",'GL Extract'!$B$4:$B$943,"&gt;="&amp;DATE(2026,2,1),'GL Extract'!$B$4:$B$943,"&lt;"&amp;DATE(2026,3,1))</f>
        <v>467285</v>
      </c>
      <c r="D5" s="10">
        <f>1*(SUMIF('Opening TB'!$A$4:$A$30,"1100",'Opening TB'!$C$4:$C$30)+SUMIFS('GL Extract'!$I$4:$I$943,'GL Extract'!$C$4:$C$943,"1100",'GL Extract'!$B$4:$B$943,"&lt;"&amp;DATE(2026,3,1)))</f>
        <v>877460</v>
      </c>
      <c r="E5" s="10">
        <f>1*(SUMIF('Opening TB'!$A$4:$A$30,"1200",'Opening TB'!$C$4:$C$30)+SUMIFS('GL Extract'!$I$4:$I$943,'GL Extract'!$C$4:$C$943,"1200",'GL Extract'!$B$4:$B$943,"&lt;"&amp;DATE(2026,3,1)))</f>
        <v>650121.85000000009</v>
      </c>
      <c r="F5" s="10">
        <f>-1*(SUMIF('Opening TB'!$A$4:$A$30,"2000",'Opening TB'!$C$4:$C$30)+SUMIFS('GL Extract'!$I$4:$I$943,'GL Extract'!$C$4:$C$943,"2000",'GL Extract'!$B$4:$B$943,"&lt;"&amp;DATE(2026,3,1)))</f>
        <v>825256.28343786788</v>
      </c>
      <c r="G5" s="21">
        <f t="shared" si="0"/>
        <v>31.152426035502963</v>
      </c>
      <c r="H5" s="21">
        <f t="shared" si="1"/>
        <v>41.738244326267704</v>
      </c>
      <c r="I5" s="21">
        <f t="shared" si="2"/>
        <v>52.98198851479512</v>
      </c>
      <c r="J5" s="21">
        <f t="shared" si="3"/>
        <v>19.908681846975554</v>
      </c>
      <c r="K5" s="10">
        <f t="shared" si="4"/>
        <v>702325.56656213221</v>
      </c>
      <c r="L5" s="10">
        <f t="shared" ref="L5:L12" si="6">K5-K4</f>
        <v>-70088.879284555442</v>
      </c>
      <c r="M5" s="8" t="str">
        <f t="shared" si="5"/>
        <v>Efficient conversion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>
      <c r="A6" s="20">
        <v>46082</v>
      </c>
      <c r="B6" s="10">
        <f>-SUMIFS('GL Extract'!$I$4:$I$943,'GL Extract'!$C$4:$C$943,"4000",'GL Extract'!$B$4:$B$943,"&gt;="&amp;DATE(2026,3,1),'GL Extract'!$B$4:$B$943,"&lt;"&amp;DATE(2026,4,1))</f>
        <v>875000</v>
      </c>
      <c r="C6" s="10">
        <f>SUMIFS('GL Extract'!$I$4:$I$943,'GL Extract'!$C$4:$C$943,"5000",'GL Extract'!$B$4:$B$943,"&gt;="&amp;DATE(2026,3,1),'GL Extract'!$B$4:$B$943,"&lt;"&amp;DATE(2026,4,1))</f>
        <v>483000.00000000012</v>
      </c>
      <c r="D6" s="10">
        <f>1*(SUMIF('Opening TB'!$A$4:$A$30,"1100",'Opening TB'!$C$4:$C$30)+SUMIFS('GL Extract'!$I$4:$I$943,'GL Extract'!$C$4:$C$943,"1100",'GL Extract'!$B$4:$B$943,"&lt;"&amp;DATE(2026,4,1)))</f>
        <v>914209.99999999988</v>
      </c>
      <c r="E6" s="10">
        <f>1*(SUMIF('Opening TB'!$A$4:$A$30,"1200",'Opening TB'!$C$4:$C$30)+SUMIFS('GL Extract'!$I$4:$I$943,'GL Extract'!$C$4:$C$943,"1200",'GL Extract'!$B$4:$B$943,"&lt;"&amp;DATE(2026,4,1)))</f>
        <v>650121.85</v>
      </c>
      <c r="F6" s="10">
        <f>-1*(SUMIF('Opening TB'!$A$4:$A$30,"2000",'Opening TB'!$C$4:$C$30)+SUMIFS('GL Extract'!$I$4:$I$943,'GL Extract'!$C$4:$C$943,"2000",'GL Extract'!$B$4:$B$943,"&lt;"&amp;DATE(2026,4,1)))</f>
        <v>937163.98514132982</v>
      </c>
      <c r="G6" s="21">
        <f t="shared" si="0"/>
        <v>31.344342857142856</v>
      </c>
      <c r="H6" s="21">
        <f t="shared" si="1"/>
        <v>40.380239130434767</v>
      </c>
      <c r="I6" s="21">
        <f t="shared" si="2"/>
        <v>58.208943176480105</v>
      </c>
      <c r="J6" s="21">
        <f t="shared" si="3"/>
        <v>13.515638811097517</v>
      </c>
      <c r="K6" s="10">
        <f t="shared" si="4"/>
        <v>627167.86485867004</v>
      </c>
      <c r="L6" s="10">
        <f t="shared" si="6"/>
        <v>-75157.701703462168</v>
      </c>
      <c r="M6" s="8" t="str">
        <f t="shared" si="5"/>
        <v>Efficient conversion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>
      <c r="A7" s="20">
        <v>46113</v>
      </c>
      <c r="B7" s="10">
        <f>-SUMIFS('GL Extract'!$I$4:$I$943,'GL Extract'!$C$4:$C$943,"4000",'GL Extract'!$B$4:$B$943,"&gt;="&amp;DATE(2026,4,1),'GL Extract'!$B$4:$B$943,"&lt;"&amp;DATE(2026,5,1))</f>
        <v>899999.99999999988</v>
      </c>
      <c r="C7" s="10">
        <f>SUMIFS('GL Extract'!$I$4:$I$943,'GL Extract'!$C$4:$C$943,"5000",'GL Extract'!$B$4:$B$943,"&gt;="&amp;DATE(2026,4,1),'GL Extract'!$B$4:$B$943,"&lt;"&amp;DATE(2026,5,1))</f>
        <v>495000.00000000006</v>
      </c>
      <c r="D7" s="10">
        <f>1*(SUMIF('Opening TB'!$A$4:$A$30,"1100",'Opening TB'!$C$4:$C$30)+SUMIFS('GL Extract'!$I$4:$I$943,'GL Extract'!$C$4:$C$943,"1100",'GL Extract'!$B$4:$B$943,"&lt;"&amp;DATE(2026,5,1)))</f>
        <v>953809.99999999977</v>
      </c>
      <c r="E7" s="10">
        <f>1*(SUMIF('Opening TB'!$A$4:$A$30,"1200",'Opening TB'!$C$4:$C$30)+SUMIFS('GL Extract'!$I$4:$I$943,'GL Extract'!$C$4:$C$943,"1200",'GL Extract'!$B$4:$B$943,"&lt;"&amp;DATE(2026,5,1)))</f>
        <v>660021.85000000009</v>
      </c>
      <c r="F7" s="10">
        <f>-1*(SUMIF('Opening TB'!$A$4:$A$30,"2000",'Opening TB'!$C$4:$C$30)+SUMIFS('GL Extract'!$I$4:$I$943,'GL Extract'!$C$4:$C$943,"2000",'GL Extract'!$B$4:$B$943,"&lt;"&amp;DATE(2026,5,1)))</f>
        <v>1055762.7561532846</v>
      </c>
      <c r="G7" s="21">
        <f t="shared" si="0"/>
        <v>31.79366666666666</v>
      </c>
      <c r="H7" s="21">
        <f t="shared" si="1"/>
        <v>40.001324242424239</v>
      </c>
      <c r="I7" s="21">
        <f t="shared" si="2"/>
        <v>63.985621585047546</v>
      </c>
      <c r="J7" s="21">
        <f t="shared" si="3"/>
        <v>7.8093693240433524</v>
      </c>
      <c r="K7" s="10">
        <f t="shared" si="4"/>
        <v>558069.09384671529</v>
      </c>
      <c r="L7" s="10">
        <f t="shared" si="6"/>
        <v>-69098.771011954756</v>
      </c>
      <c r="M7" s="8" t="str">
        <f t="shared" si="5"/>
        <v>Efficient conversion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>
      <c r="A8" s="20">
        <v>46143</v>
      </c>
      <c r="B8" s="10">
        <f>-SUMIFS('GL Extract'!$I$4:$I$943,'GL Extract'!$C$4:$C$943,"4000",'GL Extract'!$B$4:$B$943,"&gt;="&amp;DATE(2026,5,1),'GL Extract'!$B$4:$B$943,"&lt;"&amp;DATE(2026,6,1))</f>
        <v>930000</v>
      </c>
      <c r="C8" s="10">
        <f>SUMIFS('GL Extract'!$I$4:$I$943,'GL Extract'!$C$4:$C$943,"5000",'GL Extract'!$B$4:$B$943,"&gt;="&amp;DATE(2026,5,1),'GL Extract'!$B$4:$B$943,"&lt;"&amp;DATE(2026,6,1))</f>
        <v>509640</v>
      </c>
      <c r="D8" s="10">
        <f>1*(SUMIF('Opening TB'!$A$4:$A$30,"1100",'Opening TB'!$C$4:$C$30)+SUMIFS('GL Extract'!$I$4:$I$943,'GL Extract'!$C$4:$C$943,"1100",'GL Extract'!$B$4:$B$943,"&lt;"&amp;DATE(2026,6,1)))</f>
        <v>991009.99999999977</v>
      </c>
      <c r="E8" s="10">
        <f>1*(SUMIF('Opening TB'!$A$4:$A$30,"1200",'Opening TB'!$C$4:$C$30)+SUMIFS('GL Extract'!$I$4:$I$943,'GL Extract'!$C$4:$C$943,"1200",'GL Extract'!$B$4:$B$943,"&lt;"&amp;DATE(2026,6,1)))</f>
        <v>660021.85</v>
      </c>
      <c r="F8" s="10">
        <f>-1*(SUMIF('Opening TB'!$A$4:$A$30,"2000",'Opening TB'!$C$4:$C$30)+SUMIFS('GL Extract'!$I$4:$I$943,'GL Extract'!$C$4:$C$943,"2000",'GL Extract'!$B$4:$B$943,"&lt;"&amp;DATE(2026,6,1)))</f>
        <v>1174077.4074999485</v>
      </c>
      <c r="G8" s="21">
        <f t="shared" si="0"/>
        <v>31.968064516129022</v>
      </c>
      <c r="H8" s="21">
        <f t="shared" si="1"/>
        <v>38.852239816340941</v>
      </c>
      <c r="I8" s="21">
        <f t="shared" si="2"/>
        <v>69.11216196726798</v>
      </c>
      <c r="J8" s="21">
        <f t="shared" si="3"/>
        <v>1.7081423652019794</v>
      </c>
      <c r="K8" s="10">
        <f t="shared" si="4"/>
        <v>476954.44250005111</v>
      </c>
      <c r="L8" s="10">
        <f t="shared" si="6"/>
        <v>-81114.651346664177</v>
      </c>
      <c r="M8" s="8" t="str">
        <f t="shared" si="5"/>
        <v>Efficient conversion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>
      <c r="A9" s="20">
        <v>46174</v>
      </c>
      <c r="B9" s="10">
        <f>-SUMIFS('GL Extract'!$I$4:$I$943,'GL Extract'!$C$4:$C$943,"4000",'GL Extract'!$B$4:$B$943,"&gt;="&amp;DATE(2026,6,1),'GL Extract'!$B$4:$B$943,"&lt;"&amp;DATE(2026,7,1))</f>
        <v>955000</v>
      </c>
      <c r="C9" s="10">
        <f>SUMIFS('GL Extract'!$I$4:$I$943,'GL Extract'!$C$4:$C$943,"5000",'GL Extract'!$B$4:$B$943,"&gt;="&amp;DATE(2026,6,1),'GL Extract'!$B$4:$B$943,"&lt;"&amp;DATE(2026,7,1))</f>
        <v>524294.99999999988</v>
      </c>
      <c r="D9" s="10">
        <f>1*(SUMIF('Opening TB'!$A$4:$A$30,"1100",'Opening TB'!$C$4:$C$30)+SUMIFS('GL Extract'!$I$4:$I$943,'GL Extract'!$C$4:$C$943,"1100",'GL Extract'!$B$4:$B$943,"&lt;"&amp;DATE(2026,7,1)))</f>
        <v>1031119.9999999999</v>
      </c>
      <c r="E9" s="10">
        <f>1*(SUMIF('Opening TB'!$A$4:$A$30,"1200",'Opening TB'!$C$4:$C$30)+SUMIFS('GL Extract'!$I$4:$I$943,'GL Extract'!$C$4:$C$943,"1200",'GL Extract'!$B$4:$B$943,"&lt;"&amp;DATE(2026,7,1)))</f>
        <v>654778.9</v>
      </c>
      <c r="F9" s="10">
        <f>-1*(SUMIF('Opening TB'!$A$4:$A$30,"2000",'Opening TB'!$C$4:$C$30)+SUMIFS('GL Extract'!$I$4:$I$943,'GL Extract'!$C$4:$C$943,"2000",'GL Extract'!$B$4:$B$943,"&lt;"&amp;DATE(2026,7,1)))</f>
        <v>1300461.4577450883</v>
      </c>
      <c r="G9" s="21">
        <f t="shared" si="0"/>
        <v>32.391204188481673</v>
      </c>
      <c r="H9" s="21">
        <f t="shared" si="1"/>
        <v>37.46624896289304</v>
      </c>
      <c r="I9" s="21">
        <f t="shared" si="2"/>
        <v>74.412007996171354</v>
      </c>
      <c r="J9" s="21">
        <f t="shared" si="3"/>
        <v>-4.5545548447966411</v>
      </c>
      <c r="K9" s="10">
        <f t="shared" si="4"/>
        <v>385437.44225491164</v>
      </c>
      <c r="L9" s="10">
        <f t="shared" si="6"/>
        <v>-91517.000245139468</v>
      </c>
      <c r="M9" s="8" t="str">
        <f t="shared" si="5"/>
        <v>Efficient conversion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>
      <c r="A10" s="20">
        <v>46204</v>
      </c>
      <c r="B10" s="10">
        <f>-SUMIFS('GL Extract'!$I$4:$I$943,'GL Extract'!$C$4:$C$943,"4000",'GL Extract'!$B$4:$B$943,"&gt;="&amp;DATE(2026,7,1),'GL Extract'!$B$4:$B$943,"&lt;"&amp;DATE(2026,8,1))</f>
        <v>970000.00000000012</v>
      </c>
      <c r="C10" s="10">
        <f>SUMIFS('GL Extract'!$I$4:$I$943,'GL Extract'!$C$4:$C$943,"5000",'GL Extract'!$B$4:$B$943,"&gt;="&amp;DATE(2026,7,1),'GL Extract'!$B$4:$B$943,"&lt;"&amp;DATE(2026,8,1))</f>
        <v>530589.99999999988</v>
      </c>
      <c r="D10" s="10">
        <f>1*(SUMIF('Opening TB'!$A$4:$A$30,"1100",'Opening TB'!$C$4:$C$30)+SUMIFS('GL Extract'!$I$4:$I$943,'GL Extract'!$C$4:$C$943,"1100",'GL Extract'!$B$4:$B$943,"&lt;"&amp;DATE(2026,8,1)))</f>
        <v>1067980</v>
      </c>
      <c r="E10" s="10">
        <f>1*(SUMIF('Opening TB'!$A$4:$A$30,"1200",'Opening TB'!$C$4:$C$30)+SUMIFS('GL Extract'!$I$4:$I$943,'GL Extract'!$C$4:$C$943,"1200",'GL Extract'!$B$4:$B$943,"&lt;"&amp;DATE(2026,8,1)))</f>
        <v>660084.80000000005</v>
      </c>
      <c r="F10" s="10">
        <f>-1*(SUMIF('Opening TB'!$A$4:$A$30,"2000",'Opening TB'!$C$4:$C$30)+SUMIFS('GL Extract'!$I$4:$I$943,'GL Extract'!$C$4:$C$943,"2000",'GL Extract'!$B$4:$B$943,"&lt;"&amp;DATE(2026,8,1)))</f>
        <v>1421566.2162658887</v>
      </c>
      <c r="G10" s="21">
        <f t="shared" si="0"/>
        <v>33.030309278350508</v>
      </c>
      <c r="H10" s="21">
        <f t="shared" si="1"/>
        <v>37.321743719255934</v>
      </c>
      <c r="I10" s="21">
        <f t="shared" si="2"/>
        <v>80.376536474446681</v>
      </c>
      <c r="J10" s="21">
        <f t="shared" si="3"/>
        <v>-10.024483476840231</v>
      </c>
      <c r="K10" s="10">
        <f t="shared" si="4"/>
        <v>306498.58373411139</v>
      </c>
      <c r="L10" s="10">
        <f t="shared" si="6"/>
        <v>-78938.858520800248</v>
      </c>
      <c r="M10" s="8" t="str">
        <f t="shared" si="5"/>
        <v>Efficient conversion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>
      <c r="A11" s="20">
        <v>46235</v>
      </c>
      <c r="B11" s="10">
        <f>-SUMIFS('GL Extract'!$I$4:$I$943,'GL Extract'!$C$4:$C$943,"4000",'GL Extract'!$B$4:$B$943,"&gt;="&amp;DATE(2026,8,1),'GL Extract'!$B$4:$B$943,"&lt;"&amp;DATE(2026,9,1))</f>
        <v>989999.99999999988</v>
      </c>
      <c r="C11" s="10">
        <f>SUMIFS('GL Extract'!$I$4:$I$943,'GL Extract'!$C$4:$C$943,"5000",'GL Extract'!$B$4:$B$943,"&gt;="&amp;DATE(2026,8,1),'GL Extract'!$B$4:$B$943,"&lt;"&amp;DATE(2026,9,1))</f>
        <v>540540</v>
      </c>
      <c r="D11" s="10">
        <f>1*(SUMIF('Opening TB'!$A$4:$A$30,"1100",'Opening TB'!$C$4:$C$30)+SUMIFS('GL Extract'!$I$4:$I$943,'GL Extract'!$C$4:$C$943,"1100",'GL Extract'!$B$4:$B$943,"&lt;"&amp;DATE(2026,9,1)))</f>
        <v>1107580</v>
      </c>
      <c r="E11" s="10">
        <f>1*(SUMIF('Opening TB'!$A$4:$A$30,"1200",'Opening TB'!$C$4:$C$30)+SUMIFS('GL Extract'!$I$4:$I$943,'GL Extract'!$C$4:$C$943,"1200",'GL Extract'!$B$4:$B$943,"&lt;"&amp;DATE(2026,9,1)))</f>
        <v>660084.80000000005</v>
      </c>
      <c r="F11" s="10">
        <f>-1*(SUMIF('Opening TB'!$A$4:$A$30,"2000",'Opening TB'!$C$4:$C$30)+SUMIFS('GL Extract'!$I$4:$I$943,'GL Extract'!$C$4:$C$943,"2000",'GL Extract'!$B$4:$B$943,"&lt;"&amp;DATE(2026,9,1)))</f>
        <v>1550593.1737318337</v>
      </c>
      <c r="G11" s="21">
        <f t="shared" si="0"/>
        <v>33.563030303030303</v>
      </c>
      <c r="H11" s="21">
        <f t="shared" si="1"/>
        <v>36.634743034743039</v>
      </c>
      <c r="I11" s="21">
        <f t="shared" si="2"/>
        <v>86.058007200123967</v>
      </c>
      <c r="J11" s="21">
        <f t="shared" si="3"/>
        <v>-15.860233862350626</v>
      </c>
      <c r="K11" s="10">
        <f t="shared" si="4"/>
        <v>217071.62626816635</v>
      </c>
      <c r="L11" s="10">
        <f t="shared" si="6"/>
        <v>-89426.957465945045</v>
      </c>
      <c r="M11" s="8" t="str">
        <f t="shared" si="5"/>
        <v>Efficient conversion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>
      <c r="A12" s="20">
        <v>46266</v>
      </c>
      <c r="B12" s="10">
        <f>-SUMIFS('GL Extract'!$I$4:$I$943,'GL Extract'!$C$4:$C$943,"4000",'GL Extract'!$B$4:$B$943,"&gt;="&amp;DATE(2026,9,1),'GL Extract'!$B$4:$B$943,"&lt;"&amp;DATE(2026,10,1))</f>
        <v>1015000.0000000002</v>
      </c>
      <c r="C12" s="10">
        <f>SUMIFS('GL Extract'!$I$4:$I$943,'GL Extract'!$C$4:$C$943,"5000",'GL Extract'!$B$4:$B$943,"&gt;="&amp;DATE(2026,9,1),'GL Extract'!$B$4:$B$943,"&lt;"&amp;DATE(2026,10,1))</f>
        <v>553175</v>
      </c>
      <c r="D12" s="10">
        <f>1*(SUMIF('Opening TB'!$A$4:$A$30,"1100",'Opening TB'!$C$4:$C$30)+SUMIFS('GL Extract'!$I$4:$I$943,'GL Extract'!$C$4:$C$943,"1100",'GL Extract'!$B$4:$B$943,"&lt;"&amp;DATE(2026,10,1))+SUMIF('Adjustment Journals'!$C$4:$C$17,"1100",'Adjustment Journals'!$H$4:$H$17))</f>
        <v>1151225.0000000005</v>
      </c>
      <c r="E12" s="10">
        <f>1*(SUMIF('Opening TB'!$A$4:$A$30,"1200",'Opening TB'!$C$4:$C$30)+SUMIFS('GL Extract'!$I$4:$I$943,'GL Extract'!$C$4:$C$943,"1200",'GL Extract'!$B$4:$B$943,"&lt;"&amp;DATE(2026,10,1))+SUMIF('Adjustment Journals'!$C$4:$C$17,"1200",'Adjustment Journals'!$H$4:$H$17))</f>
        <v>660084.79999999993</v>
      </c>
      <c r="F12" s="10">
        <f>-1*(SUMIF('Opening TB'!$A$4:$A$30,"2000",'Opening TB'!$C$4:$C$30)+SUMIFS('GL Extract'!$I$4:$I$943,'GL Extract'!$C$4:$C$943,"2000",'GL Extract'!$B$4:$B$943,"&lt;"&amp;DATE(2026,10,1))+SUMIF('Adjustment Journals'!$C$4:$C$17,"2000",'Adjustment Journals'!$H$4:$H$17))</f>
        <v>1639931.9563514311</v>
      </c>
      <c r="G12" s="21">
        <f t="shared" si="0"/>
        <v>34.026354679802964</v>
      </c>
      <c r="H12" s="21">
        <f t="shared" si="1"/>
        <v>35.797973516518283</v>
      </c>
      <c r="I12" s="21">
        <f t="shared" si="2"/>
        <v>88.937422498382844</v>
      </c>
      <c r="J12" s="21">
        <f t="shared" si="3"/>
        <v>-19.113094302061597</v>
      </c>
      <c r="K12" s="10">
        <f t="shared" si="4"/>
        <v>171377.84364856919</v>
      </c>
      <c r="L12" s="10">
        <f t="shared" si="6"/>
        <v>-45693.782619597157</v>
      </c>
      <c r="M12" s="8" t="str">
        <f t="shared" si="5"/>
        <v>Efficient conversion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 ht="26.75" customHeight="1">
      <c r="A15" s="36" t="s">
        <v>1198</v>
      </c>
      <c r="B15" s="36"/>
      <c r="C15" s="36"/>
      <c r="D15" s="36"/>
      <c r="E15" s="36"/>
      <c r="F15" s="36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 ht="16">
      <c r="A16" s="9" t="s">
        <v>973</v>
      </c>
      <c r="B16" s="9" t="s">
        <v>953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>
      <c r="A17" s="8" t="s">
        <v>1191</v>
      </c>
      <c r="B17" s="21">
        <f>G12</f>
        <v>34.026354679802964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>
      <c r="A18" s="8" t="s">
        <v>1192</v>
      </c>
      <c r="B18" s="21">
        <f>H12</f>
        <v>35.797973516518283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>
      <c r="A19" s="8" t="s">
        <v>1193</v>
      </c>
      <c r="B19" s="21">
        <f>I12</f>
        <v>88.937422498382844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>
      <c r="A20" s="8" t="s">
        <v>1194</v>
      </c>
      <c r="B20" s="21">
        <f>J12</f>
        <v>-19.113094302061597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>
      <c r="A21" s="8" t="s">
        <v>1199</v>
      </c>
      <c r="B21" s="10">
        <f>K12</f>
        <v>171377.84364856919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>
      <c r="A22" s="8" t="s">
        <v>1200</v>
      </c>
      <c r="B22" s="16">
        <f>'AR Ageing'!C73</f>
        <v>1.5102085707941547E-2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1:5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1:5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 spans="1:5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 spans="1:5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 spans="1:5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 spans="1:5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 spans="1:5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 spans="1:5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 spans="1:5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 spans="1:5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 spans="1:5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 spans="1:5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 spans="1:5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 spans="1:5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 spans="1:5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 spans="1:5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 spans="1:5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 spans="1:5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 spans="1:5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 spans="1:5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 spans="1:5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 spans="1:5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 spans="1:5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 spans="1:5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 spans="1:5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 spans="1:5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 spans="1:5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 spans="1:5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 spans="1:5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 spans="1:5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 spans="1:5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 spans="1:5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 spans="1:5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 spans="1:5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 spans="1:5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 spans="1:5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 spans="1:5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 spans="1:5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 spans="1:5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 spans="1:5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 spans="1:5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 spans="1:5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 spans="1:5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 spans="1:5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 spans="1:5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 spans="1:5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 spans="1:5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 spans="1:5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 spans="1:5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 spans="1:5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 spans="1:5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 spans="1:5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 spans="1:5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 spans="1: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 spans="1:5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 spans="1:5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 spans="1:5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 spans="1:5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 spans="1:5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 spans="1:5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 spans="1:5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 spans="1:5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 spans="1:5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 spans="1:5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 spans="1:5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 spans="1:5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 spans="1:5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 spans="1:5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 spans="1:5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 spans="1:5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 spans="1:5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 spans="1:5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 spans="1:5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 spans="1:5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 spans="1:5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 spans="1:5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 spans="1:5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 spans="1:5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 spans="1:5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 spans="1:5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 spans="1:5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 spans="1:5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 spans="1:5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 spans="1:5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 spans="1:5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 spans="1:5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 spans="1:5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 spans="1:5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 spans="1:5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 spans="1:5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 spans="1:5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 spans="1:5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 spans="1:5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 spans="1:5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 spans="1:5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 spans="1:5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 spans="1:5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 spans="1:5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 spans="1:5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 spans="1:5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 spans="1:5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 spans="1:5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 spans="1:5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 spans="1:5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 spans="1:5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 spans="1:5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 spans="1:5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 spans="1:5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 spans="1:5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 spans="1:5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 spans="1:5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 spans="1:5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 spans="1:5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 spans="1:5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 spans="1:5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 spans="1:5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 spans="1:5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 spans="1:5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 spans="1:5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 spans="1:5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 spans="1:5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 spans="1:5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 spans="1:5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 spans="1:5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 spans="1:5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 spans="1:5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 spans="1:5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 spans="1:5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 spans="1:5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 spans="1:5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 spans="1:5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 spans="1:5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 spans="1:5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 spans="1:5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 spans="1:5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 spans="1:5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 spans="1:5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 spans="1:5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 spans="1:5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 spans="1:5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 spans="1:5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 spans="1:5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 spans="1:5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 spans="1:5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 spans="1:5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 spans="1:5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 spans="1:5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 spans="1:5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 spans="1:5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 spans="1:5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 spans="1:5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 spans="1:5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 spans="1:5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 spans="1: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 spans="1:5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 spans="1:5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 spans="1:5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 spans="1:5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 spans="1:5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 spans="1:5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 spans="1:5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 spans="1:5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 spans="1:5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 spans="1:5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 spans="1:5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 spans="1:5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 spans="1:5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 spans="1:5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 spans="1:5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 spans="1:5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 spans="1:5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 spans="1:5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 spans="1:5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 spans="1:5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 spans="1:5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 spans="1:5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 spans="1:5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 spans="1:5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 spans="1:5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 spans="1:5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 spans="1:5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 spans="1:5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 spans="1:5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 spans="1:5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 spans="1:5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 spans="1:5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 spans="1:5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 spans="1:5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 spans="1:5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 spans="1:5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 spans="1:5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 spans="1:5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 spans="1:5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 spans="1:5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 spans="1:5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 spans="1:5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 spans="1:5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 spans="1:5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 spans="1:5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 spans="1:5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 spans="1:5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 spans="1:5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 spans="1:5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 spans="1:5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 spans="1:5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 spans="1:5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 spans="1:5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 spans="1:5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 spans="1:5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 spans="1:5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 spans="1:5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 spans="1:5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 spans="1:5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 spans="1:5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 spans="1:5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 spans="1:5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 spans="1:5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 spans="1:5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 spans="1:5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 spans="1:5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 spans="1:5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 spans="1:5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 spans="1:5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 spans="1:5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 spans="1:5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 spans="1:5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 spans="1:5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 spans="1:5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 spans="1:5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 spans="1:5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 spans="1:5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 spans="1:5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 spans="1:5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 spans="1:5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 spans="1:5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 spans="1:5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 spans="1:5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 spans="1:5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 spans="1:5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 spans="1:5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 spans="1:5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 spans="1:5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 spans="1:5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 spans="1:5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 spans="1:5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 spans="1:5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 spans="1:5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 spans="1:5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 spans="1:5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 spans="1:5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 spans="1:5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 spans="1:5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 spans="1:5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 spans="1: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 spans="1:5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 spans="1:5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 spans="1:5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 spans="1:5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 spans="1:5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 spans="1:5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 spans="1:5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 spans="1:5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 spans="1:5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 spans="1:5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 spans="1:5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 spans="1:5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 spans="1:5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 spans="1:5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 spans="1:5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 spans="1:5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 spans="1:5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 spans="1:5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 spans="1:5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 spans="1:5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 spans="1:5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 spans="1:5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 spans="1:5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 spans="1:5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 spans="1:5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 spans="1:5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 spans="1:5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 spans="1:5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 spans="1:5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 spans="1:5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 spans="1:5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 spans="1:5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 spans="1:5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 spans="1:5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 spans="1:5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 spans="1:5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 spans="1:5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 spans="1:5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 spans="1:5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 spans="1:5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 spans="1:5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 spans="1:5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 spans="1:5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 spans="1:5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 spans="1:5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 spans="1:5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 spans="1:5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 spans="1:5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 spans="1:5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 spans="1:5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 spans="1:5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 spans="1:5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 spans="1:5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 spans="1:5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 spans="1:5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 spans="1:5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 spans="1:5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 spans="1:5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 spans="1:5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 spans="1:5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 spans="1:5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 spans="1:5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 spans="1:5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 spans="1:5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 spans="1:5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 spans="1:5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 spans="1:5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 spans="1:5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 spans="1:5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 spans="1:5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 spans="1:5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 spans="1:5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 spans="1:5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 spans="1:5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 spans="1:5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 spans="1:5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 spans="1:5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 spans="1:5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 spans="1:5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 spans="1:5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 spans="1:5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 spans="1:5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 spans="1:5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 spans="1:5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 spans="1:5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 spans="1:5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 spans="1:5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 spans="1:5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 spans="1:5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 spans="1:5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 spans="1:5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 spans="1:5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 spans="1:5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 spans="1:5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 spans="1:5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 spans="1:5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 spans="1:5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 spans="1:5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 spans="1:5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 spans="1: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 spans="1:5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 spans="1:5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 spans="1:5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 spans="1:5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 spans="1:5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 spans="1:5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 spans="1:5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 spans="1:5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 spans="1:5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 spans="1:5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 spans="1:5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 spans="1:5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 spans="1:5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 spans="1:5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 spans="1:5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 spans="1:5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 spans="1:5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 spans="1:5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 spans="1:5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 spans="1:5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 spans="1:5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 spans="1:5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 spans="1:5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 spans="1:5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 spans="1:5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 spans="1:5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 spans="1:5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 spans="1:5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 spans="1:5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 spans="1:5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 spans="1:5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 spans="1:5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 spans="1:5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 spans="1:5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 spans="1:5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 spans="1:5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 spans="1:5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 spans="1:5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 spans="1:5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 spans="1:5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 spans="1:5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 spans="1:5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 spans="1:5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 spans="1:5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 spans="1:5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 spans="1:5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 spans="1:5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 spans="1:5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 spans="1:5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 spans="1:5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 spans="1:5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 spans="1:5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 spans="1:5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 spans="1:5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 spans="1:5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 spans="1:5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 spans="1:5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 spans="1:5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 spans="1:5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 spans="1:5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 spans="1:5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 spans="1:5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 spans="1:5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 spans="1:5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 spans="1:5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 spans="1:5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 spans="1:5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 spans="1:5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 spans="1:5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 spans="1:5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 spans="1:5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 spans="1:5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 spans="1:5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 spans="1:5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 spans="1:5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 spans="1:5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 spans="1:5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 spans="1:5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 spans="1:5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 spans="1:5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 spans="1:5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 spans="1:5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 spans="1:5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 spans="1:5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 spans="1:5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 spans="1:5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 spans="1:5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 spans="1:5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 spans="1:5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 spans="1:5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 spans="1:5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 spans="1:5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 spans="1:5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 spans="1:5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 spans="1:5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 spans="1:5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 spans="1:5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 spans="1:5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 spans="1:5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 spans="1: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 spans="1:5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 spans="1:5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 spans="1:5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 spans="1:5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 spans="1:5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 spans="1:5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 spans="1:5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 spans="1:5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 spans="1:5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 spans="1:5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 spans="1:5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 spans="1:5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 spans="1:5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 spans="1:5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 spans="1:5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 spans="1:5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 spans="1:5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 spans="1:5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 spans="1:5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 spans="1:5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 spans="1:5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 spans="1:5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 spans="1:5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 spans="1:5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 spans="1:5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 spans="1:5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 spans="1:5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 spans="1:5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 spans="1:5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 spans="1:5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 spans="1:5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 spans="1:5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 spans="1:5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 spans="1:5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 spans="1:5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 spans="1:5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 spans="1:5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  <row r="990" spans="1:5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</row>
    <row r="991" spans="1:5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</row>
    <row r="992" spans="1:5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</row>
    <row r="993" spans="1:5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</row>
    <row r="994" spans="1:5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</row>
    <row r="995" spans="1:5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</row>
    <row r="996" spans="1:5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</row>
    <row r="997" spans="1:5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</row>
    <row r="998" spans="1:5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</row>
    <row r="999" spans="1:5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</row>
    <row r="1000" spans="1:5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</row>
  </sheetData>
  <mergeCells count="2">
    <mergeCell ref="A1:M1"/>
    <mergeCell ref="A15:F15"/>
  </mergeCells>
  <conditionalFormatting sqref="M4:M12">
    <cfRule type="expression" dxfId="7" priority="1">
      <formula>M4="Working capital pressure"</formula>
    </cfRule>
    <cfRule type="expression" dxfId="6" priority="2">
      <formula>M4="Efficient conversion"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Z1000"/>
  <sheetViews>
    <sheetView topLeftCell="A7" workbookViewId="0">
      <selection sqref="A1:O1"/>
    </sheetView>
  </sheetViews>
  <sheetFormatPr baseColWidth="10" defaultColWidth="8.83203125" defaultRowHeight="15"/>
  <cols>
    <col min="1" max="1" width="8" customWidth="1"/>
    <col min="2" max="2" width="14" customWidth="1"/>
    <col min="3" max="3" width="19" customWidth="1"/>
    <col min="4" max="4" width="20" customWidth="1"/>
    <col min="5" max="5" width="15" customWidth="1"/>
    <col min="6" max="6" width="13" customWidth="1"/>
    <col min="7" max="7" width="16" customWidth="1"/>
    <col min="8" max="8" width="13" customWidth="1"/>
    <col min="9" max="10" width="18" customWidth="1"/>
    <col min="11" max="12" width="17" customWidth="1"/>
    <col min="13" max="13" width="16" customWidth="1"/>
    <col min="14" max="14" width="15" customWidth="1"/>
    <col min="15" max="15" width="16" customWidth="1"/>
    <col min="17" max="17" width="14" customWidth="1"/>
    <col min="18" max="18" width="16" customWidth="1"/>
  </cols>
  <sheetData>
    <row r="1" spans="1:52" ht="37.25" customHeight="1">
      <c r="A1" s="35" t="s">
        <v>1201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>
      <c r="A3" s="37" t="s">
        <v>1202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 ht="32">
      <c r="A5" s="9" t="s">
        <v>1203</v>
      </c>
      <c r="B5" s="9" t="s">
        <v>1204</v>
      </c>
      <c r="C5" s="9" t="s">
        <v>1205</v>
      </c>
      <c r="D5" s="9" t="s">
        <v>1206</v>
      </c>
      <c r="E5" s="9" t="s">
        <v>1207</v>
      </c>
      <c r="F5" s="9" t="s">
        <v>1208</v>
      </c>
      <c r="G5" s="9" t="s">
        <v>1209</v>
      </c>
      <c r="H5" s="9" t="s">
        <v>1210</v>
      </c>
      <c r="I5" s="9" t="s">
        <v>1211</v>
      </c>
      <c r="J5" s="9" t="s">
        <v>1212</v>
      </c>
      <c r="K5" s="9" t="s">
        <v>1213</v>
      </c>
      <c r="L5" s="9" t="s">
        <v>1214</v>
      </c>
      <c r="M5" s="9" t="s">
        <v>1215</v>
      </c>
      <c r="N5" s="9" t="s">
        <v>1216</v>
      </c>
      <c r="O5" s="9" t="s">
        <v>1217</v>
      </c>
      <c r="P5" s="8"/>
      <c r="Q5" s="9" t="s">
        <v>1204</v>
      </c>
      <c r="R5" s="9" t="s">
        <v>1218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>
      <c r="A6" s="8">
        <v>1</v>
      </c>
      <c r="B6" s="22">
        <v>46300</v>
      </c>
      <c r="C6" s="10">
        <f>Assumptions!$B$7*Assumptions!$B$8+('AR Ageing'!$B$74*0.24)</f>
        <v>494374.00000000012</v>
      </c>
      <c r="D6" s="10">
        <f>Assumptions!$B$9*Assumptions!$B$10+('AP Ageing'!$B$64*0.22)</f>
        <v>484265.03039731487</v>
      </c>
      <c r="E6" s="10">
        <f>Assumptions!$B$11*0</f>
        <v>0</v>
      </c>
      <c r="F6" s="10">
        <f>Assumptions!$B$12*1</f>
        <v>52000</v>
      </c>
      <c r="G6" s="10">
        <f>Assumptions!$B$13</f>
        <v>27000</v>
      </c>
      <c r="H6" s="15">
        <v>0</v>
      </c>
      <c r="I6" s="15">
        <v>0</v>
      </c>
      <c r="J6" s="10">
        <f t="shared" ref="J6:J18" si="0">C6-D6-E6-F6-G6-H6-I6</f>
        <v>-68891.030397314753</v>
      </c>
      <c r="K6" s="10">
        <f>SUMIF('Adjusted TB'!$A$4:$A$30,"1000",'Adjusted TB'!$H$4:$H$30)</f>
        <v>857522.2194340874</v>
      </c>
      <c r="L6" s="10">
        <f t="shared" ref="L6:L18" si="1">K6+J6</f>
        <v>788631.18903677259</v>
      </c>
      <c r="M6" s="10">
        <f>Assumptions!$B$14</f>
        <v>250000</v>
      </c>
      <c r="N6" s="10">
        <f t="shared" ref="N6:N18" si="2">L6-M6</f>
        <v>538631.18903677259</v>
      </c>
      <c r="O6" s="8" t="str">
        <f t="shared" ref="O6:O18" si="3">IF(N6&lt;0,"Below policy",IF(N6&lt;100000,"Tight","Above policy"))</f>
        <v>Above policy</v>
      </c>
      <c r="P6" s="8"/>
      <c r="Q6" s="22">
        <v>46300</v>
      </c>
      <c r="R6" s="10">
        <f t="shared" ref="R6:R18" si="4">L6</f>
        <v>788631.18903677259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>
      <c r="A7" s="8">
        <v>2</v>
      </c>
      <c r="B7" s="22">
        <v>46307</v>
      </c>
      <c r="C7" s="10">
        <f>Assumptions!$B$7*Assumptions!$B$8+('AR Ageing'!$B$74*0.22)</f>
        <v>471349.50000000012</v>
      </c>
      <c r="D7" s="10">
        <f>Assumptions!$B$9*Assumptions!$B$10+('AP Ageing'!$B$64*0.2)</f>
        <v>451466.39127028629</v>
      </c>
      <c r="E7" s="10">
        <f>Assumptions!$B$11*0</f>
        <v>0</v>
      </c>
      <c r="F7" s="10">
        <f>Assumptions!$B$12*0</f>
        <v>0</v>
      </c>
      <c r="G7" s="10">
        <f>Assumptions!$B$13</f>
        <v>27000</v>
      </c>
      <c r="H7" s="15">
        <v>0</v>
      </c>
      <c r="I7" s="15">
        <v>0</v>
      </c>
      <c r="J7" s="10">
        <f t="shared" si="0"/>
        <v>-7116.8912702861708</v>
      </c>
      <c r="K7" s="10">
        <f t="shared" ref="K7:K18" si="5">L6</f>
        <v>788631.18903677259</v>
      </c>
      <c r="L7" s="10">
        <f t="shared" si="1"/>
        <v>781514.29776648642</v>
      </c>
      <c r="M7" s="10">
        <f>Assumptions!$B$14</f>
        <v>250000</v>
      </c>
      <c r="N7" s="10">
        <f t="shared" si="2"/>
        <v>531514.29776648642</v>
      </c>
      <c r="O7" s="8" t="str">
        <f t="shared" si="3"/>
        <v>Above policy</v>
      </c>
      <c r="P7" s="8"/>
      <c r="Q7" s="22">
        <v>46307</v>
      </c>
      <c r="R7" s="10">
        <f t="shared" si="4"/>
        <v>781514.29776648642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>
      <c r="A8" s="8">
        <v>3</v>
      </c>
      <c r="B8" s="22">
        <v>46314</v>
      </c>
      <c r="C8" s="10">
        <f>Assumptions!$B$7*Assumptions!$B$8+('AR Ageing'!$B$74*0.18)</f>
        <v>425300.50000000012</v>
      </c>
      <c r="D8" s="10">
        <f>Assumptions!$B$9*Assumptions!$B$10+('AP Ageing'!$B$64*0.18)</f>
        <v>418667.75214325765</v>
      </c>
      <c r="E8" s="10">
        <f>Assumptions!$B$11*0</f>
        <v>0</v>
      </c>
      <c r="F8" s="10">
        <f>Assumptions!$B$12*0</f>
        <v>0</v>
      </c>
      <c r="G8" s="10">
        <f>Assumptions!$B$13</f>
        <v>27000</v>
      </c>
      <c r="H8" s="15">
        <v>0</v>
      </c>
      <c r="I8" s="15">
        <v>0</v>
      </c>
      <c r="J8" s="10">
        <f t="shared" si="0"/>
        <v>-20367.25214325753</v>
      </c>
      <c r="K8" s="10">
        <f t="shared" si="5"/>
        <v>781514.29776648642</v>
      </c>
      <c r="L8" s="10">
        <f t="shared" si="1"/>
        <v>761147.04562322889</v>
      </c>
      <c r="M8" s="10">
        <f>Assumptions!$B$14</f>
        <v>250000</v>
      </c>
      <c r="N8" s="10">
        <f t="shared" si="2"/>
        <v>511147.04562322889</v>
      </c>
      <c r="O8" s="8" t="str">
        <f t="shared" si="3"/>
        <v>Above policy</v>
      </c>
      <c r="P8" s="8"/>
      <c r="Q8" s="22">
        <v>46314</v>
      </c>
      <c r="R8" s="10">
        <f t="shared" si="4"/>
        <v>761147.04562322889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>
      <c r="A9" s="8">
        <v>4</v>
      </c>
      <c r="B9" s="22">
        <v>46321</v>
      </c>
      <c r="C9" s="10">
        <f>Assumptions!$B$7*Assumptions!$B$8+('AR Ageing'!$B$74*0.12)</f>
        <v>356227.00000000006</v>
      </c>
      <c r="D9" s="10">
        <f>Assumptions!$B$9*Assumptions!$B$10+('AP Ageing'!$B$64*0.14)</f>
        <v>353070.47388920037</v>
      </c>
      <c r="E9" s="10">
        <f>Assumptions!$B$11*1</f>
        <v>215000</v>
      </c>
      <c r="F9" s="10">
        <f>Assumptions!$B$12*0</f>
        <v>0</v>
      </c>
      <c r="G9" s="10">
        <f>Assumptions!$B$13</f>
        <v>27000</v>
      </c>
      <c r="H9" s="15">
        <v>0</v>
      </c>
      <c r="I9" s="15">
        <v>0</v>
      </c>
      <c r="J9" s="10">
        <f t="shared" si="0"/>
        <v>-238843.47388920031</v>
      </c>
      <c r="K9" s="10">
        <f t="shared" si="5"/>
        <v>761147.04562322889</v>
      </c>
      <c r="L9" s="10">
        <f t="shared" si="1"/>
        <v>522303.57173402858</v>
      </c>
      <c r="M9" s="10">
        <f>Assumptions!$B$14</f>
        <v>250000</v>
      </c>
      <c r="N9" s="10">
        <f t="shared" si="2"/>
        <v>272303.57173402858</v>
      </c>
      <c r="O9" s="8" t="str">
        <f t="shared" si="3"/>
        <v>Above policy</v>
      </c>
      <c r="P9" s="8"/>
      <c r="Q9" s="22">
        <v>46321</v>
      </c>
      <c r="R9" s="10">
        <f t="shared" si="4"/>
        <v>522303.57173402858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>
      <c r="A10" s="8">
        <v>5</v>
      </c>
      <c r="B10" s="22">
        <v>46328</v>
      </c>
      <c r="C10" s="10">
        <f>Assumptions!$B$7*Assumptions!$B$8+('AR Ageing'!$B$74*0)</f>
        <v>218080</v>
      </c>
      <c r="D10" s="10">
        <f>Assumptions!$B$9*Assumptions!$B$10+('AP Ageing'!$B$64*0)</f>
        <v>123480</v>
      </c>
      <c r="E10" s="10">
        <f>Assumptions!$B$11*0</f>
        <v>0</v>
      </c>
      <c r="F10" s="10">
        <f>Assumptions!$B$12*1</f>
        <v>52000</v>
      </c>
      <c r="G10" s="10">
        <f>Assumptions!$B$13</f>
        <v>27000</v>
      </c>
      <c r="H10" s="15">
        <v>0</v>
      </c>
      <c r="I10" s="15">
        <v>0</v>
      </c>
      <c r="J10" s="10">
        <f t="shared" si="0"/>
        <v>15600</v>
      </c>
      <c r="K10" s="10">
        <f t="shared" si="5"/>
        <v>522303.57173402858</v>
      </c>
      <c r="L10" s="10">
        <f t="shared" si="1"/>
        <v>537903.57173402864</v>
      </c>
      <c r="M10" s="10">
        <f>Assumptions!$B$14</f>
        <v>250000</v>
      </c>
      <c r="N10" s="10">
        <f t="shared" si="2"/>
        <v>287903.57173402864</v>
      </c>
      <c r="O10" s="8" t="str">
        <f t="shared" si="3"/>
        <v>Above policy</v>
      </c>
      <c r="P10" s="8"/>
      <c r="Q10" s="22">
        <v>46328</v>
      </c>
      <c r="R10" s="10">
        <f t="shared" si="4"/>
        <v>537903.57173402864</v>
      </c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>
      <c r="A11" s="8">
        <v>6</v>
      </c>
      <c r="B11" s="22">
        <v>46335</v>
      </c>
      <c r="C11" s="10">
        <f>Assumptions!$B$7*Assumptions!$B$8+('AR Ageing'!$B$74*0)</f>
        <v>218080</v>
      </c>
      <c r="D11" s="10">
        <f>Assumptions!$B$9*Assumptions!$B$10+('AP Ageing'!$B$64*0)</f>
        <v>123480</v>
      </c>
      <c r="E11" s="10">
        <f>Assumptions!$B$11*0</f>
        <v>0</v>
      </c>
      <c r="F11" s="10">
        <f>Assumptions!$B$12*0</f>
        <v>0</v>
      </c>
      <c r="G11" s="10">
        <f>Assumptions!$B$13</f>
        <v>27000</v>
      </c>
      <c r="H11" s="15">
        <v>45000</v>
      </c>
      <c r="I11" s="15">
        <v>0</v>
      </c>
      <c r="J11" s="10">
        <f t="shared" si="0"/>
        <v>22600</v>
      </c>
      <c r="K11" s="10">
        <f t="shared" si="5"/>
        <v>537903.57173402864</v>
      </c>
      <c r="L11" s="10">
        <f t="shared" si="1"/>
        <v>560503.57173402864</v>
      </c>
      <c r="M11" s="10">
        <f>Assumptions!$B$14</f>
        <v>250000</v>
      </c>
      <c r="N11" s="10">
        <f t="shared" si="2"/>
        <v>310503.57173402864</v>
      </c>
      <c r="O11" s="8" t="str">
        <f t="shared" si="3"/>
        <v>Above policy</v>
      </c>
      <c r="P11" s="8"/>
      <c r="Q11" s="22">
        <v>46335</v>
      </c>
      <c r="R11" s="10">
        <f t="shared" si="4"/>
        <v>560503.57173402864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>
      <c r="A12" s="8">
        <v>7</v>
      </c>
      <c r="B12" s="22">
        <v>46342</v>
      </c>
      <c r="C12" s="10">
        <f>Assumptions!$B$7*Assumptions!$B$8+('AR Ageing'!$B$74*0)</f>
        <v>218080</v>
      </c>
      <c r="D12" s="10">
        <f>Assumptions!$B$9*Assumptions!$B$10+('AP Ageing'!$B$64*0)</f>
        <v>123480</v>
      </c>
      <c r="E12" s="10">
        <f>Assumptions!$B$11*0</f>
        <v>0</v>
      </c>
      <c r="F12" s="10">
        <f>Assumptions!$B$12*0</f>
        <v>0</v>
      </c>
      <c r="G12" s="10">
        <f>Assumptions!$B$13</f>
        <v>27000</v>
      </c>
      <c r="H12" s="15">
        <v>0</v>
      </c>
      <c r="I12" s="15">
        <v>0</v>
      </c>
      <c r="J12" s="10">
        <f t="shared" si="0"/>
        <v>67600</v>
      </c>
      <c r="K12" s="10">
        <f t="shared" si="5"/>
        <v>560503.57173402864</v>
      </c>
      <c r="L12" s="10">
        <f t="shared" si="1"/>
        <v>628103.57173402864</v>
      </c>
      <c r="M12" s="10">
        <f>Assumptions!$B$14</f>
        <v>250000</v>
      </c>
      <c r="N12" s="10">
        <f t="shared" si="2"/>
        <v>378103.57173402864</v>
      </c>
      <c r="O12" s="8" t="str">
        <f t="shared" si="3"/>
        <v>Above policy</v>
      </c>
      <c r="P12" s="8"/>
      <c r="Q12" s="22">
        <v>46342</v>
      </c>
      <c r="R12" s="10">
        <f t="shared" si="4"/>
        <v>628103.57173402864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>
      <c r="A13" s="8">
        <v>8</v>
      </c>
      <c r="B13" s="22">
        <v>46349</v>
      </c>
      <c r="C13" s="10">
        <f>Assumptions!$B$7*Assumptions!$B$8+('AR Ageing'!$B$74*0)</f>
        <v>218080</v>
      </c>
      <c r="D13" s="10">
        <f>Assumptions!$B$9*Assumptions!$B$10+('AP Ageing'!$B$64*0)</f>
        <v>123480</v>
      </c>
      <c r="E13" s="10">
        <f>Assumptions!$B$11*1</f>
        <v>215000</v>
      </c>
      <c r="F13" s="10">
        <f>Assumptions!$B$12*0</f>
        <v>0</v>
      </c>
      <c r="G13" s="10">
        <f>Assumptions!$B$13</f>
        <v>27000</v>
      </c>
      <c r="H13" s="15">
        <v>0</v>
      </c>
      <c r="I13" s="15">
        <v>0</v>
      </c>
      <c r="J13" s="10">
        <f t="shared" si="0"/>
        <v>-147400</v>
      </c>
      <c r="K13" s="10">
        <f t="shared" si="5"/>
        <v>628103.57173402864</v>
      </c>
      <c r="L13" s="10">
        <f t="shared" si="1"/>
        <v>480703.57173402864</v>
      </c>
      <c r="M13" s="10">
        <f>Assumptions!$B$14</f>
        <v>250000</v>
      </c>
      <c r="N13" s="10">
        <f t="shared" si="2"/>
        <v>230703.57173402864</v>
      </c>
      <c r="O13" s="8" t="str">
        <f t="shared" si="3"/>
        <v>Above policy</v>
      </c>
      <c r="P13" s="8"/>
      <c r="Q13" s="22">
        <v>46349</v>
      </c>
      <c r="R13" s="10">
        <f t="shared" si="4"/>
        <v>480703.57173402864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>
      <c r="A14" s="8">
        <v>9</v>
      </c>
      <c r="B14" s="22">
        <v>46356</v>
      </c>
      <c r="C14" s="10">
        <f>Assumptions!$B$7*Assumptions!$B$8+('AR Ageing'!$B$74*0)</f>
        <v>218080</v>
      </c>
      <c r="D14" s="10">
        <f>Assumptions!$B$9*Assumptions!$B$10+('AP Ageing'!$B$64*0)</f>
        <v>123480</v>
      </c>
      <c r="E14" s="10">
        <f>Assumptions!$B$11*0</f>
        <v>0</v>
      </c>
      <c r="F14" s="10">
        <f>Assumptions!$B$12*1</f>
        <v>52000</v>
      </c>
      <c r="G14" s="10">
        <f>Assumptions!$B$13</f>
        <v>27000</v>
      </c>
      <c r="H14" s="15">
        <v>0</v>
      </c>
      <c r="I14" s="15">
        <v>0</v>
      </c>
      <c r="J14" s="10">
        <f t="shared" si="0"/>
        <v>15600</v>
      </c>
      <c r="K14" s="10">
        <f t="shared" si="5"/>
        <v>480703.57173402864</v>
      </c>
      <c r="L14" s="10">
        <f t="shared" si="1"/>
        <v>496303.57173402864</v>
      </c>
      <c r="M14" s="10">
        <f>Assumptions!$B$14</f>
        <v>250000</v>
      </c>
      <c r="N14" s="10">
        <f t="shared" si="2"/>
        <v>246303.57173402864</v>
      </c>
      <c r="O14" s="8" t="str">
        <f t="shared" si="3"/>
        <v>Above policy</v>
      </c>
      <c r="P14" s="8"/>
      <c r="Q14" s="22">
        <v>46356</v>
      </c>
      <c r="R14" s="10">
        <f t="shared" si="4"/>
        <v>496303.57173402864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>
      <c r="A15" s="8">
        <v>10</v>
      </c>
      <c r="B15" s="22">
        <v>46363</v>
      </c>
      <c r="C15" s="10">
        <f>Assumptions!$B$7*Assumptions!$B$8+('AR Ageing'!$B$74*0)</f>
        <v>218080</v>
      </c>
      <c r="D15" s="10">
        <f>Assumptions!$B$9*Assumptions!$B$10+('AP Ageing'!$B$64*0)</f>
        <v>123480</v>
      </c>
      <c r="E15" s="10">
        <f>Assumptions!$B$11*0</f>
        <v>0</v>
      </c>
      <c r="F15" s="10">
        <f>Assumptions!$B$12*0</f>
        <v>0</v>
      </c>
      <c r="G15" s="10">
        <f>Assumptions!$B$13</f>
        <v>27000</v>
      </c>
      <c r="H15" s="15">
        <v>0</v>
      </c>
      <c r="I15" s="15">
        <v>60000</v>
      </c>
      <c r="J15" s="10">
        <f t="shared" si="0"/>
        <v>7600</v>
      </c>
      <c r="K15" s="10">
        <f t="shared" si="5"/>
        <v>496303.57173402864</v>
      </c>
      <c r="L15" s="10">
        <f t="shared" si="1"/>
        <v>503903.57173402864</v>
      </c>
      <c r="M15" s="10">
        <f>Assumptions!$B$14</f>
        <v>250000</v>
      </c>
      <c r="N15" s="10">
        <f t="shared" si="2"/>
        <v>253903.57173402864</v>
      </c>
      <c r="O15" s="8" t="str">
        <f t="shared" si="3"/>
        <v>Above policy</v>
      </c>
      <c r="P15" s="8"/>
      <c r="Q15" s="22">
        <v>46363</v>
      </c>
      <c r="R15" s="10">
        <f t="shared" si="4"/>
        <v>503903.57173402864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>
      <c r="A16" s="8">
        <v>11</v>
      </c>
      <c r="B16" s="22">
        <v>46370</v>
      </c>
      <c r="C16" s="10">
        <f>Assumptions!$B$7*Assumptions!$B$8+('AR Ageing'!$B$74*0)</f>
        <v>218080</v>
      </c>
      <c r="D16" s="10">
        <f>Assumptions!$B$9*Assumptions!$B$10+('AP Ageing'!$B$64*0)</f>
        <v>123480</v>
      </c>
      <c r="E16" s="10">
        <f>Assumptions!$B$11*0</f>
        <v>0</v>
      </c>
      <c r="F16" s="10">
        <f>Assumptions!$B$12*0</f>
        <v>0</v>
      </c>
      <c r="G16" s="10">
        <f>Assumptions!$B$13</f>
        <v>27000</v>
      </c>
      <c r="H16" s="15">
        <v>45000</v>
      </c>
      <c r="I16" s="15">
        <v>0</v>
      </c>
      <c r="J16" s="10">
        <f t="shared" si="0"/>
        <v>22600</v>
      </c>
      <c r="K16" s="10">
        <f t="shared" si="5"/>
        <v>503903.57173402864</v>
      </c>
      <c r="L16" s="10">
        <f t="shared" si="1"/>
        <v>526503.57173402864</v>
      </c>
      <c r="M16" s="10">
        <f>Assumptions!$B$14</f>
        <v>250000</v>
      </c>
      <c r="N16" s="10">
        <f t="shared" si="2"/>
        <v>276503.57173402864</v>
      </c>
      <c r="O16" s="8" t="str">
        <f t="shared" si="3"/>
        <v>Above policy</v>
      </c>
      <c r="P16" s="8"/>
      <c r="Q16" s="22">
        <v>46370</v>
      </c>
      <c r="R16" s="10">
        <f t="shared" si="4"/>
        <v>526503.57173402864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>
      <c r="A17" s="8">
        <v>12</v>
      </c>
      <c r="B17" s="22">
        <v>46377</v>
      </c>
      <c r="C17" s="10">
        <f>Assumptions!$B$7*Assumptions!$B$8+('AR Ageing'!$B$74*0)</f>
        <v>218080</v>
      </c>
      <c r="D17" s="10">
        <f>Assumptions!$B$9*Assumptions!$B$10+('AP Ageing'!$B$64*0)</f>
        <v>123480</v>
      </c>
      <c r="E17" s="10">
        <f>Assumptions!$B$11*0</f>
        <v>0</v>
      </c>
      <c r="F17" s="10">
        <f>Assumptions!$B$12*0</f>
        <v>0</v>
      </c>
      <c r="G17" s="10">
        <f>Assumptions!$B$13</f>
        <v>27000</v>
      </c>
      <c r="H17" s="15">
        <v>0</v>
      </c>
      <c r="I17" s="15">
        <v>0</v>
      </c>
      <c r="J17" s="10">
        <f t="shared" si="0"/>
        <v>67600</v>
      </c>
      <c r="K17" s="10">
        <f t="shared" si="5"/>
        <v>526503.57173402864</v>
      </c>
      <c r="L17" s="10">
        <f t="shared" si="1"/>
        <v>594103.57173402864</v>
      </c>
      <c r="M17" s="10">
        <f>Assumptions!$B$14</f>
        <v>250000</v>
      </c>
      <c r="N17" s="10">
        <f t="shared" si="2"/>
        <v>344103.57173402864</v>
      </c>
      <c r="O17" s="8" t="str">
        <f t="shared" si="3"/>
        <v>Above policy</v>
      </c>
      <c r="P17" s="8"/>
      <c r="Q17" s="22">
        <v>46377</v>
      </c>
      <c r="R17" s="10">
        <f t="shared" si="4"/>
        <v>594103.57173402864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>
      <c r="A18" s="8">
        <v>13</v>
      </c>
      <c r="B18" s="22">
        <v>46384</v>
      </c>
      <c r="C18" s="10">
        <f>Assumptions!$B$7*Assumptions!$B$8+('AR Ageing'!$B$74*0)</f>
        <v>218080</v>
      </c>
      <c r="D18" s="10">
        <f>Assumptions!$B$9*Assumptions!$B$10+('AP Ageing'!$B$64*0)</f>
        <v>123480</v>
      </c>
      <c r="E18" s="10">
        <f>Assumptions!$B$11*1</f>
        <v>215000</v>
      </c>
      <c r="F18" s="10">
        <f>Assumptions!$B$12*1</f>
        <v>52000</v>
      </c>
      <c r="G18" s="10">
        <f>Assumptions!$B$13</f>
        <v>27000</v>
      </c>
      <c r="H18" s="15">
        <v>0</v>
      </c>
      <c r="I18" s="15">
        <v>0</v>
      </c>
      <c r="J18" s="10">
        <f t="shared" si="0"/>
        <v>-199400</v>
      </c>
      <c r="K18" s="10">
        <f t="shared" si="5"/>
        <v>594103.57173402864</v>
      </c>
      <c r="L18" s="10">
        <f t="shared" si="1"/>
        <v>394703.57173402864</v>
      </c>
      <c r="M18" s="10">
        <f>Assumptions!$B$14</f>
        <v>250000</v>
      </c>
      <c r="N18" s="10">
        <f t="shared" si="2"/>
        <v>144703.57173402864</v>
      </c>
      <c r="O18" s="8" t="str">
        <f t="shared" si="3"/>
        <v>Above policy</v>
      </c>
      <c r="P18" s="8"/>
      <c r="Q18" s="22">
        <v>46384</v>
      </c>
      <c r="R18" s="10">
        <f t="shared" si="4"/>
        <v>394703.57173402864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 ht="26.75" customHeight="1">
      <c r="A21" s="36" t="s">
        <v>1219</v>
      </c>
      <c r="B21" s="36"/>
      <c r="C21" s="36"/>
      <c r="D21" s="36"/>
      <c r="E21" s="36"/>
      <c r="F21" s="3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 ht="16">
      <c r="A22" s="9" t="s">
        <v>973</v>
      </c>
      <c r="B22" s="9" t="s">
        <v>19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>
      <c r="A23" s="8" t="s">
        <v>1220</v>
      </c>
      <c r="B23" s="10">
        <f>K6</f>
        <v>857522.2194340874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>
      <c r="A24" s="8" t="s">
        <v>1221</v>
      </c>
      <c r="B24" s="10">
        <f>MIN(L6:L18)</f>
        <v>394703.57173402864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>
      <c r="A25" s="8" t="s">
        <v>1222</v>
      </c>
      <c r="B25" s="10">
        <f>L18</f>
        <v>394703.57173402864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>
      <c r="A26" s="8" t="s">
        <v>1223</v>
      </c>
      <c r="B26" s="10">
        <f>MIN(N6:N18)</f>
        <v>144703.57173402864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1:5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1:5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 spans="1:5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 spans="1:5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 spans="1:5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 spans="1:5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 spans="1:5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 spans="1:5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 spans="1:5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 spans="1:5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 spans="1:5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 spans="1:5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 spans="1:5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 spans="1:5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 spans="1:5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 spans="1:5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 spans="1:5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 spans="1:5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 spans="1:5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 spans="1:5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 spans="1:5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 spans="1:5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 spans="1:5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 spans="1:5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 spans="1:5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 spans="1:5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 spans="1:5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 spans="1:5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 spans="1:5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 spans="1:5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 spans="1:5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 spans="1:5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 spans="1:5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 spans="1:5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 spans="1:5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 spans="1:5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 spans="1:5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 spans="1:5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 spans="1:5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 spans="1:5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 spans="1:5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 spans="1:5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 spans="1:5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 spans="1:5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 spans="1:5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 spans="1:5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 spans="1:5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 spans="1:5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 spans="1:5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 spans="1:5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 spans="1:5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 spans="1:5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 spans="1:5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 spans="1: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 spans="1:5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 spans="1:5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 spans="1:5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 spans="1:5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 spans="1:5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 spans="1:5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 spans="1:5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 spans="1:5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 spans="1:5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 spans="1:5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 spans="1:5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 spans="1:5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 spans="1:5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 spans="1:5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 spans="1:5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 spans="1:5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 spans="1:5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 spans="1:5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 spans="1:5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 spans="1:5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 spans="1:5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 spans="1:5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 spans="1:5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 spans="1:5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 spans="1:5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 spans="1:5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 spans="1:5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 spans="1:5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 spans="1:5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 spans="1:5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 spans="1:5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 spans="1:5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 spans="1:5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 spans="1:5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 spans="1:5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 spans="1:5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 spans="1:5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 spans="1:5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 spans="1:5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 spans="1:5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 spans="1:5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 spans="1:5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 spans="1:5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 spans="1:5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 spans="1:5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 spans="1:5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 spans="1:5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 spans="1:5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 spans="1:5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 spans="1:5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 spans="1:5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 spans="1:5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 spans="1:5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 spans="1:5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 spans="1:5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 spans="1:5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 spans="1:5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 spans="1:5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 spans="1:5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 spans="1:5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 spans="1:5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 spans="1:5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 spans="1:5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 spans="1:5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 spans="1:5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 spans="1:5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 spans="1:5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 spans="1:5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 spans="1:5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 spans="1:5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 spans="1:5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 spans="1:5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 spans="1:5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 spans="1:5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 spans="1:5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 spans="1:5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 spans="1:5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 spans="1:5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 spans="1:5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 spans="1:5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 spans="1:5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 spans="1:5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 spans="1:5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 spans="1:5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 spans="1:5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 spans="1:5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 spans="1:5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 spans="1:5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 spans="1:5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 spans="1:5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 spans="1:5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 spans="1:5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 spans="1:5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 spans="1:5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 spans="1:5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 spans="1:5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 spans="1:5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 spans="1:5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 spans="1:5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 spans="1: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 spans="1:5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 spans="1:5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 spans="1:5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 spans="1:5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 spans="1:5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 spans="1:5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 spans="1:5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 spans="1:5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 spans="1:5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 spans="1:5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 spans="1:5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 spans="1:5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 spans="1:5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 spans="1:5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 spans="1:5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 spans="1:5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 spans="1:5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 spans="1:5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 spans="1:5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 spans="1:5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 spans="1:5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 spans="1:5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 spans="1:5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 spans="1:5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 spans="1:5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 spans="1:5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 spans="1:5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 spans="1:5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 spans="1:5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 spans="1:5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 spans="1:5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 spans="1:5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 spans="1:5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 spans="1:5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 spans="1:5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 spans="1:5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 spans="1:5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 spans="1:5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 spans="1:5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 spans="1:5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 spans="1:5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 spans="1:5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 spans="1:5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 spans="1:5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 spans="1:5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 spans="1:5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 spans="1:5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 spans="1:5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 spans="1:5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 spans="1:5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 spans="1:5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 spans="1:5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 spans="1:5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 spans="1:5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 spans="1:5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 spans="1:5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 spans="1:5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 spans="1:5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 spans="1:5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 spans="1:5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 spans="1:5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 spans="1:5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 spans="1:5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 spans="1:5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 spans="1:5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 spans="1:5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 spans="1:5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 spans="1:5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 spans="1:5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 spans="1:5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 spans="1:5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 spans="1:5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 spans="1:5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 spans="1:5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 spans="1:5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 spans="1:5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 spans="1:5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 spans="1:5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 spans="1:5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 spans="1:5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 spans="1:5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 spans="1:5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 spans="1:5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 spans="1:5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 spans="1:5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 spans="1:5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 spans="1:5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 spans="1:5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 spans="1:5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 spans="1:5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 spans="1:5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 spans="1:5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 spans="1:5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 spans="1:5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 spans="1:5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 spans="1:5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 spans="1:5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 spans="1:5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 spans="1:5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 spans="1: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 spans="1:5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 spans="1:5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 spans="1:5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 spans="1:5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 spans="1:5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 spans="1:5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 spans="1:5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 spans="1:5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 spans="1:5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 spans="1:5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 spans="1:5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 spans="1:5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 spans="1:5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 spans="1:5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 spans="1:5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 spans="1:5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 spans="1:5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 spans="1:5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 spans="1:5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 spans="1:5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 spans="1:5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 spans="1:5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 spans="1:5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 spans="1:5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 spans="1:5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 spans="1:5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 spans="1:5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 spans="1:5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 spans="1:5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 spans="1:5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 spans="1:5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 spans="1:5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 spans="1:5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 spans="1:5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 spans="1:5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 spans="1:5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 spans="1:5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 spans="1:5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 spans="1:5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 spans="1:5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 spans="1:5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 spans="1:5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 spans="1:5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 spans="1:5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 spans="1:5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 spans="1:5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 spans="1:5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 spans="1:5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 spans="1:5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 spans="1:5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 spans="1:5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 spans="1:5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 spans="1:5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 spans="1:5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 spans="1:5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 spans="1:5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 spans="1:5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 spans="1:5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 spans="1:5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 spans="1:5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 spans="1:5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 spans="1:5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 spans="1:5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 spans="1:5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 spans="1:5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 spans="1:5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 spans="1:5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 spans="1:5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 spans="1:5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 spans="1:5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 spans="1:5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 spans="1:5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 spans="1:5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 spans="1:5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 spans="1:5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 spans="1:5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 spans="1:5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 spans="1:5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 spans="1:5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 spans="1:5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 spans="1:5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 spans="1:5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 spans="1:5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 spans="1:5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 spans="1:5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 spans="1:5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 spans="1:5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 spans="1:5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 spans="1:5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 spans="1:5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 spans="1:5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 spans="1:5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 spans="1:5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 spans="1:5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 spans="1:5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 spans="1:5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 spans="1:5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 spans="1:5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 spans="1:5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 spans="1: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 spans="1:5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 spans="1:5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 spans="1:5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 spans="1:5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 spans="1:5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 spans="1:5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 spans="1:5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 spans="1:5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 spans="1:5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 spans="1:5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 spans="1:5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 spans="1:5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 spans="1:5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 spans="1:5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 spans="1:5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 spans="1:5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 spans="1:5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 spans="1:5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 spans="1:5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 spans="1:5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 spans="1:5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 spans="1:5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 spans="1:5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 spans="1:5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 spans="1:5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 spans="1:5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 spans="1:5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 spans="1:5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 spans="1:5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 spans="1:5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 spans="1:5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 spans="1:5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 spans="1:5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 spans="1:5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 spans="1:5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 spans="1:5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 spans="1:5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 spans="1:5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 spans="1:5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 spans="1:5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 spans="1:5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 spans="1:5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 spans="1:5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 spans="1:5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 spans="1:5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 spans="1:5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 spans="1:5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 spans="1:5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 spans="1:5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 spans="1:5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 spans="1:5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 spans="1:5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 spans="1:5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 spans="1:5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 spans="1:5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 spans="1:5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 spans="1:5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 spans="1:5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 spans="1:5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 spans="1:5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 spans="1:5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 spans="1:5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 spans="1:5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 spans="1:5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 spans="1:5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 spans="1:5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 spans="1:5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 spans="1:5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 spans="1:5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 spans="1:5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 spans="1:5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 spans="1:5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 spans="1:5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 spans="1:5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 spans="1:5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 spans="1:5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 spans="1:5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 spans="1:5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 spans="1:5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 spans="1:5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 spans="1:5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 spans="1:5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 spans="1:5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 spans="1:5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 spans="1:5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 spans="1:5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 spans="1:5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 spans="1:5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 spans="1:5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 spans="1:5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 spans="1:5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 spans="1:5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 spans="1:5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 spans="1:5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 spans="1:5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 spans="1:5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 spans="1:5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 spans="1:5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 spans="1:5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 spans="1: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 spans="1:5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 spans="1:5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 spans="1:5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 spans="1:5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 spans="1:5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 spans="1:5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 spans="1:5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 spans="1:5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 spans="1:5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 spans="1:5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 spans="1:5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 spans="1:5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 spans="1:5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 spans="1:5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 spans="1:5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 spans="1:5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 spans="1:5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 spans="1:5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 spans="1:5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 spans="1:5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 spans="1:5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 spans="1:5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 spans="1:5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 spans="1:5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 spans="1:5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 spans="1:5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 spans="1:5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 spans="1:5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 spans="1:5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 spans="1:5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 spans="1:5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 spans="1:5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 spans="1:5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 spans="1:5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 spans="1:5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 spans="1:5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 spans="1:5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  <row r="990" spans="1:5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</row>
    <row r="991" spans="1:5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</row>
    <row r="992" spans="1:5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</row>
    <row r="993" spans="1:5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</row>
    <row r="994" spans="1:5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</row>
    <row r="995" spans="1:5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</row>
    <row r="996" spans="1:5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</row>
    <row r="997" spans="1:5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</row>
    <row r="998" spans="1:5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</row>
    <row r="999" spans="1:5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</row>
    <row r="1000" spans="1:5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</row>
  </sheetData>
  <mergeCells count="3">
    <mergeCell ref="A1:O1"/>
    <mergeCell ref="A3:O3"/>
    <mergeCell ref="A21:F21"/>
  </mergeCells>
  <conditionalFormatting sqref="O6:O18">
    <cfRule type="expression" dxfId="5" priority="1">
      <formula>O6="Below policy"</formula>
    </cfRule>
    <cfRule type="expression" dxfId="4" priority="2">
      <formula>O6="Tight"</formula>
    </cfRule>
    <cfRule type="expression" dxfId="3" priority="3">
      <formula>O6="Above policy"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Z1000"/>
  <sheetViews>
    <sheetView workbookViewId="0">
      <selection sqref="A1:J1"/>
    </sheetView>
  </sheetViews>
  <sheetFormatPr baseColWidth="10" defaultColWidth="8.83203125" defaultRowHeight="15"/>
  <cols>
    <col min="1" max="1" width="10" customWidth="1"/>
    <col min="2" max="2" width="44" customWidth="1"/>
    <col min="3" max="3" width="24" customWidth="1"/>
    <col min="4" max="4" width="15" customWidth="1"/>
    <col min="5" max="5" width="14" customWidth="1"/>
    <col min="6" max="6" width="24" customWidth="1"/>
    <col min="7" max="7" width="38" customWidth="1"/>
    <col min="8" max="8" width="15" customWidth="1"/>
    <col min="9" max="10" width="12" customWidth="1"/>
  </cols>
  <sheetData>
    <row r="1" spans="1:52" ht="37.25" customHeight="1">
      <c r="A1" s="35" t="s">
        <v>1224</v>
      </c>
      <c r="B1" s="35"/>
      <c r="C1" s="35"/>
      <c r="D1" s="35"/>
      <c r="E1" s="35"/>
      <c r="F1" s="35"/>
      <c r="G1" s="35"/>
      <c r="H1" s="35"/>
      <c r="I1" s="35"/>
      <c r="J1" s="35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16">
      <c r="A3" s="9" t="s">
        <v>1225</v>
      </c>
      <c r="B3" s="9" t="s">
        <v>1226</v>
      </c>
      <c r="C3" s="9" t="s">
        <v>1227</v>
      </c>
      <c r="D3" s="9" t="s">
        <v>1003</v>
      </c>
      <c r="E3" s="9" t="s">
        <v>1217</v>
      </c>
      <c r="F3" s="9" t="s">
        <v>1228</v>
      </c>
      <c r="G3" s="9" t="s">
        <v>1229</v>
      </c>
      <c r="H3" s="9" t="s">
        <v>1230</v>
      </c>
      <c r="I3" s="9" t="s">
        <v>1231</v>
      </c>
      <c r="J3" s="9" t="s">
        <v>127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>
      <c r="A4" s="8">
        <v>1</v>
      </c>
      <c r="B4" s="8" t="s">
        <v>1232</v>
      </c>
      <c r="C4" s="8" t="s">
        <v>1233</v>
      </c>
      <c r="D4" s="13">
        <v>46296</v>
      </c>
      <c r="E4" s="8" t="s">
        <v>1234</v>
      </c>
      <c r="F4" s="8" t="s">
        <v>1235</v>
      </c>
      <c r="G4" s="8" t="s">
        <v>1236</v>
      </c>
      <c r="H4" s="16">
        <f t="shared" ref="H4:H19" si="0">IF(E4="Complete",100%,IF(E4="In progress",50%,0%))</f>
        <v>1</v>
      </c>
      <c r="I4" s="8" t="str">
        <f t="shared" ref="I4:I19" si="1">IF(E4="Complete","Green",IF(DATE(2026,10,3)&gt;D4,"Red","Amber"))</f>
        <v>Green</v>
      </c>
      <c r="J4" s="8" t="str">
        <f t="shared" ref="J4:J19" si="2">IF(E4="Complete","Done",IF(DATE(2026,10,3)&gt;D4,"Overdue","Open"))</f>
        <v>Done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>
      <c r="A5" s="8">
        <v>2</v>
      </c>
      <c r="B5" s="8" t="s">
        <v>1237</v>
      </c>
      <c r="C5" s="8" t="s">
        <v>1238</v>
      </c>
      <c r="D5" s="13">
        <v>46296</v>
      </c>
      <c r="E5" s="8" t="s">
        <v>1234</v>
      </c>
      <c r="F5" s="8" t="s">
        <v>1235</v>
      </c>
      <c r="G5" s="8" t="s">
        <v>1239</v>
      </c>
      <c r="H5" s="16">
        <f t="shared" si="0"/>
        <v>1</v>
      </c>
      <c r="I5" s="8" t="str">
        <f t="shared" si="1"/>
        <v>Green</v>
      </c>
      <c r="J5" s="8" t="str">
        <f t="shared" si="2"/>
        <v>Done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>
      <c r="A6" s="8">
        <v>3</v>
      </c>
      <c r="B6" s="8" t="s">
        <v>1240</v>
      </c>
      <c r="C6" s="8" t="s">
        <v>1233</v>
      </c>
      <c r="D6" s="13">
        <v>46297</v>
      </c>
      <c r="E6" s="8" t="s">
        <v>1234</v>
      </c>
      <c r="F6" s="8" t="s">
        <v>1241</v>
      </c>
      <c r="G6" s="8" t="s">
        <v>1242</v>
      </c>
      <c r="H6" s="16">
        <f t="shared" si="0"/>
        <v>1</v>
      </c>
      <c r="I6" s="8" t="str">
        <f t="shared" si="1"/>
        <v>Green</v>
      </c>
      <c r="J6" s="8" t="str">
        <f t="shared" si="2"/>
        <v>Done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>
      <c r="A7" s="8">
        <v>4</v>
      </c>
      <c r="B7" s="8" t="s">
        <v>1243</v>
      </c>
      <c r="C7" s="8" t="s">
        <v>1244</v>
      </c>
      <c r="D7" s="13">
        <v>46297</v>
      </c>
      <c r="E7" s="8" t="s">
        <v>1234</v>
      </c>
      <c r="F7" s="8" t="s">
        <v>1245</v>
      </c>
      <c r="G7" s="8" t="s">
        <v>1246</v>
      </c>
      <c r="H7" s="16">
        <f t="shared" si="0"/>
        <v>1</v>
      </c>
      <c r="I7" s="8" t="str">
        <f t="shared" si="1"/>
        <v>Green</v>
      </c>
      <c r="J7" s="8" t="str">
        <f t="shared" si="2"/>
        <v>Done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>
      <c r="A8" s="8">
        <v>5</v>
      </c>
      <c r="B8" s="8" t="s">
        <v>1247</v>
      </c>
      <c r="C8" s="8" t="s">
        <v>1248</v>
      </c>
      <c r="D8" s="13">
        <v>46297</v>
      </c>
      <c r="E8" s="8" t="s">
        <v>1249</v>
      </c>
      <c r="F8" s="8" t="s">
        <v>1245</v>
      </c>
      <c r="G8" s="8" t="s">
        <v>1250</v>
      </c>
      <c r="H8" s="16">
        <f t="shared" si="0"/>
        <v>0.5</v>
      </c>
      <c r="I8" s="8" t="str">
        <f t="shared" si="1"/>
        <v>Red</v>
      </c>
      <c r="J8" s="8" t="str">
        <f t="shared" si="2"/>
        <v>Overdue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>
      <c r="A9" s="8">
        <v>6</v>
      </c>
      <c r="B9" s="8" t="s">
        <v>1251</v>
      </c>
      <c r="C9" s="8" t="s">
        <v>1238</v>
      </c>
      <c r="D9" s="13">
        <v>46297</v>
      </c>
      <c r="E9" s="8" t="s">
        <v>1234</v>
      </c>
      <c r="F9" s="8" t="s">
        <v>1252</v>
      </c>
      <c r="G9" s="8" t="s">
        <v>1246</v>
      </c>
      <c r="H9" s="16">
        <f t="shared" si="0"/>
        <v>1</v>
      </c>
      <c r="I9" s="8" t="str">
        <f t="shared" si="1"/>
        <v>Green</v>
      </c>
      <c r="J9" s="8" t="str">
        <f t="shared" si="2"/>
        <v>Done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>
      <c r="A10" s="8">
        <v>7</v>
      </c>
      <c r="B10" s="8" t="s">
        <v>1253</v>
      </c>
      <c r="C10" s="8" t="s">
        <v>1254</v>
      </c>
      <c r="D10" s="13">
        <v>46297</v>
      </c>
      <c r="E10" s="8" t="s">
        <v>1234</v>
      </c>
      <c r="F10" s="8" t="s">
        <v>1255</v>
      </c>
      <c r="G10" s="8" t="s">
        <v>1256</v>
      </c>
      <c r="H10" s="16">
        <f t="shared" si="0"/>
        <v>1</v>
      </c>
      <c r="I10" s="8" t="str">
        <f t="shared" si="1"/>
        <v>Green</v>
      </c>
      <c r="J10" s="8" t="str">
        <f t="shared" si="2"/>
        <v>Done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>
      <c r="A11" s="8">
        <v>8</v>
      </c>
      <c r="B11" s="8" t="s">
        <v>1257</v>
      </c>
      <c r="C11" s="8" t="s">
        <v>1254</v>
      </c>
      <c r="D11" s="13">
        <v>46297</v>
      </c>
      <c r="E11" s="8" t="s">
        <v>1234</v>
      </c>
      <c r="F11" s="8" t="s">
        <v>1255</v>
      </c>
      <c r="G11" s="8" t="s">
        <v>1258</v>
      </c>
      <c r="H11" s="16">
        <f t="shared" si="0"/>
        <v>1</v>
      </c>
      <c r="I11" s="8" t="str">
        <f t="shared" si="1"/>
        <v>Green</v>
      </c>
      <c r="J11" s="8" t="str">
        <f t="shared" si="2"/>
        <v>Done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>
      <c r="A12" s="8">
        <v>9</v>
      </c>
      <c r="B12" s="8" t="s">
        <v>1259</v>
      </c>
      <c r="C12" s="8" t="s">
        <v>1254</v>
      </c>
      <c r="D12" s="13">
        <v>46297</v>
      </c>
      <c r="E12" s="8" t="s">
        <v>1234</v>
      </c>
      <c r="F12" s="8" t="s">
        <v>1255</v>
      </c>
      <c r="G12" s="8" t="s">
        <v>1260</v>
      </c>
      <c r="H12" s="16">
        <f t="shared" si="0"/>
        <v>1</v>
      </c>
      <c r="I12" s="8" t="str">
        <f t="shared" si="1"/>
        <v>Green</v>
      </c>
      <c r="J12" s="8" t="str">
        <f t="shared" si="2"/>
        <v>Done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>
      <c r="A13" s="8">
        <v>10</v>
      </c>
      <c r="B13" s="8" t="s">
        <v>1261</v>
      </c>
      <c r="C13" s="8" t="s">
        <v>1262</v>
      </c>
      <c r="D13" s="13">
        <v>46297</v>
      </c>
      <c r="E13" s="8" t="s">
        <v>1234</v>
      </c>
      <c r="F13" s="8" t="s">
        <v>1255</v>
      </c>
      <c r="G13" s="8" t="s">
        <v>924</v>
      </c>
      <c r="H13" s="16">
        <f t="shared" si="0"/>
        <v>1</v>
      </c>
      <c r="I13" s="8" t="str">
        <f t="shared" si="1"/>
        <v>Green</v>
      </c>
      <c r="J13" s="8" t="str">
        <f t="shared" si="2"/>
        <v>Done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>
      <c r="A14" s="8">
        <v>11</v>
      </c>
      <c r="B14" s="8" t="s">
        <v>1263</v>
      </c>
      <c r="C14" s="8" t="s">
        <v>1262</v>
      </c>
      <c r="D14" s="13">
        <v>46298</v>
      </c>
      <c r="E14" s="8" t="s">
        <v>1249</v>
      </c>
      <c r="F14" s="8" t="s">
        <v>1264</v>
      </c>
      <c r="G14" s="8" t="s">
        <v>1265</v>
      </c>
      <c r="H14" s="16">
        <f t="shared" si="0"/>
        <v>0.5</v>
      </c>
      <c r="I14" s="8" t="str">
        <f t="shared" si="1"/>
        <v>Amber</v>
      </c>
      <c r="J14" s="8" t="str">
        <f t="shared" si="2"/>
        <v>Open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>
      <c r="A15" s="8">
        <v>12</v>
      </c>
      <c r="B15" s="8" t="s">
        <v>1266</v>
      </c>
      <c r="C15" s="8" t="s">
        <v>1254</v>
      </c>
      <c r="D15" s="13">
        <v>46298</v>
      </c>
      <c r="E15" s="8" t="s">
        <v>1249</v>
      </c>
      <c r="F15" s="8" t="s">
        <v>1267</v>
      </c>
      <c r="G15" s="8" t="s">
        <v>1268</v>
      </c>
      <c r="H15" s="16">
        <f t="shared" si="0"/>
        <v>0.5</v>
      </c>
      <c r="I15" s="8" t="str">
        <f t="shared" si="1"/>
        <v>Amber</v>
      </c>
      <c r="J15" s="8" t="str">
        <f t="shared" si="2"/>
        <v>Open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>
      <c r="A16" s="8">
        <v>13</v>
      </c>
      <c r="B16" s="8" t="s">
        <v>1269</v>
      </c>
      <c r="C16" s="8" t="s">
        <v>1262</v>
      </c>
      <c r="D16" s="13">
        <v>46298</v>
      </c>
      <c r="E16" s="8" t="s">
        <v>1270</v>
      </c>
      <c r="F16" s="8" t="s">
        <v>1271</v>
      </c>
      <c r="G16" s="8" t="s">
        <v>1272</v>
      </c>
      <c r="H16" s="16">
        <f t="shared" si="0"/>
        <v>0</v>
      </c>
      <c r="I16" s="8" t="str">
        <f t="shared" si="1"/>
        <v>Amber</v>
      </c>
      <c r="J16" s="8" t="str">
        <f t="shared" si="2"/>
        <v>Open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>
      <c r="A17" s="8">
        <v>14</v>
      </c>
      <c r="B17" s="8" t="s">
        <v>1273</v>
      </c>
      <c r="C17" s="8" t="s">
        <v>1248</v>
      </c>
      <c r="D17" s="13">
        <v>46298</v>
      </c>
      <c r="E17" s="8" t="s">
        <v>1270</v>
      </c>
      <c r="F17" s="8" t="s">
        <v>1274</v>
      </c>
      <c r="G17" s="8" t="s">
        <v>1275</v>
      </c>
      <c r="H17" s="16">
        <f t="shared" si="0"/>
        <v>0</v>
      </c>
      <c r="I17" s="8" t="str">
        <f t="shared" si="1"/>
        <v>Amber</v>
      </c>
      <c r="J17" s="8" t="str">
        <f t="shared" si="2"/>
        <v>Open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>
      <c r="A18" s="8">
        <v>15</v>
      </c>
      <c r="B18" s="8" t="s">
        <v>1276</v>
      </c>
      <c r="C18" s="8" t="s">
        <v>1262</v>
      </c>
      <c r="D18" s="13">
        <v>46298</v>
      </c>
      <c r="E18" s="8" t="s">
        <v>1270</v>
      </c>
      <c r="F18" s="8" t="s">
        <v>1277</v>
      </c>
      <c r="G18" s="8" t="s">
        <v>1278</v>
      </c>
      <c r="H18" s="16">
        <f t="shared" si="0"/>
        <v>0</v>
      </c>
      <c r="I18" s="8" t="str">
        <f t="shared" si="1"/>
        <v>Amber</v>
      </c>
      <c r="J18" s="8" t="str">
        <f t="shared" si="2"/>
        <v>Open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>
      <c r="A19" s="8">
        <v>16</v>
      </c>
      <c r="B19" s="8" t="s">
        <v>1279</v>
      </c>
      <c r="C19" s="8" t="s">
        <v>1280</v>
      </c>
      <c r="D19" s="13">
        <v>46300</v>
      </c>
      <c r="E19" s="8" t="s">
        <v>1270</v>
      </c>
      <c r="F19" s="8" t="s">
        <v>1281</v>
      </c>
      <c r="G19" s="8" t="s">
        <v>1282</v>
      </c>
      <c r="H19" s="16">
        <f t="shared" si="0"/>
        <v>0</v>
      </c>
      <c r="I19" s="8" t="str">
        <f t="shared" si="1"/>
        <v>Amber</v>
      </c>
      <c r="J19" s="8" t="str">
        <f t="shared" si="2"/>
        <v>Open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 ht="26.75" customHeight="1">
      <c r="A22" s="36" t="s">
        <v>1283</v>
      </c>
      <c r="B22" s="36"/>
      <c r="C22" s="36"/>
      <c r="D22" s="36"/>
      <c r="E22" s="36"/>
      <c r="F22" s="36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 ht="16">
      <c r="A23" s="9" t="s">
        <v>973</v>
      </c>
      <c r="B23" s="9" t="s">
        <v>19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>
      <c r="A24" s="8" t="s">
        <v>1284</v>
      </c>
      <c r="B24" s="8">
        <f>COUNTIF(E4:E19,"Complete")</f>
        <v>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>
      <c r="A25" s="8" t="s">
        <v>1285</v>
      </c>
      <c r="B25" s="8">
        <f>COUNTIF(E4:E19,"In progress")</f>
        <v>3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>
      <c r="A26" s="8" t="s">
        <v>1286</v>
      </c>
      <c r="B26" s="8">
        <f>COUNTIF(E4:E19,"Not started")</f>
        <v>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>
      <c r="A27" s="8" t="s">
        <v>1287</v>
      </c>
      <c r="B27" s="16">
        <f>AVERAGE(H4:H19)</f>
        <v>0.65625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1:5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1:5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 spans="1:5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 spans="1:5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 spans="1:5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 spans="1:5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 spans="1:5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 spans="1:5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 spans="1:5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 spans="1:5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 spans="1:5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 spans="1:5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 spans="1:5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 spans="1:5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 spans="1:5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 spans="1:5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 spans="1:5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 spans="1:5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 spans="1:5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 spans="1:5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 spans="1:5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 spans="1:5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 spans="1:5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 spans="1:5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 spans="1:5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 spans="1:5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 spans="1:5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 spans="1:5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 spans="1:5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 spans="1:5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 spans="1:5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 spans="1:5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 spans="1:5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 spans="1:5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 spans="1:5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 spans="1:5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 spans="1:5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 spans="1:5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 spans="1:5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 spans="1:5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 spans="1:5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 spans="1:5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 spans="1:5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 spans="1:5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 spans="1:5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 spans="1:5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 spans="1:5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 spans="1:5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 spans="1:5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 spans="1:5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 spans="1:5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 spans="1:5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 spans="1:5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 spans="1: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 spans="1:5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 spans="1:5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 spans="1:5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 spans="1:5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 spans="1:5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 spans="1:5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 spans="1:5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 spans="1:5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 spans="1:5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 spans="1:5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 spans="1:5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 spans="1:5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 spans="1:5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 spans="1:5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 spans="1:5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 spans="1:5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 spans="1:5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 spans="1:5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 spans="1:5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 spans="1:5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 spans="1:5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 spans="1:5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 spans="1:5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 spans="1:5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 spans="1:5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 spans="1:5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 spans="1:5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 spans="1:5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 spans="1:5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 spans="1:5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 spans="1:5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 spans="1:5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 spans="1:5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 spans="1:5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 spans="1:5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 spans="1:5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 spans="1:5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 spans="1:5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 spans="1:5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 spans="1:5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 spans="1:5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 spans="1:5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 spans="1:5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 spans="1:5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 spans="1:5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 spans="1:5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 spans="1:5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 spans="1:5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 spans="1:5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 spans="1:5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 spans="1:5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 spans="1:5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 spans="1:5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 spans="1:5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 spans="1:5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 spans="1:5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 spans="1:5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 spans="1:5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 spans="1:5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 spans="1:5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 spans="1:5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 spans="1:5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 spans="1:5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 spans="1:5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 spans="1:5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 spans="1:5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 spans="1:5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 spans="1:5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 spans="1:5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 spans="1:5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 spans="1:5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 spans="1:5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 spans="1:5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 spans="1:5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 spans="1:5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 spans="1:5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 spans="1:5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 spans="1:5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 spans="1:5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 spans="1:5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 spans="1:5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 spans="1:5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 spans="1:5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 spans="1:5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 spans="1:5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 spans="1:5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 spans="1:5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 spans="1:5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 spans="1:5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 spans="1:5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 spans="1:5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 spans="1:5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 spans="1:5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 spans="1:5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 spans="1:5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 spans="1:5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 spans="1:5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 spans="1:5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 spans="1:5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 spans="1: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 spans="1:5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 spans="1:5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 spans="1:5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 spans="1:5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 spans="1:5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 spans="1:5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 spans="1:5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 spans="1:5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 spans="1:5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 spans="1:5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 spans="1:5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 spans="1:5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 spans="1:5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 spans="1:5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 spans="1:5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 spans="1:5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 spans="1:5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 spans="1:5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 spans="1:5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 spans="1:5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 spans="1:5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 spans="1:5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 spans="1:5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 spans="1:5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 spans="1:5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 spans="1:5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 spans="1:5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 spans="1:5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 spans="1:5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 spans="1:5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 spans="1:5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 spans="1:5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 spans="1:5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 spans="1:5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 spans="1:5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 spans="1:5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 spans="1:5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 spans="1:5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 spans="1:5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 spans="1:5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 spans="1:5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 spans="1:5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 spans="1:5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 spans="1:5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 spans="1:5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 spans="1:5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 spans="1:5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 spans="1:5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 spans="1:5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 spans="1:5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 spans="1:5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 spans="1:5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 spans="1:5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 spans="1:5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 spans="1:5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 spans="1:5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 spans="1:5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 spans="1:5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 spans="1:5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 spans="1:5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 spans="1:5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 spans="1:5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 spans="1:5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 spans="1:5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 spans="1:5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 spans="1:5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 spans="1:5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 spans="1:5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 spans="1:5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 spans="1:5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 spans="1:5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 spans="1:5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 spans="1:5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 spans="1:5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 spans="1:5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 spans="1:5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 spans="1:5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 spans="1:5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 spans="1:5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 spans="1:5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 spans="1:5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 spans="1:5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 spans="1:5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 spans="1:5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 spans="1:5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 spans="1:5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 spans="1:5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 spans="1:5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 spans="1:5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 spans="1:5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 spans="1:5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 spans="1:5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 spans="1:5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 spans="1:5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 spans="1:5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 spans="1:5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 spans="1:5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 spans="1:5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 spans="1:5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 spans="1: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 spans="1:5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 spans="1:5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 spans="1:5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 spans="1:5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 spans="1:5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 spans="1:5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 spans="1:5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 spans="1:5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 spans="1:5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 spans="1:5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 spans="1:5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 spans="1:5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 spans="1:5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 spans="1:5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 spans="1:5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 spans="1:5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 spans="1:5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 spans="1:5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 spans="1:5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 spans="1:5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 spans="1:5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 spans="1:5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 spans="1:5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 spans="1:5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 spans="1:5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 spans="1:5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 spans="1:5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 spans="1:5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 spans="1:5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 spans="1:5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 spans="1:5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 spans="1:5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 spans="1:5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 spans="1:5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 spans="1:5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 spans="1:5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 spans="1:5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 spans="1:5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 spans="1:5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 spans="1:5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 spans="1:5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 spans="1:5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 spans="1:5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 spans="1:5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 spans="1:5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 spans="1:5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 spans="1:5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 spans="1:5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 spans="1:5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 spans="1:5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 spans="1:5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 spans="1:5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 spans="1:5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 spans="1:5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 spans="1:5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 spans="1:5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 spans="1:5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 spans="1:5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 spans="1:5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 spans="1:5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 spans="1:5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 spans="1:5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 spans="1:5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 spans="1:5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 spans="1:5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 spans="1:5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 spans="1:5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 spans="1:5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 spans="1:5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 spans="1:5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 spans="1:5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 spans="1:5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 spans="1:5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 spans="1:5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 spans="1:5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 spans="1:5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 spans="1:5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 spans="1:5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 spans="1:5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 spans="1:5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 spans="1:5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 spans="1:5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 spans="1:5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 spans="1:5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 spans="1:5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 spans="1:5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 spans="1:5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 spans="1:5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 spans="1:5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 spans="1:5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 spans="1:5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 spans="1:5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 spans="1:5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 spans="1:5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 spans="1:5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 spans="1:5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 spans="1:5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 spans="1:5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 spans="1:5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 spans="1: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 spans="1:5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 spans="1:5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 spans="1:5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 spans="1:5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 spans="1:5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 spans="1:5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 spans="1:5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 spans="1:5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 spans="1:5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 spans="1:5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 spans="1:5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 spans="1:5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 spans="1:5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 spans="1:5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 spans="1:5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 spans="1:5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 spans="1:5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 spans="1:5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 spans="1:5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 spans="1:5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 spans="1:5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 spans="1:5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 spans="1:5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 spans="1:5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 spans="1:5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 spans="1:5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 spans="1:5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 spans="1:5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 spans="1:5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 spans="1:5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 spans="1:5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 spans="1:5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 spans="1:5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 spans="1:5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 spans="1:5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 spans="1:5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 spans="1:5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 spans="1:5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 spans="1:5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 spans="1:5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 spans="1:5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 spans="1:5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 spans="1:5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 spans="1:5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 spans="1:5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 spans="1:5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 spans="1:5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 spans="1:5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 spans="1:5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 spans="1:5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 spans="1:5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 spans="1:5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 spans="1:5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 spans="1:5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 spans="1:5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 spans="1:5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 spans="1:5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 spans="1:5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 spans="1:5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 spans="1:5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 spans="1:5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 spans="1:5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 spans="1:5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 spans="1:5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 spans="1:5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 spans="1:5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 spans="1:5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 spans="1:5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 spans="1:5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 spans="1:5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 spans="1:5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 spans="1:5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 spans="1:5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 spans="1:5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 spans="1:5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 spans="1:5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 spans="1:5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 spans="1:5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 spans="1:5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 spans="1:5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 spans="1:5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 spans="1:5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 spans="1:5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 spans="1:5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 spans="1:5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 spans="1:5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 spans="1:5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 spans="1:5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 spans="1:5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 spans="1:5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 spans="1:5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 spans="1:5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 spans="1:5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 spans="1:5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 spans="1:5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 spans="1:5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 spans="1:5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 spans="1:5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 spans="1:5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 spans="1: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 spans="1:5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 spans="1:5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 spans="1:5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 spans="1:5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 spans="1:5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 spans="1:5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 spans="1:5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 spans="1:5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 spans="1:5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 spans="1:5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 spans="1:5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 spans="1:5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 spans="1:5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 spans="1:5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 spans="1:5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 spans="1:5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 spans="1:5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 spans="1:5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 spans="1:5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 spans="1:5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 spans="1:5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 spans="1:5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 spans="1:5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 spans="1:5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 spans="1:5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 spans="1:5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 spans="1:5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 spans="1:5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 spans="1:5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 spans="1:5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 spans="1:5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 spans="1:5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 spans="1:5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 spans="1:5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 spans="1:5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 spans="1:5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 spans="1:5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  <row r="990" spans="1:5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</row>
    <row r="991" spans="1:5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</row>
    <row r="992" spans="1:5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</row>
    <row r="993" spans="1:5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</row>
    <row r="994" spans="1:5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</row>
    <row r="995" spans="1:5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</row>
    <row r="996" spans="1:5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</row>
    <row r="997" spans="1:5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</row>
    <row r="998" spans="1:5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</row>
    <row r="999" spans="1:5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</row>
    <row r="1000" spans="1:5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</row>
  </sheetData>
  <mergeCells count="2">
    <mergeCell ref="A1:J1"/>
    <mergeCell ref="A22:F22"/>
  </mergeCells>
  <conditionalFormatting sqref="I4:I19">
    <cfRule type="expression" dxfId="2" priority="1">
      <formula>I4="Red"</formula>
    </cfRule>
    <cfRule type="expression" dxfId="1" priority="2">
      <formula>I4="Amber"</formula>
    </cfRule>
    <cfRule type="expression" dxfId="0" priority="3">
      <formula>I4="Green"</formula>
    </cfRule>
  </conditionalFormatting>
  <dataValidations count="1">
    <dataValidation type="list" sqref="E4:E19" xr:uid="{00000000-0002-0000-0F00-000000000000}">
      <formula1>"Not started,In progress,Complete"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Z1000"/>
  <sheetViews>
    <sheetView topLeftCell="A12" workbookViewId="0">
      <selection sqref="A1:N1"/>
    </sheetView>
  </sheetViews>
  <sheetFormatPr baseColWidth="10" defaultColWidth="8.83203125" defaultRowHeight="15"/>
  <cols>
    <col min="1" max="1" width="12" customWidth="1"/>
    <col min="2" max="2" width="20" customWidth="1"/>
    <col min="3" max="3" width="16" customWidth="1"/>
    <col min="4" max="4" width="4" customWidth="1"/>
    <col min="5" max="6" width="15" customWidth="1"/>
    <col min="7" max="7" width="4" customWidth="1"/>
    <col min="8" max="9" width="15" customWidth="1"/>
    <col min="10" max="10" width="17" customWidth="1"/>
    <col min="11" max="12" width="16" customWidth="1"/>
    <col min="13" max="14" width="14" customWidth="1"/>
  </cols>
  <sheetData>
    <row r="1" spans="1:52" ht="37.25" customHeight="1">
      <c r="A1" s="35" t="s">
        <v>1288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>
      <c r="A3" s="38" t="s">
        <v>1289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>
      <c r="A5" s="39" t="s">
        <v>1290</v>
      </c>
      <c r="B5" s="39"/>
      <c r="C5" s="39"/>
      <c r="D5" s="39" t="s">
        <v>1291</v>
      </c>
      <c r="E5" s="39"/>
      <c r="F5" s="39"/>
      <c r="G5" s="39" t="s">
        <v>1292</v>
      </c>
      <c r="H5" s="39"/>
      <c r="I5" s="39"/>
      <c r="J5" s="39" t="s">
        <v>1194</v>
      </c>
      <c r="K5" s="39"/>
      <c r="L5" s="39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>
      <c r="A6" s="40">
        <f>'Management P&amp;L'!K4</f>
        <v>8300000</v>
      </c>
      <c r="B6" s="41"/>
      <c r="C6" s="41"/>
      <c r="D6" s="40">
        <f>'Management P&amp;L'!K18</f>
        <v>-7599.9369173431187</v>
      </c>
      <c r="E6" s="41"/>
      <c r="F6" s="41"/>
      <c r="G6" s="40">
        <f>'Balance Sheet'!C4</f>
        <v>857522.2194340874</v>
      </c>
      <c r="H6" s="41"/>
      <c r="I6" s="41"/>
      <c r="J6" s="42">
        <f>'Working Capital'!B20</f>
        <v>-19.113094302061597</v>
      </c>
      <c r="K6" s="41"/>
      <c r="L6" s="41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>
      <c r="A9" s="39" t="s">
        <v>1200</v>
      </c>
      <c r="B9" s="39"/>
      <c r="C9" s="39"/>
      <c r="D9" s="39" t="s">
        <v>1293</v>
      </c>
      <c r="E9" s="39"/>
      <c r="F9" s="39"/>
      <c r="G9" s="39" t="s">
        <v>1294</v>
      </c>
      <c r="H9" s="39"/>
      <c r="I9" s="39"/>
      <c r="J9" s="39" t="s">
        <v>1295</v>
      </c>
      <c r="K9" s="39"/>
      <c r="L9" s="39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>
      <c r="A10" s="43">
        <f>'Working Capital'!B22</f>
        <v>1.5102085707941547E-2</v>
      </c>
      <c r="B10" s="41"/>
      <c r="C10" s="41"/>
      <c r="D10" s="40">
        <f>'Bank Reconciliation'!B17</f>
        <v>0</v>
      </c>
      <c r="E10" s="41"/>
      <c r="F10" s="41"/>
      <c r="G10" s="40">
        <f>'13-Week Cash Forecast'!B25</f>
        <v>394703.57173402864</v>
      </c>
      <c r="H10" s="41"/>
      <c r="I10" s="41"/>
      <c r="J10" s="43">
        <f>'Month-End Close'!B27</f>
        <v>0.65625</v>
      </c>
      <c r="K10" s="41"/>
      <c r="L10" s="41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 ht="26.75" customHeight="1">
      <c r="A14" s="36" t="s">
        <v>1296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 ht="16">
      <c r="A15" s="9" t="s">
        <v>136</v>
      </c>
      <c r="B15" s="9" t="s">
        <v>1186</v>
      </c>
      <c r="C15" s="9" t="s">
        <v>1297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>
      <c r="A16" s="8" t="s">
        <v>945</v>
      </c>
      <c r="B16" s="23">
        <f>'Management P&amp;L'!B4</f>
        <v>820000</v>
      </c>
      <c r="C16" s="23">
        <f>'Management P&amp;L'!B18</f>
        <v>-117287.96925251675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>
      <c r="A17" s="8" t="s">
        <v>946</v>
      </c>
      <c r="B17" s="23">
        <f>'Management P&amp;L'!C4</f>
        <v>844999.99999999988</v>
      </c>
      <c r="C17" s="23">
        <f>'Management P&amp;L'!C18</f>
        <v>-14123.131999635953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>
      <c r="A18" s="8" t="s">
        <v>947</v>
      </c>
      <c r="B18" s="23">
        <f>'Management P&amp;L'!D4</f>
        <v>875000</v>
      </c>
      <c r="C18" s="23">
        <f>'Management P&amp;L'!D18</f>
        <v>2566.1377679803409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>
      <c r="A19" s="8" t="s">
        <v>948</v>
      </c>
      <c r="B19" s="23">
        <f>'Management P&amp;L'!E4</f>
        <v>899999.99999999988</v>
      </c>
      <c r="C19" s="23">
        <f>'Management P&amp;L'!E18</f>
        <v>10905.934721119527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>
      <c r="A20" s="8" t="s">
        <v>949</v>
      </c>
      <c r="B20" s="23">
        <f>'Management P&amp;L'!F4</f>
        <v>930000</v>
      </c>
      <c r="C20" s="23">
        <f>'Management P&amp;L'!F18</f>
        <v>20506.903080482734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>
      <c r="A21" s="8" t="s">
        <v>950</v>
      </c>
      <c r="B21" s="23">
        <f>'Management P&amp;L'!G4</f>
        <v>955000</v>
      </c>
      <c r="C21" s="23">
        <f>'Management P&amp;L'!G18</f>
        <v>21072.306779625011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>
      <c r="A22" s="8" t="s">
        <v>951</v>
      </c>
      <c r="B22" s="23">
        <f>'Management P&amp;L'!H4</f>
        <v>970000.00000000012</v>
      </c>
      <c r="C22" s="23">
        <f>'Management P&amp;L'!H18</f>
        <v>35344.34735321789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>
      <c r="A23" s="8" t="s">
        <v>952</v>
      </c>
      <c r="B23" s="23">
        <f>'Management P&amp;L'!I4</f>
        <v>989999.99999999988</v>
      </c>
      <c r="C23" s="23">
        <f>'Management P&amp;L'!I18</f>
        <v>30192.228384751885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>
      <c r="A24" s="8" t="s">
        <v>953</v>
      </c>
      <c r="B24" s="23">
        <f>'Management P&amp;L'!J4</f>
        <v>1015000.0000000002</v>
      </c>
      <c r="C24" s="23">
        <f>'Management P&amp;L'!J18</f>
        <v>3223.3062476321938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 ht="26.75" customHeight="1">
      <c r="A34" s="36" t="s">
        <v>1298</v>
      </c>
      <c r="B34" s="36"/>
      <c r="C34" s="36"/>
      <c r="D34" s="36"/>
      <c r="E34" s="36"/>
      <c r="F34" s="36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 ht="32">
      <c r="A35" s="9" t="s">
        <v>136</v>
      </c>
      <c r="B35" s="9" t="s">
        <v>1191</v>
      </c>
      <c r="C35" s="9" t="s">
        <v>1192</v>
      </c>
      <c r="D35" s="9" t="s">
        <v>1193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>
      <c r="A36" s="8" t="s">
        <v>945</v>
      </c>
      <c r="B36" s="24">
        <f>'Working Capital'!G4</f>
        <v>30.618292682926828</v>
      </c>
      <c r="C36" s="24">
        <f>'Working Capital'!H4</f>
        <v>42.547725774555055</v>
      </c>
      <c r="D36" s="24">
        <f>'Working Capital'!I4</f>
        <v>46.798586298834053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>
      <c r="A37" s="8" t="s">
        <v>946</v>
      </c>
      <c r="B37" s="24">
        <f>'Working Capital'!G5</f>
        <v>31.152426035502963</v>
      </c>
      <c r="C37" s="24">
        <f>'Working Capital'!H5</f>
        <v>41.738244326267704</v>
      </c>
      <c r="D37" s="24">
        <f>'Working Capital'!I5</f>
        <v>52.98198851479512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>
      <c r="A38" s="8" t="s">
        <v>947</v>
      </c>
      <c r="B38" s="24">
        <f>'Working Capital'!G6</f>
        <v>31.344342857142856</v>
      </c>
      <c r="C38" s="24">
        <f>'Working Capital'!H6</f>
        <v>40.380239130434767</v>
      </c>
      <c r="D38" s="24">
        <f>'Working Capital'!I6</f>
        <v>58.208943176480105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>
      <c r="A39" s="8" t="s">
        <v>948</v>
      </c>
      <c r="B39" s="24">
        <f>'Working Capital'!G7</f>
        <v>31.79366666666666</v>
      </c>
      <c r="C39" s="24">
        <f>'Working Capital'!H7</f>
        <v>40.001324242424239</v>
      </c>
      <c r="D39" s="24">
        <f>'Working Capital'!I7</f>
        <v>63.985621585047546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>
      <c r="A40" s="8" t="s">
        <v>949</v>
      </c>
      <c r="B40" s="24">
        <f>'Working Capital'!G8</f>
        <v>31.968064516129022</v>
      </c>
      <c r="C40" s="24">
        <f>'Working Capital'!H8</f>
        <v>38.852239816340941</v>
      </c>
      <c r="D40" s="24">
        <f>'Working Capital'!I8</f>
        <v>69.11216196726798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>
      <c r="A41" s="8" t="s">
        <v>950</v>
      </c>
      <c r="B41" s="24">
        <f>'Working Capital'!G9</f>
        <v>32.391204188481673</v>
      </c>
      <c r="C41" s="24">
        <f>'Working Capital'!H9</f>
        <v>37.46624896289304</v>
      </c>
      <c r="D41" s="24">
        <f>'Working Capital'!I9</f>
        <v>74.412007996171354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>
      <c r="A42" s="8" t="s">
        <v>951</v>
      </c>
      <c r="B42" s="24">
        <f>'Working Capital'!G10</f>
        <v>33.030309278350508</v>
      </c>
      <c r="C42" s="24">
        <f>'Working Capital'!H10</f>
        <v>37.321743719255934</v>
      </c>
      <c r="D42" s="24">
        <f>'Working Capital'!I10</f>
        <v>80.376536474446681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>
      <c r="A43" s="8" t="s">
        <v>952</v>
      </c>
      <c r="B43" s="24">
        <f>'Working Capital'!G11</f>
        <v>33.563030303030303</v>
      </c>
      <c r="C43" s="24">
        <f>'Working Capital'!H11</f>
        <v>36.634743034743039</v>
      </c>
      <c r="D43" s="24">
        <f>'Working Capital'!I11</f>
        <v>86.058007200123967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>
      <c r="A44" s="8" t="s">
        <v>953</v>
      </c>
      <c r="B44" s="24">
        <f>'Working Capital'!G12</f>
        <v>34.026354679802964</v>
      </c>
      <c r="C44" s="24">
        <f>'Working Capital'!H12</f>
        <v>35.797973516518283</v>
      </c>
      <c r="D44" s="24">
        <f>'Working Capital'!I12</f>
        <v>88.937422498382844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 ht="26.75" customHeight="1">
      <c r="A53" s="36" t="s">
        <v>1299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>
      <c r="A54" s="25">
        <v>1</v>
      </c>
      <c r="B54" s="44" t="s">
        <v>1300</v>
      </c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>
      <c r="A55" s="25">
        <v>2</v>
      </c>
      <c r="B55" s="44" t="s">
        <v>1301</v>
      </c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>
      <c r="A56" s="25">
        <v>3</v>
      </c>
      <c r="B56" s="44" t="s">
        <v>1302</v>
      </c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>
      <c r="A57" s="25">
        <v>4</v>
      </c>
      <c r="B57" s="44" t="s">
        <v>1303</v>
      </c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>
      <c r="A58" s="25">
        <v>5</v>
      </c>
      <c r="B58" s="44" t="s">
        <v>1304</v>
      </c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1:5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1:5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 spans="1:5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 spans="1:5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 spans="1:5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 spans="1:5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 spans="1:5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 spans="1:5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 spans="1:5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 spans="1:5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 spans="1:5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 spans="1:5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 spans="1:5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 spans="1:5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 spans="1:5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 spans="1:5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 spans="1:5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 spans="1:5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 spans="1:5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 spans="1:5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 spans="1:5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 spans="1:5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 spans="1:5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 spans="1:5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 spans="1:5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 spans="1:5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 spans="1:5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 spans="1:5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 spans="1:5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 spans="1:5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 spans="1:5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 spans="1:5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 spans="1:5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 spans="1:5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 spans="1:5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 spans="1:5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 spans="1:5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 spans="1:5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 spans="1:5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 spans="1:5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 spans="1:5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 spans="1:5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 spans="1:5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 spans="1:5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 spans="1:5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 spans="1:5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 spans="1:5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 spans="1:5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 spans="1:5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 spans="1:5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 spans="1:5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 spans="1:5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 spans="1:5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 spans="1: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 spans="1:5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 spans="1:5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 spans="1:5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 spans="1:5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 spans="1:5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 spans="1:5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 spans="1:5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 spans="1:5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 spans="1:5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 spans="1:5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 spans="1:5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 spans="1:5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 spans="1:5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 spans="1:5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 spans="1:5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 spans="1:5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 spans="1:5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 spans="1:5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 spans="1:5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 spans="1:5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 spans="1:5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 spans="1:5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 spans="1:5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 spans="1:5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 spans="1:5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 spans="1:5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 spans="1:5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 spans="1:5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 spans="1:5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 spans="1:5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 spans="1:5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 spans="1:5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 spans="1:5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 spans="1:5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 spans="1:5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 spans="1:5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 spans="1:5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 spans="1:5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 spans="1:5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 spans="1:5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 spans="1:5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 spans="1:5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 spans="1:5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 spans="1:5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 spans="1:5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 spans="1:5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 spans="1:5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 spans="1:5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 spans="1:5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 spans="1:5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 spans="1:5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 spans="1:5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 spans="1:5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 spans="1:5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 spans="1:5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 spans="1:5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 spans="1:5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 spans="1:5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 spans="1:5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 spans="1:5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 spans="1:5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 spans="1:5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 spans="1:5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 spans="1:5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 spans="1:5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 spans="1:5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 spans="1:5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 spans="1:5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 spans="1:5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 spans="1:5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 spans="1:5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 spans="1:5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 spans="1:5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 spans="1:5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 spans="1:5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 spans="1:5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 spans="1:5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 spans="1:5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 spans="1:5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 spans="1:5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 spans="1:5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 spans="1:5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 spans="1:5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 spans="1:5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 spans="1:5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 spans="1:5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 spans="1:5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 spans="1:5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 spans="1:5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 spans="1:5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 spans="1:5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 spans="1:5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 spans="1:5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 spans="1:5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 spans="1:5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 spans="1:5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 spans="1:5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 spans="1:5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 spans="1:5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 spans="1: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 spans="1:5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 spans="1:5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 spans="1:5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 spans="1:5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 spans="1:5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 spans="1:5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 spans="1:5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 spans="1:5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 spans="1:5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 spans="1:5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 spans="1:5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 spans="1:5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 spans="1:5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 spans="1:5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 spans="1:5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 spans="1:5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 spans="1:5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 spans="1:5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 spans="1:5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 spans="1:5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 spans="1:5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 spans="1:5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 spans="1:5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 spans="1:5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 spans="1:5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 spans="1:5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 spans="1:5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 spans="1:5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 spans="1:5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 spans="1:5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 spans="1:5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 spans="1:5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 spans="1:5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 spans="1:5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 spans="1:5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 spans="1:5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 spans="1:5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 spans="1:5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 spans="1:5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 spans="1:5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 spans="1:5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 spans="1:5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 spans="1:5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 spans="1:5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 spans="1:5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 spans="1:5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 spans="1:5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 spans="1:5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 spans="1:5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 spans="1:5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 spans="1:5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 spans="1:5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 spans="1:5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 spans="1:5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 spans="1:5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 spans="1:5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 spans="1:5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 spans="1:5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 spans="1:5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 spans="1:5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 spans="1:5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 spans="1:5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 spans="1:5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 spans="1:5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 spans="1:5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 spans="1:5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 spans="1:5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 spans="1:5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 spans="1:5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 spans="1:5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 spans="1:5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 spans="1:5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 spans="1:5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 spans="1:5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 spans="1:5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 spans="1:5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 spans="1:5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 spans="1:5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 spans="1:5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 spans="1:5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 spans="1:5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 spans="1:5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 spans="1:5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 spans="1:5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 spans="1:5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 spans="1:5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 spans="1:5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 spans="1:5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 spans="1:5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 spans="1:5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 spans="1:5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 spans="1:5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 spans="1:5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 spans="1:5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 spans="1:5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 spans="1:5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 spans="1:5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 spans="1:5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 spans="1:5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 spans="1: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 spans="1:5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 spans="1:5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 spans="1:5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 spans="1:5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 spans="1:5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 spans="1:5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 spans="1:5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 spans="1:5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 spans="1:5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 spans="1:5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 spans="1:5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 spans="1:5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 spans="1:5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 spans="1:5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 spans="1:5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 spans="1:5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 spans="1:5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 spans="1:5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 spans="1:5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 spans="1:5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 spans="1:5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 spans="1:5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 spans="1:5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 spans="1:5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 spans="1:5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 spans="1:5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 spans="1:5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 spans="1:5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 spans="1:5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 spans="1:5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 spans="1:5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 spans="1:5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 spans="1:5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 spans="1:5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 spans="1:5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 spans="1:5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 spans="1:5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 spans="1:5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 spans="1:5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 spans="1:5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 spans="1:5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 spans="1:5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 spans="1:5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 spans="1:5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 spans="1:5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 spans="1:5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 spans="1:5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 spans="1:5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 spans="1:5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 spans="1:5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 spans="1:5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 spans="1:5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 spans="1:5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 spans="1:5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 spans="1:5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 spans="1:5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 spans="1:5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 spans="1:5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 spans="1:5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 spans="1:5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 spans="1:5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 spans="1:5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 spans="1:5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 spans="1:5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 spans="1:5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 spans="1:5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 spans="1:5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 spans="1:5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 spans="1:5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 spans="1:5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 spans="1:5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 spans="1:5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 spans="1:5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 spans="1:5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 spans="1:5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 spans="1:5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 spans="1:5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 spans="1:5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 spans="1:5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 spans="1:5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 spans="1:5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 spans="1:5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 spans="1:5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 spans="1:5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 spans="1:5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 spans="1:5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 spans="1:5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 spans="1:5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 spans="1:5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 spans="1:5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 spans="1:5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 spans="1:5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 spans="1:5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 spans="1:5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 spans="1:5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 spans="1:5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 spans="1:5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 spans="1:5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 spans="1:5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 spans="1: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 spans="1:5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 spans="1:5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 spans="1:5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 spans="1:5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 spans="1:5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 spans="1:5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 spans="1:5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 spans="1:5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 spans="1:5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 spans="1:5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 spans="1:5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 spans="1:5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 spans="1:5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 spans="1:5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 spans="1:5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 spans="1:5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 spans="1:5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 spans="1:5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 spans="1:5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 spans="1:5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 spans="1:5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 spans="1:5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 spans="1:5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 spans="1:5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 spans="1:5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 spans="1:5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 spans="1:5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 spans="1:5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 spans="1:5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 spans="1:5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 spans="1:5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 spans="1:5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 spans="1:5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 spans="1:5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 spans="1:5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 spans="1:5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 spans="1:5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 spans="1:5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 spans="1:5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 spans="1:5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 spans="1:5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 spans="1:5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 spans="1:5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 spans="1:5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 spans="1:5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 spans="1:5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 spans="1:5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 spans="1:5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 spans="1:5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 spans="1:5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 spans="1:5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 spans="1:5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 spans="1:5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 spans="1:5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 spans="1:5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 spans="1:5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 spans="1:5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 spans="1:5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 spans="1:5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 spans="1:5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 spans="1:5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 spans="1:5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 spans="1:5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 spans="1:5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 spans="1:5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 spans="1:5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 spans="1:5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 spans="1:5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 spans="1:5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 spans="1:5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 spans="1:5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 spans="1:5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 spans="1:5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 spans="1:5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 spans="1:5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 spans="1:5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 spans="1:5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 spans="1:5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 spans="1:5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 spans="1:5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 spans="1:5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 spans="1:5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 spans="1:5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 spans="1:5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 spans="1:5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 spans="1:5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 spans="1:5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 spans="1:5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 spans="1:5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 spans="1:5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 spans="1:5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 spans="1:5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 spans="1:5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 spans="1:5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 spans="1:5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 spans="1:5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 spans="1:5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 spans="1:5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 spans="1:5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 spans="1: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 spans="1:5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 spans="1:5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 spans="1:5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 spans="1:5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 spans="1:5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 spans="1:5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 spans="1:5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 spans="1:5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 spans="1:5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 spans="1:5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 spans="1:5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 spans="1:5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 spans="1:5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 spans="1:5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 spans="1:5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 spans="1:5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 spans="1:5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 spans="1:5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 spans="1:5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 spans="1:5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 spans="1:5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 spans="1:5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 spans="1:5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 spans="1:5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 spans="1:5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 spans="1:5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 spans="1:5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 spans="1:5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 spans="1:5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 spans="1:5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 spans="1:5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 spans="1:5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 spans="1:5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 spans="1:5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 spans="1:5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 spans="1:5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 spans="1:5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  <row r="990" spans="1:5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</row>
    <row r="991" spans="1:5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</row>
    <row r="992" spans="1:5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</row>
    <row r="993" spans="1:5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</row>
    <row r="994" spans="1:5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</row>
    <row r="995" spans="1:5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</row>
    <row r="996" spans="1:5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</row>
    <row r="997" spans="1:5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</row>
    <row r="998" spans="1:5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</row>
    <row r="999" spans="1:5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</row>
    <row r="1000" spans="1:5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</row>
  </sheetData>
  <mergeCells count="26">
    <mergeCell ref="B54:N54"/>
    <mergeCell ref="B55:N55"/>
    <mergeCell ref="B56:N56"/>
    <mergeCell ref="B57:N57"/>
    <mergeCell ref="B58:N58"/>
    <mergeCell ref="J9:L9"/>
    <mergeCell ref="J10:L11"/>
    <mergeCell ref="A14:N14"/>
    <mergeCell ref="A34:F34"/>
    <mergeCell ref="A53:N53"/>
    <mergeCell ref="A9:C9"/>
    <mergeCell ref="A10:C11"/>
    <mergeCell ref="D9:F9"/>
    <mergeCell ref="D10:F11"/>
    <mergeCell ref="G9:I9"/>
    <mergeCell ref="G10:I11"/>
    <mergeCell ref="A1:N1"/>
    <mergeCell ref="A3:N3"/>
    <mergeCell ref="A5:C5"/>
    <mergeCell ref="A6:C7"/>
    <mergeCell ref="D5:F5"/>
    <mergeCell ref="D6:F7"/>
    <mergeCell ref="G5:I5"/>
    <mergeCell ref="G6:I7"/>
    <mergeCell ref="J5:L5"/>
    <mergeCell ref="J6:L7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3"/>
  <sheetViews>
    <sheetView tabSelected="1" workbookViewId="0">
      <selection sqref="A1:G1"/>
    </sheetView>
  </sheetViews>
  <sheetFormatPr baseColWidth="10" defaultColWidth="8.83203125" defaultRowHeight="15"/>
  <cols>
    <col min="1" max="1" width="24" customWidth="1"/>
    <col min="2" max="2" width="48" customWidth="1"/>
    <col min="3" max="3" width="12" customWidth="1"/>
    <col min="4" max="4" width="16" customWidth="1"/>
    <col min="5" max="5" width="24" customWidth="1"/>
    <col min="6" max="6" width="34" customWidth="1"/>
    <col min="7" max="7" width="28" customWidth="1"/>
  </cols>
  <sheetData>
    <row r="1" spans="1:7" ht="37.25" customHeight="1">
      <c r="A1" s="30" t="s">
        <v>1305</v>
      </c>
      <c r="B1" s="30"/>
      <c r="C1" s="30"/>
      <c r="D1" s="30"/>
      <c r="E1" s="30"/>
      <c r="F1" s="30"/>
      <c r="G1" s="30"/>
    </row>
    <row r="3" spans="1:7" ht="16">
      <c r="A3" s="3" t="s">
        <v>973</v>
      </c>
      <c r="B3" s="3" t="s">
        <v>1306</v>
      </c>
      <c r="C3" s="3" t="s">
        <v>1307</v>
      </c>
      <c r="D3" s="3" t="s">
        <v>939</v>
      </c>
      <c r="E3" s="3" t="s">
        <v>1308</v>
      </c>
      <c r="F3" s="3" t="s">
        <v>1309</v>
      </c>
      <c r="G3" s="3" t="s">
        <v>1310</v>
      </c>
    </row>
    <row r="4" spans="1:7" ht="16">
      <c r="A4" s="7" t="s">
        <v>1311</v>
      </c>
      <c r="B4" s="1" t="s">
        <v>1312</v>
      </c>
      <c r="C4" s="1" t="s">
        <v>1313</v>
      </c>
      <c r="D4" s="1" t="s">
        <v>1314</v>
      </c>
      <c r="E4" s="1" t="s">
        <v>1264</v>
      </c>
      <c r="F4" s="1" t="s">
        <v>1315</v>
      </c>
      <c r="G4" s="1" t="s">
        <v>1316</v>
      </c>
    </row>
    <row r="5" spans="1:7" ht="16">
      <c r="A5" s="7" t="s">
        <v>1317</v>
      </c>
      <c r="B5" s="1" t="s">
        <v>1318</v>
      </c>
      <c r="C5" s="1" t="s">
        <v>1313</v>
      </c>
      <c r="D5" s="1" t="s">
        <v>1319</v>
      </c>
      <c r="E5" s="1" t="s">
        <v>1255</v>
      </c>
      <c r="F5" s="1" t="s">
        <v>1320</v>
      </c>
      <c r="G5" s="1" t="s">
        <v>1321</v>
      </c>
    </row>
    <row r="6" spans="1:7" ht="16">
      <c r="A6" s="7" t="s">
        <v>1322</v>
      </c>
      <c r="B6" s="1" t="s">
        <v>1323</v>
      </c>
      <c r="C6" s="1" t="s">
        <v>1313</v>
      </c>
      <c r="D6" s="1" t="s">
        <v>1319</v>
      </c>
      <c r="E6" s="1" t="s">
        <v>1255</v>
      </c>
      <c r="F6" s="1" t="s">
        <v>1324</v>
      </c>
      <c r="G6" s="1" t="s">
        <v>1325</v>
      </c>
    </row>
    <row r="7" spans="1:7" ht="16">
      <c r="A7" s="7" t="s">
        <v>1191</v>
      </c>
      <c r="B7" s="1" t="s">
        <v>1326</v>
      </c>
      <c r="C7" s="1" t="s">
        <v>1327</v>
      </c>
      <c r="D7" s="1" t="s">
        <v>1314</v>
      </c>
      <c r="E7" s="1" t="s">
        <v>1274</v>
      </c>
      <c r="F7" s="1" t="s">
        <v>1328</v>
      </c>
      <c r="G7" s="1" t="s">
        <v>1329</v>
      </c>
    </row>
    <row r="8" spans="1:7" ht="16">
      <c r="A8" s="7" t="s">
        <v>1193</v>
      </c>
      <c r="B8" s="1" t="s">
        <v>1330</v>
      </c>
      <c r="C8" s="1" t="s">
        <v>1327</v>
      </c>
      <c r="D8" s="1" t="s">
        <v>1314</v>
      </c>
      <c r="E8" s="1" t="s">
        <v>1274</v>
      </c>
      <c r="F8" s="1" t="s">
        <v>1331</v>
      </c>
      <c r="G8" s="1" t="s">
        <v>1329</v>
      </c>
    </row>
    <row r="9" spans="1:7" ht="16">
      <c r="A9" s="7" t="s">
        <v>1192</v>
      </c>
      <c r="B9" s="1" t="s">
        <v>1332</v>
      </c>
      <c r="C9" s="1" t="s">
        <v>1327</v>
      </c>
      <c r="D9" s="1" t="s">
        <v>1314</v>
      </c>
      <c r="E9" s="1" t="s">
        <v>1274</v>
      </c>
      <c r="F9" s="1" t="s">
        <v>1333</v>
      </c>
      <c r="G9" s="1" t="s">
        <v>1329</v>
      </c>
    </row>
    <row r="10" spans="1:7" ht="16">
      <c r="A10" s="7" t="s">
        <v>1194</v>
      </c>
      <c r="B10" s="1" t="s">
        <v>1334</v>
      </c>
      <c r="C10" s="1" t="s">
        <v>1327</v>
      </c>
      <c r="D10" s="1" t="s">
        <v>1314</v>
      </c>
      <c r="E10" s="1" t="s">
        <v>1274</v>
      </c>
      <c r="F10" s="1" t="s">
        <v>1335</v>
      </c>
      <c r="G10" s="1" t="s">
        <v>1329</v>
      </c>
    </row>
    <row r="11" spans="1:7" ht="32">
      <c r="A11" s="7" t="s">
        <v>1277</v>
      </c>
      <c r="B11" s="1" t="s">
        <v>1336</v>
      </c>
      <c r="C11" s="1" t="s">
        <v>1313</v>
      </c>
      <c r="D11" s="1" t="s">
        <v>1337</v>
      </c>
      <c r="E11" s="1" t="s">
        <v>1277</v>
      </c>
      <c r="F11" s="1" t="s">
        <v>1338</v>
      </c>
      <c r="G11" s="1" t="s">
        <v>1339</v>
      </c>
    </row>
    <row r="12" spans="1:7" ht="16">
      <c r="A12" s="7" t="s">
        <v>1293</v>
      </c>
      <c r="B12" s="1" t="s">
        <v>1340</v>
      </c>
      <c r="C12" s="1" t="s">
        <v>1313</v>
      </c>
      <c r="D12" s="1" t="s">
        <v>1314</v>
      </c>
      <c r="E12" s="1" t="s">
        <v>1241</v>
      </c>
      <c r="F12" s="1" t="s">
        <v>1341</v>
      </c>
      <c r="G12" s="1" t="s">
        <v>1342</v>
      </c>
    </row>
    <row r="13" spans="1:7" ht="16">
      <c r="A13" s="7" t="s">
        <v>1343</v>
      </c>
      <c r="B13" s="1" t="s">
        <v>1344</v>
      </c>
      <c r="C13" s="1" t="s">
        <v>1313</v>
      </c>
      <c r="D13" s="1" t="s">
        <v>1314</v>
      </c>
      <c r="E13" s="1" t="s">
        <v>1245</v>
      </c>
      <c r="F13" s="1" t="s">
        <v>1345</v>
      </c>
      <c r="G13" s="1" t="s">
        <v>1346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Assumptions</vt:lpstr>
      <vt:lpstr>Chart of Accounts</vt:lpstr>
      <vt:lpstr>Opening TB</vt:lpstr>
      <vt:lpstr>GL Extract</vt:lpstr>
      <vt:lpstr>Adjustment Journals</vt:lpstr>
      <vt:lpstr>Adjusted TB</vt:lpstr>
      <vt:lpstr>Budget</vt:lpstr>
      <vt:lpstr>Management P&amp;L</vt:lpstr>
      <vt:lpstr>Balance Sheet</vt:lpstr>
      <vt:lpstr>Bank Reconciliation</vt:lpstr>
      <vt:lpstr>AR Ageing</vt:lpstr>
      <vt:lpstr>AP Ageing</vt:lpstr>
      <vt:lpstr>Working Capital</vt:lpstr>
      <vt:lpstr>13-Week Cash Forecast</vt:lpstr>
      <vt:lpstr>Month-End Close</vt:lpstr>
      <vt:lpstr>Dashboard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Arpitha Manjunath</cp:lastModifiedBy>
  <dcterms:modified xsi:type="dcterms:W3CDTF">2026-10-03T17:48:51Z</dcterms:modified>
</cp:coreProperties>
</file>