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Akhil_pc\Desktop\"/>
    </mc:Choice>
  </mc:AlternateContent>
  <xr:revisionPtr revIDLastSave="0" documentId="13_ncr:1000001_{B53FF99F-6DCF-D247-8983-AE9E574CD570}" xr6:coauthVersionLast="47" xr6:coauthVersionMax="47" xr10:uidLastSave="{00000000-0000-0000-0000-000000000000}"/>
  <bookViews>
    <workbookView minimized="1" xWindow="4335" yWindow="345" windowWidth="10335" windowHeight="6750" tabRatio="981" xr2:uid="{00000000-000D-0000-FFFF-FFFF00000000}"/>
  </bookViews>
  <sheets>
    <sheet name="Front Page" sheetId="16" r:id="rId1"/>
    <sheet name="Historical data" sheetId="3" r:id="rId2"/>
    <sheet name="Ratio Analysis" sheetId="4" r:id="rId3"/>
    <sheet name="Common Size Statement" sheetId="9" r:id="rId4"/>
    <sheet name="Forecasting" sheetId="8" r:id="rId5"/>
    <sheet name="Intrinsic Growth" sheetId="11" r:id="rId6"/>
    <sheet name="WACC" sheetId="12" r:id="rId7"/>
    <sheet name="Beta" sheetId="15" r:id="rId8"/>
    <sheet name="DCF" sheetId="14" r:id="rId9"/>
    <sheet name="Forecasting Methods" sheetId="7" r:id="rId10"/>
    <sheet name="Data&gt;" sheetId="13" r:id="rId11"/>
    <sheet name="RAW FS" sheetId="10" r:id="rId12"/>
    <sheet name="raw CFS" sheetId="6" r:id="rId13"/>
    <sheet name="Data Sheet" sheetId="5" r:id="rId14"/>
  </sheets>
  <definedNames>
    <definedName name="_xlnm._FilterDatabase" localSheetId="7" hidden="1">Beta!$B$9:$D$114</definedName>
    <definedName name="_xlnm.Print_Area" localSheetId="6">WACC!$B$2:$K$49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16" l="1"/>
  <c r="D44" i="16"/>
  <c r="D42" i="16"/>
  <c r="D40" i="16"/>
  <c r="D38" i="16"/>
  <c r="C37" i="14"/>
  <c r="C36" i="14"/>
  <c r="C25" i="14"/>
  <c r="E12" i="14"/>
  <c r="F12" i="14"/>
  <c r="G12" i="14"/>
  <c r="H12" i="14"/>
  <c r="C19" i="14"/>
  <c r="C24" i="14"/>
  <c r="C7" i="14"/>
  <c r="C5" i="14"/>
  <c r="D5" i="14"/>
  <c r="E5" i="14"/>
  <c r="F5" i="14"/>
  <c r="G5" i="14"/>
  <c r="H5" i="14"/>
  <c r="E27" i="12"/>
  <c r="K28" i="12"/>
  <c r="G12" i="13"/>
  <c r="G9" i="13"/>
  <c r="E28" i="12"/>
  <c r="C37" i="12"/>
  <c r="C36" i="12"/>
  <c r="V53" i="15"/>
  <c r="P114" i="15"/>
  <c r="P113" i="15"/>
  <c r="P112" i="15"/>
  <c r="P111" i="15"/>
  <c r="P110" i="15"/>
  <c r="P109" i="15"/>
  <c r="P108" i="15"/>
  <c r="P107" i="15"/>
  <c r="P106" i="15"/>
  <c r="P105" i="15"/>
  <c r="P104" i="15"/>
  <c r="P103" i="15"/>
  <c r="P102" i="15"/>
  <c r="P101" i="15"/>
  <c r="P100" i="15"/>
  <c r="P99" i="15"/>
  <c r="P98" i="15"/>
  <c r="P97" i="15"/>
  <c r="P96" i="15"/>
  <c r="P95" i="15"/>
  <c r="P94" i="15"/>
  <c r="P93" i="15"/>
  <c r="P92" i="15"/>
  <c r="P91" i="15"/>
  <c r="P90" i="15"/>
  <c r="P89" i="15"/>
  <c r="P88" i="15"/>
  <c r="P87" i="15"/>
  <c r="P86" i="15"/>
  <c r="P85" i="15"/>
  <c r="P84" i="15"/>
  <c r="P83" i="15"/>
  <c r="P82" i="15"/>
  <c r="P81" i="15"/>
  <c r="P80" i="15"/>
  <c r="P79" i="15"/>
  <c r="P78" i="15"/>
  <c r="P77" i="15"/>
  <c r="P76" i="15"/>
  <c r="P75" i="15"/>
  <c r="P74" i="15"/>
  <c r="P73" i="15"/>
  <c r="P72" i="15"/>
  <c r="P71" i="15"/>
  <c r="P70" i="15"/>
  <c r="P69" i="15"/>
  <c r="P68" i="15"/>
  <c r="P67" i="15"/>
  <c r="P66" i="15"/>
  <c r="P65" i="15"/>
  <c r="P64" i="15"/>
  <c r="P63" i="15"/>
  <c r="P62" i="15"/>
  <c r="P61" i="15"/>
  <c r="P60" i="15"/>
  <c r="P59" i="15"/>
  <c r="P58" i="15"/>
  <c r="P57" i="15"/>
  <c r="P56" i="15"/>
  <c r="P55" i="15"/>
  <c r="P54" i="15"/>
  <c r="P53" i="15"/>
  <c r="P52" i="15"/>
  <c r="P51" i="15"/>
  <c r="P50" i="15"/>
  <c r="P49" i="15"/>
  <c r="P48" i="15"/>
  <c r="P47" i="15"/>
  <c r="P46" i="15"/>
  <c r="P45" i="15"/>
  <c r="P44" i="15"/>
  <c r="P43" i="15"/>
  <c r="P42" i="15"/>
  <c r="P41" i="15"/>
  <c r="P40" i="15"/>
  <c r="P39" i="15"/>
  <c r="P38" i="15"/>
  <c r="P37" i="15"/>
  <c r="P36" i="15"/>
  <c r="P35" i="15"/>
  <c r="P34" i="15"/>
  <c r="P33" i="15"/>
  <c r="P32" i="15"/>
  <c r="P31" i="15"/>
  <c r="P30" i="15"/>
  <c r="P29" i="15"/>
  <c r="P28" i="15"/>
  <c r="P27" i="15"/>
  <c r="P26" i="15"/>
  <c r="P25" i="15"/>
  <c r="P24" i="15"/>
  <c r="P23" i="15"/>
  <c r="P22" i="15"/>
  <c r="P21" i="15"/>
  <c r="P20" i="15"/>
  <c r="P19" i="15"/>
  <c r="P18" i="15"/>
  <c r="P17" i="15"/>
  <c r="P16" i="15"/>
  <c r="P15" i="15"/>
  <c r="P14" i="15"/>
  <c r="P13" i="15"/>
  <c r="P12" i="15"/>
  <c r="P11" i="15"/>
  <c r="M114" i="15"/>
  <c r="M113" i="15"/>
  <c r="M112" i="15"/>
  <c r="M111" i="15"/>
  <c r="M110" i="15"/>
  <c r="M109" i="15"/>
  <c r="M108" i="15"/>
  <c r="M107" i="15"/>
  <c r="M106" i="15"/>
  <c r="M105" i="15"/>
  <c r="M104" i="15"/>
  <c r="M103" i="15"/>
  <c r="M102" i="15"/>
  <c r="M101" i="15"/>
  <c r="M100" i="15"/>
  <c r="M99" i="15"/>
  <c r="M98" i="15"/>
  <c r="M97" i="15"/>
  <c r="M96" i="15"/>
  <c r="M95" i="15"/>
  <c r="M94" i="15"/>
  <c r="M93" i="15"/>
  <c r="M92" i="15"/>
  <c r="M91" i="15"/>
  <c r="M90" i="15"/>
  <c r="M89" i="15"/>
  <c r="M88" i="15"/>
  <c r="M87" i="15"/>
  <c r="M86" i="15"/>
  <c r="M85" i="15"/>
  <c r="M84" i="15"/>
  <c r="M83" i="15"/>
  <c r="M82" i="15"/>
  <c r="M81" i="15"/>
  <c r="M80" i="15"/>
  <c r="M79" i="15"/>
  <c r="M78" i="15"/>
  <c r="M77" i="15"/>
  <c r="M76" i="15"/>
  <c r="M75" i="15"/>
  <c r="M74" i="15"/>
  <c r="M73" i="15"/>
  <c r="M72" i="15"/>
  <c r="M71" i="15"/>
  <c r="M70" i="15"/>
  <c r="M69" i="15"/>
  <c r="M68" i="15"/>
  <c r="M67" i="15"/>
  <c r="M66" i="15"/>
  <c r="M65" i="15"/>
  <c r="M64" i="15"/>
  <c r="M63" i="15"/>
  <c r="M62" i="15"/>
  <c r="M61" i="15"/>
  <c r="M60" i="15"/>
  <c r="M59" i="15"/>
  <c r="M58" i="15"/>
  <c r="M57" i="15"/>
  <c r="M56" i="15"/>
  <c r="M55" i="15"/>
  <c r="M54" i="15"/>
  <c r="M53" i="15"/>
  <c r="M52" i="15"/>
  <c r="M51" i="15"/>
  <c r="M50" i="15"/>
  <c r="M49" i="15"/>
  <c r="M48" i="15"/>
  <c r="M47" i="15"/>
  <c r="M46" i="15"/>
  <c r="M45" i="15"/>
  <c r="M44" i="15"/>
  <c r="M43" i="15"/>
  <c r="M42" i="15"/>
  <c r="M41" i="15"/>
  <c r="M40" i="15"/>
  <c r="M39" i="15"/>
  <c r="M38" i="15"/>
  <c r="M37" i="15"/>
  <c r="M36" i="15"/>
  <c r="M35" i="15"/>
  <c r="M34" i="15"/>
  <c r="M33" i="15"/>
  <c r="M32" i="15"/>
  <c r="M31" i="15"/>
  <c r="M30" i="15"/>
  <c r="M29" i="15"/>
  <c r="M28" i="15"/>
  <c r="M27" i="15"/>
  <c r="M26" i="15"/>
  <c r="M25" i="15"/>
  <c r="M24" i="15"/>
  <c r="M23" i="15"/>
  <c r="M22" i="15"/>
  <c r="M21" i="15"/>
  <c r="M20" i="15"/>
  <c r="M19" i="15"/>
  <c r="M18" i="15"/>
  <c r="M17" i="15"/>
  <c r="M16" i="15"/>
  <c r="M15" i="15"/>
  <c r="M14" i="15"/>
  <c r="M13" i="15"/>
  <c r="M12" i="15"/>
  <c r="M11" i="15"/>
  <c r="J114" i="15"/>
  <c r="J113" i="15"/>
  <c r="J112" i="15"/>
  <c r="J111" i="15"/>
  <c r="J110" i="15"/>
  <c r="J109" i="15"/>
  <c r="J108" i="15"/>
  <c r="J107" i="15"/>
  <c r="J106" i="15"/>
  <c r="J105" i="15"/>
  <c r="J104" i="15"/>
  <c r="J103" i="15"/>
  <c r="J102" i="15"/>
  <c r="J101" i="15"/>
  <c r="J100" i="15"/>
  <c r="J99" i="15"/>
  <c r="J98" i="15"/>
  <c r="J97" i="15"/>
  <c r="J96" i="15"/>
  <c r="J95" i="15"/>
  <c r="J94" i="15"/>
  <c r="J93" i="15"/>
  <c r="J92" i="15"/>
  <c r="J91" i="15"/>
  <c r="J90" i="15"/>
  <c r="J89" i="15"/>
  <c r="J88" i="15"/>
  <c r="J87" i="15"/>
  <c r="J86" i="15"/>
  <c r="J85" i="15"/>
  <c r="J84" i="15"/>
  <c r="J83" i="15"/>
  <c r="J82" i="15"/>
  <c r="J81" i="15"/>
  <c r="J80" i="15"/>
  <c r="J79" i="15"/>
  <c r="J78" i="15"/>
  <c r="J77" i="15"/>
  <c r="J76" i="15"/>
  <c r="J75" i="15"/>
  <c r="J74" i="15"/>
  <c r="J73" i="15"/>
  <c r="J72" i="15"/>
  <c r="J71" i="15"/>
  <c r="J70" i="15"/>
  <c r="J69" i="15"/>
  <c r="J68" i="15"/>
  <c r="J67" i="15"/>
  <c r="J66" i="15"/>
  <c r="J65" i="15"/>
  <c r="J64" i="15"/>
  <c r="J63" i="15"/>
  <c r="J62" i="15"/>
  <c r="J61" i="15"/>
  <c r="J60" i="15"/>
  <c r="J59" i="15"/>
  <c r="J58" i="15"/>
  <c r="J57" i="15"/>
  <c r="J56" i="15"/>
  <c r="J55" i="15"/>
  <c r="J54" i="15"/>
  <c r="J53" i="15"/>
  <c r="J52" i="15"/>
  <c r="J51" i="15"/>
  <c r="J50" i="15"/>
  <c r="J49" i="15"/>
  <c r="J48" i="15"/>
  <c r="J47" i="15"/>
  <c r="J46" i="15"/>
  <c r="J45" i="15"/>
  <c r="J44" i="15"/>
  <c r="J43" i="15"/>
  <c r="J42" i="15"/>
  <c r="J41" i="15"/>
  <c r="J40" i="15"/>
  <c r="J39" i="15"/>
  <c r="J38" i="15"/>
  <c r="J37" i="15"/>
  <c r="J36" i="15"/>
  <c r="J35" i="15"/>
  <c r="J34" i="15"/>
  <c r="J33" i="15"/>
  <c r="J32" i="15"/>
  <c r="J31" i="15"/>
  <c r="J30" i="15"/>
  <c r="J29" i="15"/>
  <c r="J28" i="15"/>
  <c r="J27" i="15"/>
  <c r="J26" i="15"/>
  <c r="J25" i="15"/>
  <c r="J24" i="15"/>
  <c r="J23" i="15"/>
  <c r="J22" i="15"/>
  <c r="J21" i="15"/>
  <c r="J20" i="15"/>
  <c r="J19" i="15"/>
  <c r="J18" i="15"/>
  <c r="J17" i="15"/>
  <c r="J16" i="15"/>
  <c r="J15" i="15"/>
  <c r="J14" i="15"/>
  <c r="J13" i="15"/>
  <c r="J12" i="15"/>
  <c r="J11" i="15"/>
  <c r="G114" i="15"/>
  <c r="G113" i="15"/>
  <c r="G112" i="15"/>
  <c r="G111" i="15"/>
  <c r="G110" i="15"/>
  <c r="G109" i="15"/>
  <c r="G108" i="15"/>
  <c r="G107" i="15"/>
  <c r="G106" i="15"/>
  <c r="G105" i="15"/>
  <c r="G104" i="15"/>
  <c r="G103" i="15"/>
  <c r="G102" i="15"/>
  <c r="G101" i="15"/>
  <c r="G100" i="15"/>
  <c r="G99" i="15"/>
  <c r="G98" i="15"/>
  <c r="G97" i="15"/>
  <c r="G96" i="15"/>
  <c r="G95" i="15"/>
  <c r="G94" i="15"/>
  <c r="G93" i="15"/>
  <c r="G92" i="15"/>
  <c r="G91" i="15"/>
  <c r="G90" i="15"/>
  <c r="G89" i="15"/>
  <c r="G88" i="15"/>
  <c r="G87" i="15"/>
  <c r="G86" i="15"/>
  <c r="G85" i="15"/>
  <c r="G84" i="15"/>
  <c r="G83" i="15"/>
  <c r="G82" i="15"/>
  <c r="G81" i="15"/>
  <c r="G80" i="15"/>
  <c r="G79" i="15"/>
  <c r="G78" i="15"/>
  <c r="G77" i="15"/>
  <c r="G76" i="15"/>
  <c r="G75" i="15"/>
  <c r="G74" i="15"/>
  <c r="G73" i="15"/>
  <c r="G72" i="15"/>
  <c r="G71" i="15"/>
  <c r="G70" i="15"/>
  <c r="G69" i="15"/>
  <c r="G68" i="15"/>
  <c r="G67" i="15"/>
  <c r="G66" i="15"/>
  <c r="G65" i="15"/>
  <c r="G64" i="15"/>
  <c r="G63" i="15"/>
  <c r="G62" i="15"/>
  <c r="G61" i="15"/>
  <c r="G60" i="15"/>
  <c r="G59" i="15"/>
  <c r="G58" i="15"/>
  <c r="G57" i="15"/>
  <c r="G56" i="15"/>
  <c r="G55" i="15"/>
  <c r="G54" i="15"/>
  <c r="G53" i="15"/>
  <c r="G52" i="15"/>
  <c r="G51" i="15"/>
  <c r="G50" i="15"/>
  <c r="G49" i="15"/>
  <c r="G48" i="15"/>
  <c r="G47" i="15"/>
  <c r="G46" i="15"/>
  <c r="G45" i="15"/>
  <c r="G44" i="15"/>
  <c r="G43" i="15"/>
  <c r="G42" i="15"/>
  <c r="G41" i="15"/>
  <c r="G40" i="15"/>
  <c r="G39" i="15"/>
  <c r="G38" i="15"/>
  <c r="G37" i="15"/>
  <c r="G36" i="15"/>
  <c r="G35" i="15"/>
  <c r="G34" i="15"/>
  <c r="G33" i="15"/>
  <c r="G32" i="15"/>
  <c r="G31" i="15"/>
  <c r="G30" i="15"/>
  <c r="G29" i="15"/>
  <c r="G28" i="15"/>
  <c r="G27" i="15"/>
  <c r="G26" i="15"/>
  <c r="G25" i="15"/>
  <c r="G24" i="15"/>
  <c r="G23" i="15"/>
  <c r="G22" i="15"/>
  <c r="G21" i="15"/>
  <c r="G20" i="15"/>
  <c r="G19" i="15"/>
  <c r="G18" i="15"/>
  <c r="G17" i="15"/>
  <c r="G16" i="15"/>
  <c r="G15" i="15"/>
  <c r="G14" i="15"/>
  <c r="G13" i="15"/>
  <c r="G12" i="15"/>
  <c r="G11"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76" i="15"/>
  <c r="S77" i="15"/>
  <c r="S78" i="15"/>
  <c r="S79" i="15"/>
  <c r="S80" i="15"/>
  <c r="S81" i="15"/>
  <c r="S82" i="15"/>
  <c r="S83" i="15"/>
  <c r="S84" i="15"/>
  <c r="S85" i="15"/>
  <c r="S86" i="15"/>
  <c r="S87" i="15"/>
  <c r="S88" i="15"/>
  <c r="S89" i="15"/>
  <c r="S90" i="15"/>
  <c r="S91" i="15"/>
  <c r="S92" i="15"/>
  <c r="S93" i="15"/>
  <c r="S94" i="15"/>
  <c r="S95" i="15"/>
  <c r="S96" i="15"/>
  <c r="S97" i="15"/>
  <c r="S98" i="15"/>
  <c r="S99" i="15"/>
  <c r="S100" i="15"/>
  <c r="S101" i="15"/>
  <c r="S102" i="15"/>
  <c r="S103" i="15"/>
  <c r="S104" i="15"/>
  <c r="S105" i="15"/>
  <c r="S106" i="15"/>
  <c r="S107" i="15"/>
  <c r="S108" i="15"/>
  <c r="S109" i="15"/>
  <c r="S110" i="15"/>
  <c r="S111" i="15"/>
  <c r="S112" i="15"/>
  <c r="S113" i="15"/>
  <c r="S114" i="15"/>
  <c r="Z11" i="15"/>
  <c r="V9" i="15"/>
  <c r="V15" i="15"/>
  <c r="E13" i="14"/>
  <c r="C9" i="14"/>
  <c r="H13" i="14"/>
  <c r="G13" i="14"/>
  <c r="F13" i="14"/>
  <c r="D13" i="14"/>
  <c r="V42" i="15"/>
  <c r="V48" i="15"/>
  <c r="V59" i="15"/>
  <c r="V31" i="15"/>
  <c r="V37" i="15"/>
  <c r="V20" i="15"/>
  <c r="V26"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K37" i="12"/>
  <c r="C38" i="12"/>
  <c r="D38" i="12"/>
  <c r="E38" i="12"/>
  <c r="E29" i="12"/>
  <c r="K45" i="12"/>
  <c r="J22" i="12"/>
  <c r="J21" i="12"/>
  <c r="G22" i="12"/>
  <c r="G21" i="12"/>
  <c r="I15" i="12"/>
  <c r="I16" i="12"/>
  <c r="I17" i="12"/>
  <c r="I18" i="12"/>
  <c r="I14" i="12"/>
  <c r="H15" i="12"/>
  <c r="K15" i="12"/>
  <c r="H16" i="12"/>
  <c r="K16" i="12"/>
  <c r="H17" i="12"/>
  <c r="K17" i="12"/>
  <c r="H18" i="12"/>
  <c r="K18" i="12"/>
  <c r="H14" i="12"/>
  <c r="K14" i="12"/>
  <c r="Z9" i="15"/>
  <c r="Z8" i="15"/>
  <c r="I21" i="12"/>
  <c r="E36" i="12"/>
  <c r="K46" i="12"/>
  <c r="D36" i="12"/>
  <c r="D37" i="12"/>
  <c r="H22" i="12"/>
  <c r="K21" i="12"/>
  <c r="K35" i="12"/>
  <c r="I22" i="12"/>
  <c r="K22" i="12"/>
  <c r="H21" i="12"/>
  <c r="E37" i="12"/>
  <c r="K43" i="12"/>
  <c r="D40" i="12"/>
  <c r="E40" i="12"/>
  <c r="K36" i="12"/>
  <c r="K38" i="12"/>
  <c r="K29" i="12"/>
  <c r="K30" i="12"/>
  <c r="K42" i="12"/>
  <c r="K48" i="12"/>
  <c r="M11" i="3"/>
  <c r="D43" i="11"/>
  <c r="E43" i="11"/>
  <c r="F43" i="11"/>
  <c r="G43" i="11"/>
  <c r="H43" i="11"/>
  <c r="C43" i="11"/>
  <c r="D41" i="11"/>
  <c r="D56" i="11"/>
  <c r="E41" i="11"/>
  <c r="E56" i="11"/>
  <c r="F41" i="11"/>
  <c r="F56" i="11"/>
  <c r="G41" i="11"/>
  <c r="G56" i="11"/>
  <c r="H41" i="11"/>
  <c r="H56" i="11"/>
  <c r="C41" i="11"/>
  <c r="C56" i="11"/>
  <c r="D33" i="11"/>
  <c r="E33" i="11"/>
  <c r="F33" i="11"/>
  <c r="G33" i="11"/>
  <c r="H33" i="11"/>
  <c r="C33" i="11"/>
  <c r="D32" i="11"/>
  <c r="E32" i="11"/>
  <c r="F32" i="11"/>
  <c r="G32" i="11"/>
  <c r="H32" i="11"/>
  <c r="C32" i="11"/>
  <c r="C24" i="11"/>
  <c r="D24" i="11"/>
  <c r="E24" i="11"/>
  <c r="F24" i="11"/>
  <c r="G24" i="11"/>
  <c r="H24" i="11"/>
  <c r="C25" i="11"/>
  <c r="D25" i="11"/>
  <c r="E25" i="11"/>
  <c r="F25" i="11"/>
  <c r="G25" i="11"/>
  <c r="H25" i="11"/>
  <c r="C26" i="11"/>
  <c r="D26" i="11"/>
  <c r="E26" i="11"/>
  <c r="F26" i="11"/>
  <c r="G26" i="11"/>
  <c r="H26" i="11"/>
  <c r="C27" i="11"/>
  <c r="D27" i="11"/>
  <c r="E27" i="11"/>
  <c r="F27" i="11"/>
  <c r="G27" i="11"/>
  <c r="H27" i="11"/>
  <c r="C28" i="11"/>
  <c r="D28" i="11"/>
  <c r="E28" i="11"/>
  <c r="F28" i="11"/>
  <c r="G28" i="11"/>
  <c r="H28" i="11"/>
  <c r="C29" i="11"/>
  <c r="D29" i="11"/>
  <c r="E29" i="11"/>
  <c r="F29" i="11"/>
  <c r="G29" i="11"/>
  <c r="H29" i="11"/>
  <c r="C30" i="11"/>
  <c r="D30" i="11"/>
  <c r="E30" i="11"/>
  <c r="F30" i="11"/>
  <c r="G30" i="11"/>
  <c r="H30" i="11"/>
  <c r="C31" i="11"/>
  <c r="D31" i="11"/>
  <c r="E31" i="11"/>
  <c r="F31" i="11"/>
  <c r="G31" i="11"/>
  <c r="H31" i="11"/>
  <c r="D23" i="11"/>
  <c r="E23" i="11"/>
  <c r="F23" i="11"/>
  <c r="G23" i="11"/>
  <c r="H23" i="11"/>
  <c r="C23" i="11"/>
  <c r="B24" i="11"/>
  <c r="B25" i="11"/>
  <c r="B26" i="11"/>
  <c r="B27" i="11"/>
  <c r="B28" i="11"/>
  <c r="B29" i="11"/>
  <c r="B30" i="11"/>
  <c r="B31" i="11"/>
  <c r="B23" i="11"/>
  <c r="C16" i="11"/>
  <c r="D16" i="11"/>
  <c r="E16" i="11"/>
  <c r="F16" i="11"/>
  <c r="G16" i="11"/>
  <c r="H16" i="11"/>
  <c r="C17" i="11"/>
  <c r="D17" i="11"/>
  <c r="E17" i="11"/>
  <c r="F17" i="11"/>
  <c r="G17" i="11"/>
  <c r="H17" i="11"/>
  <c r="D15" i="11"/>
  <c r="E15" i="11"/>
  <c r="F15" i="11"/>
  <c r="G15" i="11"/>
  <c r="H15" i="11"/>
  <c r="C15" i="11"/>
  <c r="B16" i="11"/>
  <c r="B17" i="11"/>
  <c r="B15" i="11"/>
  <c r="H11" i="11"/>
  <c r="G11" i="11"/>
  <c r="F11" i="11"/>
  <c r="E11" i="11"/>
  <c r="D11" i="11"/>
  <c r="H10" i="11"/>
  <c r="G10" i="11"/>
  <c r="F10" i="11"/>
  <c r="E10" i="11"/>
  <c r="D10" i="11"/>
  <c r="C11" i="11"/>
  <c r="C10" i="11"/>
  <c r="H9" i="11"/>
  <c r="G9" i="11"/>
  <c r="F9" i="11"/>
  <c r="E9" i="11"/>
  <c r="D9" i="11"/>
  <c r="H8" i="11"/>
  <c r="G8" i="11"/>
  <c r="F8" i="11"/>
  <c r="E8" i="11"/>
  <c r="D8" i="11"/>
  <c r="C9" i="11"/>
  <c r="C8" i="11"/>
  <c r="D34" i="10"/>
  <c r="E34" i="10"/>
  <c r="F34" i="10"/>
  <c r="G34" i="10"/>
  <c r="H34" i="10"/>
  <c r="I34" i="10"/>
  <c r="J34" i="10"/>
  <c r="K34" i="10"/>
  <c r="L34" i="10"/>
  <c r="M34" i="10"/>
  <c r="N34" i="10"/>
  <c r="C34" i="10"/>
  <c r="D34" i="9"/>
  <c r="E34" i="9"/>
  <c r="F34" i="9"/>
  <c r="G34" i="9"/>
  <c r="H34" i="9"/>
  <c r="I34" i="9"/>
  <c r="J34" i="9"/>
  <c r="K34" i="9"/>
  <c r="L34" i="9"/>
  <c r="D35" i="9"/>
  <c r="E35" i="9"/>
  <c r="F35" i="9"/>
  <c r="G35" i="9"/>
  <c r="H35" i="9"/>
  <c r="I35" i="9"/>
  <c r="J35" i="9"/>
  <c r="K35" i="9"/>
  <c r="L35" i="9"/>
  <c r="C35" i="9"/>
  <c r="C33" i="9"/>
  <c r="D33" i="9"/>
  <c r="E33" i="9"/>
  <c r="F33" i="9"/>
  <c r="G33" i="9"/>
  <c r="H33" i="9"/>
  <c r="I33" i="9"/>
  <c r="J33" i="9"/>
  <c r="K33" i="9"/>
  <c r="L33" i="9"/>
  <c r="C34" i="9"/>
  <c r="D32" i="9"/>
  <c r="E32" i="9"/>
  <c r="F32" i="9"/>
  <c r="G32" i="9"/>
  <c r="H32" i="9"/>
  <c r="I32" i="9"/>
  <c r="J32" i="9"/>
  <c r="K32" i="9"/>
  <c r="L32" i="9"/>
  <c r="C32" i="9"/>
  <c r="D31" i="9"/>
  <c r="E31" i="9"/>
  <c r="F31" i="9"/>
  <c r="G31" i="9"/>
  <c r="H31" i="9"/>
  <c r="I31" i="9"/>
  <c r="J31" i="9"/>
  <c r="K31" i="9"/>
  <c r="L31" i="9"/>
  <c r="C31" i="9"/>
  <c r="D29" i="9"/>
  <c r="E29" i="9"/>
  <c r="F29" i="9"/>
  <c r="G29" i="9"/>
  <c r="H29" i="9"/>
  <c r="I29" i="9"/>
  <c r="J29" i="9"/>
  <c r="K29" i="9"/>
  <c r="L29" i="9"/>
  <c r="C29" i="9"/>
  <c r="B11" i="9"/>
  <c r="B12" i="9"/>
  <c r="B13" i="9"/>
  <c r="B14" i="9"/>
  <c r="B15" i="9"/>
  <c r="B16" i="9"/>
  <c r="B17" i="9"/>
  <c r="B18" i="9"/>
  <c r="B19" i="9"/>
  <c r="B20" i="9"/>
  <c r="B21" i="9"/>
  <c r="B22" i="9"/>
  <c r="B23" i="9"/>
  <c r="B24" i="9"/>
  <c r="B10" i="9"/>
  <c r="B33" i="9"/>
  <c r="B34" i="9"/>
  <c r="B35" i="9"/>
  <c r="B38" i="9"/>
  <c r="B39" i="9"/>
  <c r="B40" i="9"/>
  <c r="B41" i="9"/>
  <c r="B42" i="9"/>
  <c r="B43" i="9"/>
  <c r="B44" i="9"/>
  <c r="B32" i="9"/>
  <c r="B27" i="9"/>
  <c r="B6" i="9"/>
  <c r="C11" i="9"/>
  <c r="D11" i="9"/>
  <c r="E11" i="9"/>
  <c r="F11" i="9"/>
  <c r="G11" i="9"/>
  <c r="H11" i="9"/>
  <c r="I11" i="9"/>
  <c r="J11" i="9"/>
  <c r="K11" i="9"/>
  <c r="L11" i="9"/>
  <c r="C12" i="9"/>
  <c r="D12" i="9"/>
  <c r="E12" i="9"/>
  <c r="F12" i="9"/>
  <c r="G12" i="9"/>
  <c r="H12" i="9"/>
  <c r="I12" i="9"/>
  <c r="J12" i="9"/>
  <c r="K12" i="9"/>
  <c r="L12" i="9"/>
  <c r="C13" i="9"/>
  <c r="D13" i="9"/>
  <c r="E13" i="9"/>
  <c r="F13" i="9"/>
  <c r="G13" i="9"/>
  <c r="H13" i="9"/>
  <c r="I13" i="9"/>
  <c r="J13" i="9"/>
  <c r="K13" i="9"/>
  <c r="L13" i="9"/>
  <c r="C14" i="9"/>
  <c r="D14" i="9"/>
  <c r="E14" i="9"/>
  <c r="F14" i="9"/>
  <c r="G14" i="9"/>
  <c r="H14" i="9"/>
  <c r="I14" i="9"/>
  <c r="J14" i="9"/>
  <c r="K14" i="9"/>
  <c r="L14" i="9"/>
  <c r="C15" i="9"/>
  <c r="D15" i="9"/>
  <c r="E15" i="9"/>
  <c r="F15" i="9"/>
  <c r="G15" i="9"/>
  <c r="H15" i="9"/>
  <c r="I15" i="9"/>
  <c r="J15" i="9"/>
  <c r="K15" i="9"/>
  <c r="L15" i="9"/>
  <c r="C16" i="9"/>
  <c r="D16" i="9"/>
  <c r="E16" i="9"/>
  <c r="F16" i="9"/>
  <c r="G16" i="9"/>
  <c r="H16" i="9"/>
  <c r="I16" i="9"/>
  <c r="J16" i="9"/>
  <c r="K16" i="9"/>
  <c r="L16" i="9"/>
  <c r="C17" i="9"/>
  <c r="D17" i="9"/>
  <c r="E17" i="9"/>
  <c r="F17" i="9"/>
  <c r="G17" i="9"/>
  <c r="H17" i="9"/>
  <c r="I17" i="9"/>
  <c r="J17" i="9"/>
  <c r="K17" i="9"/>
  <c r="L17" i="9"/>
  <c r="C18" i="9"/>
  <c r="D18" i="9"/>
  <c r="E18" i="9"/>
  <c r="F18" i="9"/>
  <c r="G18" i="9"/>
  <c r="H18" i="9"/>
  <c r="I18" i="9"/>
  <c r="J18" i="9"/>
  <c r="K18" i="9"/>
  <c r="L18" i="9"/>
  <c r="C19" i="9"/>
  <c r="D19" i="9"/>
  <c r="E19" i="9"/>
  <c r="F19" i="9"/>
  <c r="G19" i="9"/>
  <c r="H19" i="9"/>
  <c r="I19" i="9"/>
  <c r="J19" i="9"/>
  <c r="K19" i="9"/>
  <c r="L19" i="9"/>
  <c r="C20" i="9"/>
  <c r="D20" i="9"/>
  <c r="E20" i="9"/>
  <c r="F20" i="9"/>
  <c r="G20" i="9"/>
  <c r="H20" i="9"/>
  <c r="I20" i="9"/>
  <c r="J20" i="9"/>
  <c r="K20" i="9"/>
  <c r="L20" i="9"/>
  <c r="C21" i="9"/>
  <c r="D21" i="9"/>
  <c r="E21" i="9"/>
  <c r="F21" i="9"/>
  <c r="G21" i="9"/>
  <c r="H21" i="9"/>
  <c r="I21" i="9"/>
  <c r="J21" i="9"/>
  <c r="K21" i="9"/>
  <c r="L21" i="9"/>
  <c r="C22" i="9"/>
  <c r="D22" i="9"/>
  <c r="E22" i="9"/>
  <c r="F22" i="9"/>
  <c r="G22" i="9"/>
  <c r="H22" i="9"/>
  <c r="I22" i="9"/>
  <c r="J22" i="9"/>
  <c r="K22" i="9"/>
  <c r="L22" i="9"/>
  <c r="C23" i="9"/>
  <c r="D23" i="9"/>
  <c r="E23" i="9"/>
  <c r="F23" i="9"/>
  <c r="G23" i="9"/>
  <c r="H23" i="9"/>
  <c r="I23" i="9"/>
  <c r="J23" i="9"/>
  <c r="K23" i="9"/>
  <c r="L23" i="9"/>
  <c r="C24" i="9"/>
  <c r="D24" i="9"/>
  <c r="E24" i="9"/>
  <c r="F24" i="9"/>
  <c r="G24" i="9"/>
  <c r="H24" i="9"/>
  <c r="I24" i="9"/>
  <c r="J24" i="9"/>
  <c r="K24" i="9"/>
  <c r="L24" i="9"/>
  <c r="D10" i="9"/>
  <c r="E10" i="9"/>
  <c r="F10" i="9"/>
  <c r="G10" i="9"/>
  <c r="H10" i="9"/>
  <c r="I10" i="9"/>
  <c r="J10" i="9"/>
  <c r="K10" i="9"/>
  <c r="L10" i="9"/>
  <c r="C10" i="9"/>
  <c r="D8" i="9"/>
  <c r="E8" i="9"/>
  <c r="F8" i="9"/>
  <c r="G8" i="9"/>
  <c r="H8" i="9"/>
  <c r="I8" i="9"/>
  <c r="J8" i="9"/>
  <c r="K8" i="9"/>
  <c r="L8" i="9"/>
  <c r="C8" i="9"/>
  <c r="C24" i="7"/>
  <c r="C23" i="7"/>
  <c r="L5" i="8"/>
  <c r="M7" i="8"/>
  <c r="H7" i="8"/>
  <c r="H8" i="8"/>
  <c r="H9" i="8"/>
  <c r="H10" i="8"/>
  <c r="H11" i="8"/>
  <c r="H12" i="8"/>
  <c r="H13" i="8"/>
  <c r="H14" i="8"/>
  <c r="H15" i="8"/>
  <c r="H16" i="8"/>
  <c r="H17" i="8"/>
  <c r="H18" i="8"/>
  <c r="H19" i="8"/>
  <c r="H20" i="8"/>
  <c r="H21" i="8"/>
  <c r="C7" i="8"/>
  <c r="C8" i="8"/>
  <c r="M8" i="8"/>
  <c r="M9" i="8"/>
  <c r="M10" i="8"/>
  <c r="M11" i="8"/>
  <c r="M12" i="8"/>
  <c r="M13" i="8"/>
  <c r="M14" i="8"/>
  <c r="M15" i="8"/>
  <c r="M16" i="8"/>
  <c r="M17" i="8"/>
  <c r="M18" i="8"/>
  <c r="M19" i="8"/>
  <c r="M20" i="8"/>
  <c r="M21" i="8"/>
  <c r="J9" i="8"/>
  <c r="J11" i="8"/>
  <c r="J14" i="8"/>
  <c r="J16" i="8"/>
  <c r="G5" i="8"/>
  <c r="B5" i="8"/>
  <c r="D7" i="8" a="1"/>
  <c r="D9" i="8"/>
  <c r="D15" i="7"/>
  <c r="D16" i="7"/>
  <c r="D17" i="7"/>
  <c r="D18" i="7"/>
  <c r="D14" i="7"/>
  <c r="E14" i="7"/>
  <c r="G12" i="11"/>
  <c r="C12" i="11"/>
  <c r="F12" i="11"/>
  <c r="E12" i="11"/>
  <c r="H18" i="11"/>
  <c r="C18" i="11"/>
  <c r="C20" i="11"/>
  <c r="H34" i="11"/>
  <c r="D34" i="11"/>
  <c r="D18" i="11"/>
  <c r="D12" i="11"/>
  <c r="H12" i="11"/>
  <c r="F18" i="11"/>
  <c r="F20" i="11"/>
  <c r="G34" i="11"/>
  <c r="G18" i="11"/>
  <c r="G20" i="11"/>
  <c r="F34" i="11"/>
  <c r="E18" i="11"/>
  <c r="C34" i="11"/>
  <c r="E34" i="11"/>
  <c r="E16" i="7"/>
  <c r="E18" i="7"/>
  <c r="J12" i="8"/>
  <c r="J13" i="8"/>
  <c r="J15" i="8"/>
  <c r="J10" i="8"/>
  <c r="I17" i="8"/>
  <c r="J8" i="8"/>
  <c r="D16" i="8"/>
  <c r="D12" i="8"/>
  <c r="D8" i="8"/>
  <c r="E8" i="8"/>
  <c r="D15" i="8"/>
  <c r="D11" i="8"/>
  <c r="D7" i="8"/>
  <c r="D14" i="8"/>
  <c r="D10" i="8"/>
  <c r="E10" i="8"/>
  <c r="D13" i="8"/>
  <c r="C9" i="8"/>
  <c r="C10" i="8"/>
  <c r="C11" i="8"/>
  <c r="C12" i="8"/>
  <c r="C13" i="8"/>
  <c r="C14" i="8"/>
  <c r="C15" i="8"/>
  <c r="C16" i="8"/>
  <c r="C17" i="8"/>
  <c r="C18" i="8"/>
  <c r="C19" i="8"/>
  <c r="C20" i="8"/>
  <c r="C21" i="8"/>
  <c r="E17" i="7"/>
  <c r="E15" i="7"/>
  <c r="E11" i="8"/>
  <c r="E16" i="8"/>
  <c r="E13" i="8"/>
  <c r="E15" i="8"/>
  <c r="H20" i="11"/>
  <c r="H36" i="11"/>
  <c r="D20" i="11"/>
  <c r="D36" i="11"/>
  <c r="C36" i="11"/>
  <c r="F36" i="11"/>
  <c r="H44" i="11"/>
  <c r="H50" i="11"/>
  <c r="E20" i="11"/>
  <c r="E36" i="11"/>
  <c r="G36" i="11"/>
  <c r="G44" i="11"/>
  <c r="G50" i="11"/>
  <c r="E14" i="8"/>
  <c r="D20" i="8"/>
  <c r="D21" i="8"/>
  <c r="D18" i="8"/>
  <c r="E18" i="8"/>
  <c r="D17" i="8"/>
  <c r="E17" i="8"/>
  <c r="D19" i="8"/>
  <c r="E12" i="8"/>
  <c r="E9" i="8"/>
  <c r="I18" i="8"/>
  <c r="J17" i="8"/>
  <c r="E21" i="8"/>
  <c r="D44" i="11"/>
  <c r="D50" i="11"/>
  <c r="E44" i="11"/>
  <c r="E50" i="11"/>
  <c r="F44" i="11"/>
  <c r="F50" i="11"/>
  <c r="E19" i="8"/>
  <c r="E20" i="8"/>
  <c r="I19" i="8"/>
  <c r="J18" i="8"/>
  <c r="B2" i="7"/>
  <c r="E6" i="7"/>
  <c r="E7" i="7"/>
  <c r="E8" i="7"/>
  <c r="E9" i="7"/>
  <c r="E10" i="7"/>
  <c r="E11" i="7"/>
  <c r="E12" i="7"/>
  <c r="E13" i="7"/>
  <c r="E5" i="7"/>
  <c r="D107" i="3"/>
  <c r="E107" i="3"/>
  <c r="F107" i="3"/>
  <c r="G107" i="3"/>
  <c r="H107" i="3"/>
  <c r="I107" i="3"/>
  <c r="J107" i="3"/>
  <c r="K107" i="3"/>
  <c r="L107" i="3"/>
  <c r="D106" i="3"/>
  <c r="E106" i="3"/>
  <c r="F106" i="3"/>
  <c r="G106" i="3"/>
  <c r="H106" i="3"/>
  <c r="I106" i="3"/>
  <c r="J106" i="3"/>
  <c r="K106" i="3"/>
  <c r="L106" i="3"/>
  <c r="D105" i="3"/>
  <c r="E105" i="3"/>
  <c r="F105" i="3"/>
  <c r="G105" i="3"/>
  <c r="H105" i="3"/>
  <c r="I105" i="3"/>
  <c r="J105" i="3"/>
  <c r="K105" i="3"/>
  <c r="L105" i="3"/>
  <c r="D104" i="3"/>
  <c r="E104" i="3"/>
  <c r="F104" i="3"/>
  <c r="G104" i="3"/>
  <c r="H104" i="3"/>
  <c r="I104" i="3"/>
  <c r="J104" i="3"/>
  <c r="K104" i="3"/>
  <c r="L104" i="3"/>
  <c r="D103" i="3"/>
  <c r="E103" i="3"/>
  <c r="F103" i="3"/>
  <c r="G103" i="3"/>
  <c r="H103" i="3"/>
  <c r="I103" i="3"/>
  <c r="J103" i="3"/>
  <c r="K103" i="3"/>
  <c r="L103" i="3"/>
  <c r="D102" i="3"/>
  <c r="E102" i="3"/>
  <c r="F102" i="3"/>
  <c r="G102" i="3"/>
  <c r="H102" i="3"/>
  <c r="I102" i="3"/>
  <c r="J102" i="3"/>
  <c r="K102" i="3"/>
  <c r="L102" i="3"/>
  <c r="C102" i="3"/>
  <c r="D100" i="3"/>
  <c r="E100" i="3"/>
  <c r="F100" i="3"/>
  <c r="G100" i="3"/>
  <c r="H100" i="3"/>
  <c r="I100" i="3"/>
  <c r="J100" i="3"/>
  <c r="K100" i="3"/>
  <c r="L100" i="3"/>
  <c r="C100" i="3"/>
  <c r="D101" i="3"/>
  <c r="E101" i="3"/>
  <c r="F101" i="3"/>
  <c r="G101" i="3"/>
  <c r="H101" i="3"/>
  <c r="I101" i="3"/>
  <c r="J101" i="3"/>
  <c r="K101" i="3"/>
  <c r="L101" i="3"/>
  <c r="C101" i="3"/>
  <c r="D96" i="3"/>
  <c r="E96" i="3"/>
  <c r="F96" i="3"/>
  <c r="G96" i="3"/>
  <c r="H96" i="3"/>
  <c r="I96" i="3"/>
  <c r="J96" i="3"/>
  <c r="K96" i="3"/>
  <c r="L96" i="3"/>
  <c r="C96" i="3"/>
  <c r="D95" i="3"/>
  <c r="E95" i="3"/>
  <c r="F95" i="3"/>
  <c r="G95" i="3"/>
  <c r="H95" i="3"/>
  <c r="I95" i="3"/>
  <c r="J95" i="3"/>
  <c r="K95" i="3"/>
  <c r="L95" i="3"/>
  <c r="C95" i="3"/>
  <c r="D94" i="3"/>
  <c r="E94" i="3"/>
  <c r="F94" i="3"/>
  <c r="G94" i="3"/>
  <c r="H94" i="3"/>
  <c r="I94" i="3"/>
  <c r="J94" i="3"/>
  <c r="K94" i="3"/>
  <c r="L94" i="3"/>
  <c r="C94" i="3"/>
  <c r="D93" i="3"/>
  <c r="E93" i="3"/>
  <c r="F93" i="3"/>
  <c r="G93" i="3"/>
  <c r="H93" i="3"/>
  <c r="I93" i="3"/>
  <c r="J93" i="3"/>
  <c r="K93" i="3"/>
  <c r="L93" i="3"/>
  <c r="C93" i="3"/>
  <c r="D92" i="3"/>
  <c r="E92" i="3"/>
  <c r="F92" i="3"/>
  <c r="G92" i="3"/>
  <c r="H92" i="3"/>
  <c r="I92" i="3"/>
  <c r="J92" i="3"/>
  <c r="K92" i="3"/>
  <c r="L92" i="3"/>
  <c r="C92" i="3"/>
  <c r="D91" i="3"/>
  <c r="E91" i="3"/>
  <c r="F91" i="3"/>
  <c r="G91" i="3"/>
  <c r="H91" i="3"/>
  <c r="I91" i="3"/>
  <c r="J91" i="3"/>
  <c r="K91" i="3"/>
  <c r="L91" i="3"/>
  <c r="C91" i="3"/>
  <c r="D90" i="3"/>
  <c r="E90" i="3"/>
  <c r="F90" i="3"/>
  <c r="G90" i="3"/>
  <c r="H90" i="3"/>
  <c r="I90" i="3"/>
  <c r="J90" i="3"/>
  <c r="K90" i="3"/>
  <c r="L90" i="3"/>
  <c r="C90" i="3"/>
  <c r="D89" i="3"/>
  <c r="E89" i="3"/>
  <c r="F89" i="3"/>
  <c r="G89" i="3"/>
  <c r="H89" i="3"/>
  <c r="I89" i="3"/>
  <c r="J89" i="3"/>
  <c r="K89" i="3"/>
  <c r="L89" i="3"/>
  <c r="C89" i="3"/>
  <c r="D88" i="3"/>
  <c r="E88" i="3"/>
  <c r="F88" i="3"/>
  <c r="G88" i="3"/>
  <c r="H88" i="3"/>
  <c r="I88" i="3"/>
  <c r="J88" i="3"/>
  <c r="K88" i="3"/>
  <c r="L88" i="3"/>
  <c r="C88" i="3"/>
  <c r="D87" i="3"/>
  <c r="E87" i="3"/>
  <c r="F87" i="3"/>
  <c r="G87" i="3"/>
  <c r="H87" i="3"/>
  <c r="I87" i="3"/>
  <c r="J87" i="3"/>
  <c r="K87" i="3"/>
  <c r="L87" i="3"/>
  <c r="C87" i="3"/>
  <c r="D86" i="3"/>
  <c r="E86" i="3"/>
  <c r="F86" i="3"/>
  <c r="G86" i="3"/>
  <c r="G97" i="3"/>
  <c r="H86" i="3"/>
  <c r="I86" i="3"/>
  <c r="J86" i="3"/>
  <c r="K86" i="3"/>
  <c r="K97" i="3"/>
  <c r="L86" i="3"/>
  <c r="C86" i="3"/>
  <c r="D81" i="3"/>
  <c r="E81" i="3"/>
  <c r="F81" i="3"/>
  <c r="G81" i="3"/>
  <c r="H81" i="3"/>
  <c r="I81" i="3"/>
  <c r="J81" i="3"/>
  <c r="K81" i="3"/>
  <c r="L81" i="3"/>
  <c r="C81" i="3"/>
  <c r="D80" i="3"/>
  <c r="E80" i="3"/>
  <c r="F80" i="3"/>
  <c r="G80" i="3"/>
  <c r="H80" i="3"/>
  <c r="I80" i="3"/>
  <c r="J80" i="3"/>
  <c r="K80" i="3"/>
  <c r="L80" i="3"/>
  <c r="C80" i="3"/>
  <c r="D79" i="3"/>
  <c r="E79" i="3"/>
  <c r="F79" i="3"/>
  <c r="G79" i="3"/>
  <c r="H79" i="3"/>
  <c r="I79" i="3"/>
  <c r="J79" i="3"/>
  <c r="K79" i="3"/>
  <c r="L79" i="3"/>
  <c r="C79" i="3"/>
  <c r="D78" i="3"/>
  <c r="E78" i="3"/>
  <c r="F78" i="3"/>
  <c r="G78" i="3"/>
  <c r="H78" i="3"/>
  <c r="I78" i="3"/>
  <c r="J78" i="3"/>
  <c r="K78" i="3"/>
  <c r="L78" i="3"/>
  <c r="C78" i="3"/>
  <c r="D77" i="3"/>
  <c r="E77" i="3"/>
  <c r="F77" i="3"/>
  <c r="G77" i="3"/>
  <c r="H77" i="3"/>
  <c r="I77" i="3"/>
  <c r="J77" i="3"/>
  <c r="K77" i="3"/>
  <c r="L77" i="3"/>
  <c r="C77" i="3"/>
  <c r="D76" i="3"/>
  <c r="E76" i="3"/>
  <c r="F76" i="3"/>
  <c r="G76" i="3"/>
  <c r="H76" i="3"/>
  <c r="I76" i="3"/>
  <c r="J76" i="3"/>
  <c r="K76" i="3"/>
  <c r="L76" i="3"/>
  <c r="C76" i="3"/>
  <c r="D75" i="3"/>
  <c r="E75" i="3"/>
  <c r="F75" i="3"/>
  <c r="G75" i="3"/>
  <c r="H75" i="3"/>
  <c r="I75" i="3"/>
  <c r="J75" i="3"/>
  <c r="K75" i="3"/>
  <c r="L75" i="3"/>
  <c r="C75" i="3"/>
  <c r="B6" i="4"/>
  <c r="N11" i="4"/>
  <c r="N12" i="4"/>
  <c r="M11" i="4"/>
  <c r="M12" i="4"/>
  <c r="M13" i="4"/>
  <c r="C13" i="4"/>
  <c r="N13" i="4"/>
  <c r="F83" i="3"/>
  <c r="L97" i="3"/>
  <c r="H97" i="3"/>
  <c r="D97" i="3"/>
  <c r="H83" i="3"/>
  <c r="L83" i="3"/>
  <c r="D83" i="3"/>
  <c r="J97" i="3"/>
  <c r="F97" i="3"/>
  <c r="J108" i="3"/>
  <c r="F108" i="3"/>
  <c r="I108" i="3"/>
  <c r="E108" i="3"/>
  <c r="C83" i="3"/>
  <c r="E83" i="3"/>
  <c r="K83" i="3"/>
  <c r="G83" i="3"/>
  <c r="C97" i="3"/>
  <c r="I97" i="3"/>
  <c r="E97" i="3"/>
  <c r="I83" i="3"/>
  <c r="J83" i="3"/>
  <c r="L108" i="3"/>
  <c r="H108" i="3"/>
  <c r="H110" i="3"/>
  <c r="D108" i="3"/>
  <c r="K108" i="3"/>
  <c r="G108" i="3"/>
  <c r="G110" i="3"/>
  <c r="C26" i="7"/>
  <c r="C21" i="7"/>
  <c r="J19" i="8"/>
  <c r="I20" i="8"/>
  <c r="E110" i="3"/>
  <c r="K110" i="3"/>
  <c r="I110" i="3"/>
  <c r="F110" i="3"/>
  <c r="J110" i="3"/>
  <c r="D110" i="3"/>
  <c r="L110" i="3"/>
  <c r="I21" i="8"/>
  <c r="J21" i="8"/>
  <c r="J20" i="8"/>
  <c r="K7" i="4"/>
  <c r="J7" i="4"/>
  <c r="I7" i="4"/>
  <c r="H7" i="4"/>
  <c r="G7" i="4"/>
  <c r="F7" i="4"/>
  <c r="E7" i="4"/>
  <c r="D7" i="4"/>
  <c r="C7" i="4"/>
  <c r="C103" i="3"/>
  <c r="C104" i="3"/>
  <c r="C105" i="3"/>
  <c r="C106" i="3"/>
  <c r="C107" i="3"/>
  <c r="E8" i="3"/>
  <c r="E11" i="3"/>
  <c r="E14" i="3"/>
  <c r="E20" i="3"/>
  <c r="E26" i="3"/>
  <c r="E29" i="3"/>
  <c r="E30" i="3"/>
  <c r="E22" i="4"/>
  <c r="E35" i="3"/>
  <c r="E41" i="3"/>
  <c r="E46" i="3"/>
  <c r="E52" i="3"/>
  <c r="C82" i="3"/>
  <c r="D82" i="3"/>
  <c r="E82" i="3"/>
  <c r="F82" i="3"/>
  <c r="G82" i="3"/>
  <c r="H82" i="3"/>
  <c r="I82" i="3"/>
  <c r="J82" i="3"/>
  <c r="K82" i="3"/>
  <c r="L82" i="3"/>
  <c r="D61" i="3"/>
  <c r="E61" i="3"/>
  <c r="F61" i="3"/>
  <c r="G61" i="3"/>
  <c r="H61" i="3"/>
  <c r="I61" i="3"/>
  <c r="J61" i="3"/>
  <c r="K61" i="3"/>
  <c r="L61" i="3"/>
  <c r="C61" i="3"/>
  <c r="C65" i="3"/>
  <c r="D65" i="3"/>
  <c r="E65" i="3"/>
  <c r="F65" i="3"/>
  <c r="G65" i="3"/>
  <c r="H65" i="3"/>
  <c r="I65" i="3"/>
  <c r="J65" i="3"/>
  <c r="K65" i="3"/>
  <c r="L65" i="3"/>
  <c r="C66" i="3"/>
  <c r="D66" i="3"/>
  <c r="E66" i="3"/>
  <c r="F66" i="3"/>
  <c r="G66" i="3"/>
  <c r="H66" i="3"/>
  <c r="I66" i="3"/>
  <c r="J66" i="3"/>
  <c r="K66" i="3"/>
  <c r="L66" i="3"/>
  <c r="D64" i="3"/>
  <c r="E64" i="3"/>
  <c r="F64" i="3"/>
  <c r="G64" i="3"/>
  <c r="H64" i="3"/>
  <c r="I64" i="3"/>
  <c r="J64" i="3"/>
  <c r="K64" i="3"/>
  <c r="L64" i="3"/>
  <c r="C64" i="3"/>
  <c r="C59" i="3"/>
  <c r="D59" i="3"/>
  <c r="E59" i="3"/>
  <c r="F59" i="3"/>
  <c r="G59" i="3"/>
  <c r="H59" i="3"/>
  <c r="I59" i="3"/>
  <c r="J59" i="3"/>
  <c r="K59" i="3"/>
  <c r="L59" i="3"/>
  <c r="C60" i="3"/>
  <c r="D60" i="3"/>
  <c r="E60" i="3"/>
  <c r="F60" i="3"/>
  <c r="G60" i="3"/>
  <c r="H60" i="3"/>
  <c r="I60" i="3"/>
  <c r="J60" i="3"/>
  <c r="K60" i="3"/>
  <c r="L60" i="3"/>
  <c r="D58" i="3"/>
  <c r="E58" i="3"/>
  <c r="F58" i="3"/>
  <c r="G58" i="3"/>
  <c r="H58" i="3"/>
  <c r="I58" i="3"/>
  <c r="J58" i="3"/>
  <c r="K58" i="3"/>
  <c r="L58" i="3"/>
  <c r="C58" i="3"/>
  <c r="D52" i="3"/>
  <c r="F52" i="3"/>
  <c r="G52" i="3"/>
  <c r="H52" i="3"/>
  <c r="I52" i="3"/>
  <c r="J52" i="3"/>
  <c r="K52" i="3"/>
  <c r="L52" i="3"/>
  <c r="D53" i="3"/>
  <c r="E53" i="3"/>
  <c r="F53" i="3"/>
  <c r="G53" i="3"/>
  <c r="H53" i="3"/>
  <c r="I53" i="3"/>
  <c r="J53" i="3"/>
  <c r="K53" i="3"/>
  <c r="L53" i="3"/>
  <c r="D54" i="3"/>
  <c r="E54" i="3"/>
  <c r="F54" i="3"/>
  <c r="G54" i="3"/>
  <c r="H54" i="3"/>
  <c r="I54" i="3"/>
  <c r="J54" i="3"/>
  <c r="K54" i="3"/>
  <c r="L54" i="3"/>
  <c r="D55" i="3"/>
  <c r="E55" i="3"/>
  <c r="F55" i="3"/>
  <c r="G55" i="3"/>
  <c r="H55" i="3"/>
  <c r="I55" i="3"/>
  <c r="J55" i="3"/>
  <c r="K55" i="3"/>
  <c r="L55" i="3"/>
  <c r="D56" i="3"/>
  <c r="E56" i="3"/>
  <c r="F56" i="3"/>
  <c r="G56" i="3"/>
  <c r="H56" i="3"/>
  <c r="I56" i="3"/>
  <c r="J56" i="3"/>
  <c r="K56" i="3"/>
  <c r="L56" i="3"/>
  <c r="C53" i="3"/>
  <c r="C54" i="3"/>
  <c r="C55" i="3"/>
  <c r="C56" i="3"/>
  <c r="C52" i="3"/>
  <c r="D41" i="3"/>
  <c r="D46" i="3"/>
  <c r="F41" i="3"/>
  <c r="F46" i="3"/>
  <c r="G41" i="3"/>
  <c r="G46" i="3"/>
  <c r="H41" i="3"/>
  <c r="H46" i="3"/>
  <c r="I41" i="3"/>
  <c r="I46" i="3"/>
  <c r="J41" i="3"/>
  <c r="J46" i="3"/>
  <c r="K41" i="3"/>
  <c r="K46" i="3"/>
  <c r="L41" i="3"/>
  <c r="L46" i="3"/>
  <c r="C41" i="3"/>
  <c r="C46" i="3"/>
  <c r="D35" i="3"/>
  <c r="F35" i="3"/>
  <c r="G35" i="3"/>
  <c r="H35" i="3"/>
  <c r="I35" i="3"/>
  <c r="J35" i="3"/>
  <c r="K35" i="3"/>
  <c r="L35" i="3"/>
  <c r="C35" i="3"/>
  <c r="D29" i="3"/>
  <c r="F29" i="3"/>
  <c r="G29" i="3"/>
  <c r="H29" i="3"/>
  <c r="I29" i="3"/>
  <c r="J29" i="3"/>
  <c r="K29" i="3"/>
  <c r="L29" i="3"/>
  <c r="C29" i="3"/>
  <c r="D14" i="3"/>
  <c r="F14" i="3"/>
  <c r="G14" i="3"/>
  <c r="H14" i="3"/>
  <c r="I14" i="3"/>
  <c r="J14" i="3"/>
  <c r="K14" i="3"/>
  <c r="L14" i="3"/>
  <c r="D26" i="3"/>
  <c r="F26" i="3"/>
  <c r="G26" i="3"/>
  <c r="H26" i="3"/>
  <c r="I26" i="3"/>
  <c r="J26" i="3"/>
  <c r="K26" i="3"/>
  <c r="L26" i="3"/>
  <c r="D20" i="3"/>
  <c r="F20" i="3"/>
  <c r="G20" i="3"/>
  <c r="H20" i="3"/>
  <c r="I20" i="3"/>
  <c r="J20" i="3"/>
  <c r="K20" i="3"/>
  <c r="L20" i="3"/>
  <c r="D11" i="3"/>
  <c r="F11" i="3"/>
  <c r="G11" i="3"/>
  <c r="H11" i="3"/>
  <c r="I11" i="3"/>
  <c r="J11" i="3"/>
  <c r="K11" i="3"/>
  <c r="L11" i="3"/>
  <c r="D8" i="3"/>
  <c r="F8" i="3"/>
  <c r="G8" i="3"/>
  <c r="H8" i="3"/>
  <c r="I8" i="3"/>
  <c r="J8" i="3"/>
  <c r="K8" i="3"/>
  <c r="L8" i="3"/>
  <c r="C8" i="3"/>
  <c r="C26" i="3"/>
  <c r="C20" i="3"/>
  <c r="C14" i="3"/>
  <c r="C11" i="3"/>
  <c r="B7" i="3"/>
  <c r="I67" i="3"/>
  <c r="E67" i="3"/>
  <c r="J17" i="3"/>
  <c r="J18" i="3"/>
  <c r="J15" i="4"/>
  <c r="J31" i="4"/>
  <c r="J37" i="4"/>
  <c r="J33" i="4"/>
  <c r="J39" i="4"/>
  <c r="J35" i="4"/>
  <c r="J34" i="4"/>
  <c r="J32" i="4"/>
  <c r="J38" i="4"/>
  <c r="F15" i="3"/>
  <c r="F32" i="4"/>
  <c r="F38" i="4"/>
  <c r="F33" i="4"/>
  <c r="F39" i="4"/>
  <c r="F35" i="4"/>
  <c r="F34" i="4"/>
  <c r="F31" i="4"/>
  <c r="F37" i="4"/>
  <c r="C35" i="4"/>
  <c r="C33" i="4"/>
  <c r="C34" i="4"/>
  <c r="C31" i="4"/>
  <c r="C32" i="4"/>
  <c r="I35" i="4"/>
  <c r="I34" i="4"/>
  <c r="I32" i="4"/>
  <c r="I38" i="4"/>
  <c r="I31" i="4"/>
  <c r="I37" i="4"/>
  <c r="I33" i="4"/>
  <c r="I39" i="4"/>
  <c r="D35" i="4"/>
  <c r="D34" i="4"/>
  <c r="D32" i="4"/>
  <c r="D38" i="4"/>
  <c r="D31" i="4"/>
  <c r="D37" i="4"/>
  <c r="D33" i="4"/>
  <c r="D39" i="4"/>
  <c r="H35" i="4"/>
  <c r="H34" i="4"/>
  <c r="H32" i="4"/>
  <c r="H38" i="4"/>
  <c r="H31" i="4"/>
  <c r="H37" i="4"/>
  <c r="H33" i="4"/>
  <c r="H39" i="4"/>
  <c r="E33" i="4"/>
  <c r="E39" i="4"/>
  <c r="E34" i="4"/>
  <c r="E35" i="4"/>
  <c r="E32" i="4"/>
  <c r="E38" i="4"/>
  <c r="E31" i="4"/>
  <c r="E37" i="4"/>
  <c r="K32" i="4"/>
  <c r="K38" i="4"/>
  <c r="K31" i="4"/>
  <c r="K37" i="4"/>
  <c r="K33" i="4"/>
  <c r="K39" i="4"/>
  <c r="K35" i="4"/>
  <c r="K34" i="4"/>
  <c r="G35" i="4"/>
  <c r="G32" i="4"/>
  <c r="G38" i="4"/>
  <c r="G31" i="4"/>
  <c r="G37" i="4"/>
  <c r="G33" i="4"/>
  <c r="G39" i="4"/>
  <c r="G34" i="4"/>
  <c r="C62" i="3"/>
  <c r="I62" i="3"/>
  <c r="E62" i="3"/>
  <c r="K67" i="3"/>
  <c r="G67" i="3"/>
  <c r="J67" i="3"/>
  <c r="C108" i="3"/>
  <c r="C110" i="3"/>
  <c r="J44" i="4"/>
  <c r="J42" i="4"/>
  <c r="F44" i="4"/>
  <c r="F42" i="4"/>
  <c r="K44" i="4"/>
  <c r="K42" i="4"/>
  <c r="C44" i="4"/>
  <c r="C42" i="4"/>
  <c r="I44" i="4"/>
  <c r="I42" i="4"/>
  <c r="E44" i="4"/>
  <c r="E42" i="4"/>
  <c r="H44" i="4"/>
  <c r="H42" i="4"/>
  <c r="D44" i="4"/>
  <c r="D42" i="4"/>
  <c r="G44" i="4"/>
  <c r="G42" i="4"/>
  <c r="C67" i="3"/>
  <c r="N62" i="3"/>
  <c r="E21" i="3"/>
  <c r="E21" i="4"/>
  <c r="E15" i="3"/>
  <c r="F67" i="3"/>
  <c r="E27" i="3"/>
  <c r="L62" i="3"/>
  <c r="H62" i="3"/>
  <c r="D62" i="3"/>
  <c r="K62" i="3"/>
  <c r="G62" i="3"/>
  <c r="E12" i="3"/>
  <c r="E9" i="4"/>
  <c r="J62" i="3"/>
  <c r="F62" i="3"/>
  <c r="L67" i="3"/>
  <c r="H67" i="3"/>
  <c r="D67" i="3"/>
  <c r="C21" i="3"/>
  <c r="C21" i="4"/>
  <c r="I69" i="3"/>
  <c r="I41" i="9"/>
  <c r="E17" i="3"/>
  <c r="D15" i="3"/>
  <c r="G27" i="3"/>
  <c r="C15" i="3"/>
  <c r="K27" i="3"/>
  <c r="L12" i="3"/>
  <c r="H12" i="3"/>
  <c r="H9" i="4"/>
  <c r="K30" i="3"/>
  <c r="K22" i="4"/>
  <c r="G30" i="3"/>
  <c r="G22" i="4"/>
  <c r="J30" i="3"/>
  <c r="J22" i="4"/>
  <c r="F30" i="3"/>
  <c r="F22" i="4"/>
  <c r="J21" i="3"/>
  <c r="J21" i="4"/>
  <c r="F21" i="3"/>
  <c r="F21" i="4"/>
  <c r="I15" i="3"/>
  <c r="H30" i="3"/>
  <c r="H22" i="4"/>
  <c r="D30" i="3"/>
  <c r="D22" i="4"/>
  <c r="H17" i="3"/>
  <c r="D12" i="3"/>
  <c r="D9" i="4"/>
  <c r="C27" i="3"/>
  <c r="D17" i="3"/>
  <c r="I21" i="3"/>
  <c r="I21" i="4"/>
  <c r="D21" i="3"/>
  <c r="D21" i="4"/>
  <c r="I27" i="3"/>
  <c r="L15" i="3"/>
  <c r="H15" i="3"/>
  <c r="C30" i="3"/>
  <c r="C22" i="4"/>
  <c r="I30" i="3"/>
  <c r="I22" i="4"/>
  <c r="J23" i="3"/>
  <c r="L21" i="3"/>
  <c r="H21" i="3"/>
  <c r="H21" i="4"/>
  <c r="L27" i="3"/>
  <c r="H27" i="3"/>
  <c r="D27" i="3"/>
  <c r="I12" i="3"/>
  <c r="I9" i="4"/>
  <c r="I17" i="3"/>
  <c r="K21" i="3"/>
  <c r="K21" i="4"/>
  <c r="G21" i="3"/>
  <c r="G21" i="4"/>
  <c r="L30" i="3"/>
  <c r="K12" i="3"/>
  <c r="K9" i="4"/>
  <c r="J15" i="3"/>
  <c r="F12" i="3"/>
  <c r="F9" i="4"/>
  <c r="J27" i="3"/>
  <c r="C17" i="3"/>
  <c r="C23" i="3"/>
  <c r="L17" i="3"/>
  <c r="F17" i="3"/>
  <c r="K17" i="3"/>
  <c r="G17" i="3"/>
  <c r="G12" i="3"/>
  <c r="G9" i="4"/>
  <c r="J12" i="3"/>
  <c r="J9" i="4"/>
  <c r="F27" i="3"/>
  <c r="K15" i="3"/>
  <c r="G15" i="3"/>
  <c r="G69" i="3"/>
  <c r="G42" i="9"/>
  <c r="L69" i="3"/>
  <c r="L41" i="9"/>
  <c r="E69" i="3"/>
  <c r="E43" i="9"/>
  <c r="K40" i="4"/>
  <c r="J40" i="4"/>
  <c r="K69" i="3"/>
  <c r="K42" i="9"/>
  <c r="C69" i="3"/>
  <c r="C41" i="9"/>
  <c r="E71" i="3"/>
  <c r="E40" i="9"/>
  <c r="E41" i="9"/>
  <c r="G44" i="9"/>
  <c r="G40" i="9"/>
  <c r="G38" i="9"/>
  <c r="G43" i="9"/>
  <c r="G39" i="9"/>
  <c r="H69" i="3"/>
  <c r="J25" i="9"/>
  <c r="J29" i="4"/>
  <c r="J17" i="4"/>
  <c r="J23" i="4"/>
  <c r="J25" i="4"/>
  <c r="C71" i="3"/>
  <c r="C44" i="9"/>
  <c r="C38" i="9"/>
  <c r="G41" i="9"/>
  <c r="C38" i="4"/>
  <c r="M32" i="4"/>
  <c r="N32" i="4"/>
  <c r="N21" i="4"/>
  <c r="M21" i="4"/>
  <c r="K40" i="9"/>
  <c r="K43" i="9"/>
  <c r="G40" i="4"/>
  <c r="E40" i="4"/>
  <c r="H40" i="4"/>
  <c r="I40" i="4"/>
  <c r="C37" i="4"/>
  <c r="M31" i="4"/>
  <c r="N31" i="4"/>
  <c r="F40" i="4"/>
  <c r="G43" i="4"/>
  <c r="I43" i="4"/>
  <c r="C25" i="9"/>
  <c r="C17" i="4"/>
  <c r="C29" i="4"/>
  <c r="C25" i="4"/>
  <c r="N22" i="4"/>
  <c r="M22" i="4"/>
  <c r="N9" i="4"/>
  <c r="M9" i="4"/>
  <c r="J69" i="3"/>
  <c r="C43" i="4"/>
  <c r="M34" i="4"/>
  <c r="N34" i="4"/>
  <c r="C39" i="4"/>
  <c r="N33" i="4"/>
  <c r="M33" i="4"/>
  <c r="I71" i="3"/>
  <c r="I43" i="9"/>
  <c r="I39" i="9"/>
  <c r="I37" i="9"/>
  <c r="I42" i="9"/>
  <c r="I38" i="9"/>
  <c r="I44" i="9"/>
  <c r="I40" i="9"/>
  <c r="L71" i="3"/>
  <c r="L37" i="9"/>
  <c r="L44" i="9"/>
  <c r="L40" i="9"/>
  <c r="L43" i="9"/>
  <c r="L39" i="9"/>
  <c r="L42" i="9"/>
  <c r="L38" i="9"/>
  <c r="D40" i="4"/>
  <c r="M35" i="4"/>
  <c r="N35" i="4"/>
  <c r="N44" i="4"/>
  <c r="M44" i="4"/>
  <c r="M42" i="4"/>
  <c r="N42" i="4"/>
  <c r="D69" i="3"/>
  <c r="F69" i="3"/>
  <c r="E23" i="3"/>
  <c r="E18" i="3"/>
  <c r="E15" i="4"/>
  <c r="G23" i="3"/>
  <c r="G18" i="3"/>
  <c r="G15" i="4"/>
  <c r="K23" i="3"/>
  <c r="K18" i="3"/>
  <c r="K15" i="4"/>
  <c r="C32" i="3"/>
  <c r="C37" i="11"/>
  <c r="C18" i="3"/>
  <c r="C15" i="4"/>
  <c r="I23" i="3"/>
  <c r="J10" i="4"/>
  <c r="I18" i="3"/>
  <c r="I15" i="4"/>
  <c r="J24" i="3"/>
  <c r="J16" i="4"/>
  <c r="J32" i="3"/>
  <c r="L23" i="3"/>
  <c r="L25" i="9"/>
  <c r="L18" i="3"/>
  <c r="D23" i="3"/>
  <c r="D18" i="3"/>
  <c r="D15" i="4"/>
  <c r="F23" i="3"/>
  <c r="F18" i="3"/>
  <c r="F15" i="4"/>
  <c r="H23" i="3"/>
  <c r="H18" i="3"/>
  <c r="H15" i="4"/>
  <c r="G37" i="9"/>
  <c r="G71" i="3"/>
  <c r="E42" i="9"/>
  <c r="K37" i="9"/>
  <c r="K44" i="9"/>
  <c r="C39" i="9"/>
  <c r="E37" i="9"/>
  <c r="K41" i="9"/>
  <c r="K43" i="4"/>
  <c r="K38" i="9"/>
  <c r="K71" i="3"/>
  <c r="K39" i="9"/>
  <c r="C42" i="9"/>
  <c r="E44" i="9"/>
  <c r="E39" i="9"/>
  <c r="C37" i="9"/>
  <c r="E43" i="4"/>
  <c r="E38" i="9"/>
  <c r="C43" i="9"/>
  <c r="C40" i="9"/>
  <c r="M15" i="4"/>
  <c r="N15" i="4"/>
  <c r="F71" i="3"/>
  <c r="F42" i="9"/>
  <c r="F38" i="9"/>
  <c r="F43" i="9"/>
  <c r="F39" i="9"/>
  <c r="F44" i="9"/>
  <c r="F40" i="9"/>
  <c r="F37" i="9"/>
  <c r="F41" i="9"/>
  <c r="F43" i="4"/>
  <c r="C23" i="4"/>
  <c r="H25" i="9"/>
  <c r="H17" i="4"/>
  <c r="H23" i="4"/>
  <c r="H29" i="4"/>
  <c r="H10" i="4"/>
  <c r="H25" i="4"/>
  <c r="D25" i="9"/>
  <c r="D17" i="4"/>
  <c r="D23" i="4"/>
  <c r="D29" i="4"/>
  <c r="D25" i="4"/>
  <c r="D10" i="4"/>
  <c r="C46" i="11"/>
  <c r="C48" i="11"/>
  <c r="C39" i="11"/>
  <c r="C59" i="11"/>
  <c r="G25" i="9"/>
  <c r="G29" i="4"/>
  <c r="G10" i="4"/>
  <c r="G25" i="4"/>
  <c r="G17" i="4"/>
  <c r="G23" i="4"/>
  <c r="D71" i="3"/>
  <c r="D37" i="9"/>
  <c r="D44" i="9"/>
  <c r="D40" i="9"/>
  <c r="D43" i="9"/>
  <c r="D39" i="9"/>
  <c r="D42" i="9"/>
  <c r="D38" i="9"/>
  <c r="D41" i="9"/>
  <c r="D43" i="4"/>
  <c r="N39" i="4"/>
  <c r="M39" i="4"/>
  <c r="J71" i="3"/>
  <c r="J42" i="9"/>
  <c r="J38" i="9"/>
  <c r="J43" i="9"/>
  <c r="J39" i="9"/>
  <c r="J44" i="9"/>
  <c r="J40" i="9"/>
  <c r="J37" i="9"/>
  <c r="J43" i="4"/>
  <c r="J41" i="9"/>
  <c r="H71" i="3"/>
  <c r="H37" i="9"/>
  <c r="H44" i="9"/>
  <c r="H40" i="9"/>
  <c r="H43" i="9"/>
  <c r="H39" i="9"/>
  <c r="H42" i="9"/>
  <c r="H38" i="9"/>
  <c r="H41" i="9"/>
  <c r="H43" i="4"/>
  <c r="N38" i="4"/>
  <c r="C40" i="4"/>
  <c r="M38" i="4"/>
  <c r="F25" i="9"/>
  <c r="F17" i="4"/>
  <c r="F23" i="4"/>
  <c r="F29" i="4"/>
  <c r="F10" i="4"/>
  <c r="F25" i="4"/>
  <c r="I25" i="9"/>
  <c r="I17" i="4"/>
  <c r="I23" i="4"/>
  <c r="I29" i="4"/>
  <c r="I10" i="4"/>
  <c r="I25" i="4"/>
  <c r="K25" i="9"/>
  <c r="K29" i="4"/>
  <c r="K10" i="4"/>
  <c r="K25" i="4"/>
  <c r="K17" i="4"/>
  <c r="K23" i="4"/>
  <c r="E25" i="9"/>
  <c r="E17" i="4"/>
  <c r="E23" i="4"/>
  <c r="E29" i="4"/>
  <c r="E10" i="4"/>
  <c r="E25" i="4"/>
  <c r="N37" i="4"/>
  <c r="M37" i="4"/>
  <c r="C24" i="3"/>
  <c r="C16" i="4"/>
  <c r="E24" i="3"/>
  <c r="E16" i="4"/>
  <c r="E32" i="3"/>
  <c r="E37" i="11"/>
  <c r="F24" i="3"/>
  <c r="F16" i="4"/>
  <c r="F32" i="3"/>
  <c r="F37" i="11"/>
  <c r="I24" i="3"/>
  <c r="I16" i="4"/>
  <c r="I32" i="3"/>
  <c r="J33" i="3"/>
  <c r="J18" i="4"/>
  <c r="J38" i="3"/>
  <c r="J27" i="4"/>
  <c r="J36" i="3"/>
  <c r="H24" i="3"/>
  <c r="H16" i="4"/>
  <c r="H32" i="3"/>
  <c r="H37" i="11"/>
  <c r="L24" i="3"/>
  <c r="L32" i="3"/>
  <c r="K24" i="3"/>
  <c r="K16" i="4"/>
  <c r="K32" i="3"/>
  <c r="D24" i="3"/>
  <c r="D16" i="4"/>
  <c r="D32" i="3"/>
  <c r="D37" i="11"/>
  <c r="C38" i="3"/>
  <c r="C27" i="4"/>
  <c r="C36" i="3"/>
  <c r="C33" i="3"/>
  <c r="C18" i="4"/>
  <c r="G24" i="3"/>
  <c r="G16" i="4"/>
  <c r="G32" i="3"/>
  <c r="G37" i="11"/>
  <c r="N29" i="4"/>
  <c r="M29" i="4"/>
  <c r="M25" i="4"/>
  <c r="G46" i="11"/>
  <c r="G48" i="11"/>
  <c r="G51" i="11"/>
  <c r="G58" i="11"/>
  <c r="G39" i="11"/>
  <c r="G59" i="11"/>
  <c r="E46" i="11"/>
  <c r="E48" i="11"/>
  <c r="E51" i="11"/>
  <c r="E58" i="11"/>
  <c r="E39" i="11"/>
  <c r="E59" i="11"/>
  <c r="N40" i="4"/>
  <c r="M40" i="4"/>
  <c r="D46" i="11"/>
  <c r="D48" i="11"/>
  <c r="D51" i="11"/>
  <c r="D39" i="11"/>
  <c r="D59" i="11"/>
  <c r="M17" i="4"/>
  <c r="F46" i="11"/>
  <c r="F48" i="11"/>
  <c r="F51" i="11"/>
  <c r="F58" i="11"/>
  <c r="F39" i="11"/>
  <c r="F59" i="11"/>
  <c r="N16" i="4"/>
  <c r="M16" i="4"/>
  <c r="N25" i="4"/>
  <c r="M43" i="4"/>
  <c r="N43" i="4"/>
  <c r="N17" i="4"/>
  <c r="H46" i="11"/>
  <c r="H48" i="11"/>
  <c r="H51" i="11"/>
  <c r="H58" i="11"/>
  <c r="H39" i="11"/>
  <c r="H59" i="11"/>
  <c r="M10" i="4"/>
  <c r="N10" i="4"/>
  <c r="M23" i="4"/>
  <c r="N23" i="4"/>
  <c r="E33" i="3"/>
  <c r="E18" i="4"/>
  <c r="E36" i="3"/>
  <c r="E38" i="3"/>
  <c r="E27" i="4"/>
  <c r="I36" i="3"/>
  <c r="I33" i="3"/>
  <c r="I18" i="4"/>
  <c r="I38" i="3"/>
  <c r="I27" i="4"/>
  <c r="C39" i="3"/>
  <c r="C19" i="4"/>
  <c r="C43" i="3"/>
  <c r="J43" i="3"/>
  <c r="J39" i="3"/>
  <c r="J19" i="4"/>
  <c r="F33" i="3"/>
  <c r="F18" i="4"/>
  <c r="F38" i="3"/>
  <c r="F27" i="4"/>
  <c r="F36" i="3"/>
  <c r="L38" i="3"/>
  <c r="L33" i="3"/>
  <c r="L36" i="3"/>
  <c r="G33" i="3"/>
  <c r="G18" i="4"/>
  <c r="G38" i="3"/>
  <c r="G27" i="4"/>
  <c r="G36" i="3"/>
  <c r="D38" i="3"/>
  <c r="D27" i="4"/>
  <c r="D33" i="3"/>
  <c r="D18" i="4"/>
  <c r="D36" i="3"/>
  <c r="K33" i="3"/>
  <c r="K18" i="4"/>
  <c r="K38" i="3"/>
  <c r="K27" i="4"/>
  <c r="K36" i="3"/>
  <c r="H38" i="3"/>
  <c r="H27" i="4"/>
  <c r="H33" i="3"/>
  <c r="H18" i="4"/>
  <c r="H36" i="3"/>
  <c r="G60" i="11"/>
  <c r="E60" i="11"/>
  <c r="M18" i="4"/>
  <c r="M27" i="4"/>
  <c r="N27" i="4"/>
  <c r="C47" i="3"/>
  <c r="C49" i="3"/>
  <c r="C26" i="4"/>
  <c r="D58" i="11"/>
  <c r="D60" i="11"/>
  <c r="H53" i="11"/>
  <c r="H54" i="11"/>
  <c r="H60" i="11"/>
  <c r="F60" i="11"/>
  <c r="N18" i="4"/>
  <c r="E39" i="3"/>
  <c r="E19" i="4"/>
  <c r="E43" i="3"/>
  <c r="J47" i="3"/>
  <c r="J49" i="3"/>
  <c r="J26" i="4"/>
  <c r="J28" i="4"/>
  <c r="D43" i="3"/>
  <c r="D39" i="3"/>
  <c r="D19" i="4"/>
  <c r="G43" i="3"/>
  <c r="G39" i="3"/>
  <c r="G19" i="4"/>
  <c r="K43" i="3"/>
  <c r="K39" i="3"/>
  <c r="K19" i="4"/>
  <c r="F43" i="3"/>
  <c r="F39" i="3"/>
  <c r="F19" i="4"/>
  <c r="I43" i="3"/>
  <c r="I39" i="3"/>
  <c r="I19" i="4"/>
  <c r="H43" i="3"/>
  <c r="H39" i="3"/>
  <c r="H19" i="4"/>
  <c r="L43" i="3"/>
  <c r="L39" i="3"/>
  <c r="F10" i="14"/>
  <c r="G10" i="14"/>
  <c r="E10" i="14"/>
  <c r="D10" i="14"/>
  <c r="H10" i="14"/>
  <c r="C10" i="14"/>
  <c r="C11" i="14"/>
  <c r="M19" i="4"/>
  <c r="N19" i="4"/>
  <c r="N7" i="8" a="1"/>
  <c r="N10" i="8"/>
  <c r="H62" i="11"/>
  <c r="H63" i="11"/>
  <c r="C17" i="14"/>
  <c r="D7" i="14"/>
  <c r="C28" i="4"/>
  <c r="E44" i="3"/>
  <c r="E47" i="3"/>
  <c r="E49" i="3"/>
  <c r="E26" i="4"/>
  <c r="E28" i="4"/>
  <c r="L44" i="3"/>
  <c r="L47" i="3"/>
  <c r="L49" i="3"/>
  <c r="I44" i="3"/>
  <c r="I47" i="3"/>
  <c r="I49" i="3"/>
  <c r="I26" i="4"/>
  <c r="I28" i="4"/>
  <c r="F44" i="3"/>
  <c r="F47" i="3"/>
  <c r="F49" i="3"/>
  <c r="F26" i="4"/>
  <c r="F28" i="4"/>
  <c r="G44" i="3"/>
  <c r="G47" i="3"/>
  <c r="G49" i="3"/>
  <c r="G26" i="4"/>
  <c r="G28" i="4"/>
  <c r="J44" i="3"/>
  <c r="H47" i="3"/>
  <c r="H49" i="3"/>
  <c r="H26" i="4"/>
  <c r="H28" i="4"/>
  <c r="H44" i="3"/>
  <c r="K44" i="3"/>
  <c r="K47" i="3"/>
  <c r="K49" i="3"/>
  <c r="K26" i="4"/>
  <c r="K28" i="4"/>
  <c r="D44" i="3"/>
  <c r="D47" i="3"/>
  <c r="D49" i="3"/>
  <c r="D26" i="4"/>
  <c r="D28" i="4"/>
  <c r="E7" i="14"/>
  <c r="D9" i="14"/>
  <c r="D11" i="14"/>
  <c r="D15" i="14"/>
  <c r="N12" i="8"/>
  <c r="N14" i="8"/>
  <c r="N16" i="8"/>
  <c r="N15" i="8"/>
  <c r="N8" i="8"/>
  <c r="N11" i="8"/>
  <c r="O12" i="8"/>
  <c r="N7" i="8"/>
  <c r="N9" i="8"/>
  <c r="O10" i="8"/>
  <c r="N13" i="8"/>
  <c r="O13" i="8"/>
  <c r="O11" i="8"/>
  <c r="N28" i="4"/>
  <c r="M28" i="4"/>
  <c r="M26" i="4"/>
  <c r="N26" i="4"/>
  <c r="F7" i="14"/>
  <c r="E9" i="14"/>
  <c r="E11" i="14"/>
  <c r="E15" i="14"/>
  <c r="O15" i="8"/>
  <c r="O8" i="8"/>
  <c r="N17" i="8"/>
  <c r="O17" i="8"/>
  <c r="O9" i="8"/>
  <c r="O16" i="8"/>
  <c r="O14" i="8"/>
  <c r="G7" i="14"/>
  <c r="F9" i="14"/>
  <c r="F11" i="14"/>
  <c r="F15" i="14"/>
  <c r="N18" i="8"/>
  <c r="N19" i="8"/>
  <c r="O19" i="8"/>
  <c r="H7" i="14"/>
  <c r="H9" i="14"/>
  <c r="H11" i="14"/>
  <c r="G9" i="14"/>
  <c r="G11" i="14"/>
  <c r="G15" i="14"/>
  <c r="O18" i="8"/>
  <c r="N20" i="8"/>
  <c r="H15" i="14"/>
  <c r="C32" i="14"/>
  <c r="C23" i="14"/>
  <c r="C27" i="14"/>
  <c r="C33" i="14"/>
  <c r="N21" i="8"/>
  <c r="O21" i="8"/>
  <c r="O20" i="8"/>
  <c r="C34" i="14"/>
  <c r="C38" i="14"/>
</calcChain>
</file>

<file path=xl/sharedStrings.xml><?xml version="1.0" encoding="utf-8"?>
<sst xmlns="http://schemas.openxmlformats.org/spreadsheetml/2006/main" count="577" uniqueCount="398">
  <si>
    <t>DATA</t>
  </si>
  <si>
    <t>Years</t>
  </si>
  <si>
    <t>COMPANY NAME</t>
  </si>
  <si>
    <t>SHREE CEMENT LTD</t>
  </si>
  <si>
    <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</si>
  <si>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</si>
  <si>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</si>
  <si>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</si>
  <si>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</si>
  <si>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</si>
  <si>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</si>
  <si>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</si>
  <si>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</si>
  <si>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</si>
  <si>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</si>
  <si>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</si>
  <si>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</si>
  <si>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</si>
  <si>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</si>
  <si>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</si>
  <si>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</si>
  <si>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</si>
  <si>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</si>
  <si>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</si>
  <si>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</si>
  <si>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</si>
  <si>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</si>
  <si>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</si>
  <si>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</si>
  <si>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</si>
  <si>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</si>
  <si>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</si>
  <si>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</si>
  <si>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</si>
  <si>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</si>
  <si>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</si>
  <si>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</si>
  <si>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</si>
  <si>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</si>
  <si>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</si>
  <si>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</si>
  <si>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</si>
  <si>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</si>
  <si>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</si>
  <si>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</si>
  <si>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</si>
  <si>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</si>
  <si>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</si>
  <si>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</si>
  <si>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</si>
  <si>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</si>
  <si>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</si>
  <si>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</si>
  <si>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</si>
  <si>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</si>
  <si>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</si>
  <si>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</si>
  <si>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t>
  </si>
  <si>
    <t>Income Statement</t>
  </si>
  <si>
    <t>Sales Growth</t>
  </si>
  <si>
    <t>-</t>
  </si>
  <si>
    <t>COGS</t>
  </si>
  <si>
    <t>COGS % sales</t>
  </si>
  <si>
    <t>Gross Profit</t>
  </si>
  <si>
    <t>Selling &amp; General Epenses</t>
  </si>
  <si>
    <t>S&amp;G Exp % sales</t>
  </si>
  <si>
    <t>EBITDA</t>
  </si>
  <si>
    <t>EBITDA Margins</t>
  </si>
  <si>
    <t>Interest % sales</t>
  </si>
  <si>
    <t>Depreciation % Sales</t>
  </si>
  <si>
    <t>Earning Before Tax</t>
  </si>
  <si>
    <t>Gross Margin</t>
  </si>
  <si>
    <t>EBT % Sales</t>
  </si>
  <si>
    <t>Effective tax Rate</t>
  </si>
  <si>
    <t>Net Profit</t>
  </si>
  <si>
    <t>Net Margins</t>
  </si>
  <si>
    <t>No. Of Equity Shares</t>
  </si>
  <si>
    <t>EPS</t>
  </si>
  <si>
    <t>Dividend Per Share</t>
  </si>
  <si>
    <t>EPS Growth %</t>
  </si>
  <si>
    <t>Dividend Payout Ratio</t>
  </si>
  <si>
    <t>Retained Earnings</t>
  </si>
  <si>
    <t>Balance Sheet</t>
  </si>
  <si>
    <t>Total Liabilities</t>
  </si>
  <si>
    <t>Total Assets</t>
  </si>
  <si>
    <t>Total Non Current Assets</t>
  </si>
  <si>
    <t>Total Current Assets</t>
  </si>
  <si>
    <t>Fixed Assets Net Block</t>
  </si>
  <si>
    <t>Check</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</si>
  <si>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</si>
  <si>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</si>
  <si>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</si>
  <si>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</si>
  <si>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</si>
  <si>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</si>
  <si>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</si>
  <si>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</si>
  <si>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</si>
  <si>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</si>
  <si>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</si>
  <si>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</si>
  <si>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</si>
  <si>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</si>
  <si>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Invest in subsidiaries</t>
  </si>
  <si>
    <t>Loans to subsidiaries</t>
  </si>
  <si>
    <t>Redemp n Canc of Shares</t>
  </si>
  <si>
    <t>Acquisition of companies</t>
  </si>
  <si>
    <t>Other investing items</t>
  </si>
  <si>
    <t>Cash from Financing Activity -</t>
  </si>
  <si>
    <t>Proceeds from shares</t>
  </si>
  <si>
    <t>Proceeds from borrowings</t>
  </si>
  <si>
    <t>Repayment of borrowings</t>
  </si>
  <si>
    <t>Investment subsidy</t>
  </si>
  <si>
    <t>Interest paid fin</t>
  </si>
  <si>
    <t>Dividends paid</t>
  </si>
  <si>
    <t>Financial liabilities</t>
  </si>
  <si>
    <t>Other financing items</t>
  </si>
  <si>
    <t>Cash Flow Statement</t>
  </si>
  <si>
    <t>Cash From Operating Activaties</t>
  </si>
  <si>
    <t>k</t>
  </si>
  <si>
    <t>Operating Activities</t>
  </si>
  <si>
    <t>Investing Activities</t>
  </si>
  <si>
    <t>Cash From Investing Activity</t>
  </si>
  <si>
    <t>Financing Activities</t>
  </si>
  <si>
    <t>EBITDA Growth</t>
  </si>
  <si>
    <t>EBT Growth</t>
  </si>
  <si>
    <t>Net Profit Growth</t>
  </si>
  <si>
    <t>Dividend Growth</t>
  </si>
  <si>
    <t>EBITDA Margin</t>
  </si>
  <si>
    <t>EBT Margin</t>
  </si>
  <si>
    <t>EBIT Margin</t>
  </si>
  <si>
    <t>Net Profit Margin</t>
  </si>
  <si>
    <t>Sales Expenses%Sales</t>
  </si>
  <si>
    <t>Operating Income%Sales</t>
  </si>
  <si>
    <t>Return On Capital Employed</t>
  </si>
  <si>
    <t>Return On Equity %</t>
  </si>
  <si>
    <t>Retained Earnings %</t>
  </si>
  <si>
    <t>Self Sustained Growth Rate</t>
  </si>
  <si>
    <t>Interest Coverage Ratio</t>
  </si>
  <si>
    <t>Debtor Turnover Ratio</t>
  </si>
  <si>
    <t>Creditor Turnover Ratio</t>
  </si>
  <si>
    <t>Inventory Turnover Ratio</t>
  </si>
  <si>
    <t>Fixed Asset Ratio</t>
  </si>
  <si>
    <t>Capital Turnover Ratio</t>
  </si>
  <si>
    <t>Debtor Days</t>
  </si>
  <si>
    <t>Payable Days</t>
  </si>
  <si>
    <t>Inventory Days</t>
  </si>
  <si>
    <t>Cash Conversion Cycle</t>
  </si>
  <si>
    <t>CFO / Sales</t>
  </si>
  <si>
    <t>CFO / Total Assets</t>
  </si>
  <si>
    <t>CFO / Total Debts</t>
  </si>
  <si>
    <t>Mean</t>
  </si>
  <si>
    <t>Median</t>
  </si>
  <si>
    <t>Trend</t>
  </si>
  <si>
    <t>Cash From Financing Activity</t>
  </si>
  <si>
    <t>Year Weight</t>
  </si>
  <si>
    <t>Year</t>
  </si>
  <si>
    <t>Arithmetic Growth</t>
  </si>
  <si>
    <t>Geometric Growth</t>
  </si>
  <si>
    <t>Standard Deviation</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</si>
  <si>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</si>
  <si>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</si>
  <si>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</si>
  <si>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</si>
  <si>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</si>
  <si>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</si>
  <si>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</si>
  <si>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</si>
  <si>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</si>
  <si>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</si>
  <si>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</si>
  <si>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</si>
  <si>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</si>
  <si>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</si>
  <si>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</si>
  <si>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</si>
  <si>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</si>
  <si>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</si>
  <si>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</si>
  <si>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</si>
  <si>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</si>
  <si>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</si>
  <si>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</si>
  <si>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EPS Growth</t>
  </si>
  <si>
    <t>Linear Regression</t>
  </si>
  <si>
    <t>or</t>
  </si>
  <si>
    <t>RRI Method</t>
  </si>
  <si>
    <t>This Sheet Is Only For Learning purpose</t>
  </si>
  <si>
    <t>Forecast Direct</t>
  </si>
  <si>
    <t>YW,Sales(Abslt.),YW(ab)</t>
  </si>
  <si>
    <t>Particulars</t>
  </si>
  <si>
    <t>Long term Borrowings</t>
  </si>
  <si>
    <t>Short term Borrowings</t>
  </si>
  <si>
    <t>Lease Liabilities</t>
  </si>
  <si>
    <t>Other Borrowings</t>
  </si>
  <si>
    <t>Trade Payables</t>
  </si>
  <si>
    <t>Advance from Customers</t>
  </si>
  <si>
    <t>Other liability items</t>
  </si>
  <si>
    <t>Land</t>
  </si>
  <si>
    <t>Building</t>
  </si>
  <si>
    <t>Plant Machinery</t>
  </si>
  <si>
    <t>Equipments</t>
  </si>
  <si>
    <t>Furniture n fittings</t>
  </si>
  <si>
    <t>Railway sidings</t>
  </si>
  <si>
    <t>Vehicles</t>
  </si>
  <si>
    <t>Intangible Assets</t>
  </si>
  <si>
    <t>Other fixed assets</t>
  </si>
  <si>
    <t>Gross Block</t>
  </si>
  <si>
    <t>Accumulated Depreciation</t>
  </si>
  <si>
    <t>CWIP</t>
  </si>
  <si>
    <t>Inventories</t>
  </si>
  <si>
    <t>Trade receivables</t>
  </si>
  <si>
    <t>Cash Equivalents</t>
  </si>
  <si>
    <t>Short term loans</t>
  </si>
  <si>
    <t>Other asset items</t>
  </si>
  <si>
    <t>Borrowings -</t>
  </si>
  <si>
    <t>Other Liabilities -</t>
  </si>
  <si>
    <t>Fixed Assets -</t>
  </si>
  <si>
    <t>Other Assets -</t>
  </si>
  <si>
    <t>Equity Capital</t>
  </si>
  <si>
    <t>Calculation Of ROIC</t>
  </si>
  <si>
    <t>Current Assets</t>
  </si>
  <si>
    <t>Current Liabilities</t>
  </si>
  <si>
    <t>Total Current liabilities</t>
  </si>
  <si>
    <t>Net Working Capital</t>
  </si>
  <si>
    <t>Non Current Assets</t>
  </si>
  <si>
    <t>Net Non Current Assets</t>
  </si>
  <si>
    <t>Invested Capital</t>
  </si>
  <si>
    <t>EBIT</t>
  </si>
  <si>
    <t>ROIC</t>
  </si>
  <si>
    <t>Calculation Of Reinvestment Rate</t>
  </si>
  <si>
    <t>Net Capex</t>
  </si>
  <si>
    <t>Change In Working Capital</t>
  </si>
  <si>
    <t>Marginal Tax Rate</t>
  </si>
  <si>
    <t>Reinvestment</t>
  </si>
  <si>
    <t>Reinvestment Rate</t>
  </si>
  <si>
    <t>EBIT (1-T)</t>
  </si>
  <si>
    <t>4 Year Median</t>
  </si>
  <si>
    <t>Calculation Of Growth Rate</t>
  </si>
  <si>
    <t>Intrinsic Growth</t>
  </si>
  <si>
    <t>4 Year Avg.</t>
  </si>
  <si>
    <t>Market Cap</t>
  </si>
  <si>
    <t>CMP</t>
  </si>
  <si>
    <t>cr.</t>
  </si>
  <si>
    <t>High/Low</t>
  </si>
  <si>
    <t>LTM</t>
  </si>
  <si>
    <t>Weighted Average Cost Of Capital</t>
  </si>
  <si>
    <t>All figures are in INR unless stated otherwise</t>
  </si>
  <si>
    <t>Country</t>
  </si>
  <si>
    <t>Total Debt</t>
  </si>
  <si>
    <t>Total Equity</t>
  </si>
  <si>
    <t>Tax Rate</t>
  </si>
  <si>
    <t>Name of the company</t>
  </si>
  <si>
    <t>Debt/</t>
  </si>
  <si>
    <t>Equity</t>
  </si>
  <si>
    <t>Capital</t>
  </si>
  <si>
    <t>Levered</t>
  </si>
  <si>
    <t>Unlevered</t>
  </si>
  <si>
    <t>India</t>
  </si>
  <si>
    <t>Average</t>
  </si>
  <si>
    <t>Cost Of Debt</t>
  </si>
  <si>
    <t>Post Tax Cost Of Debt</t>
  </si>
  <si>
    <t>Cost Of Equity</t>
  </si>
  <si>
    <t>Risk Free Rate</t>
  </si>
  <si>
    <t>Equity Risk Premium</t>
  </si>
  <si>
    <r>
      <t xml:space="preserve">Levered Beta </t>
    </r>
    <r>
      <rPr>
        <vertAlign val="superscript"/>
        <sz val="11"/>
        <color theme="1"/>
        <rFont val="Calibri"/>
        <family val="2"/>
        <scheme val="minor"/>
      </rPr>
      <t>4</t>
    </r>
  </si>
  <si>
    <t>Cost of Equity</t>
  </si>
  <si>
    <t>Capital Structure</t>
  </si>
  <si>
    <t>Current</t>
  </si>
  <si>
    <t>Target</t>
  </si>
  <si>
    <t>Market Captalization</t>
  </si>
  <si>
    <t>Total Capital</t>
  </si>
  <si>
    <t>levered Beta</t>
  </si>
  <si>
    <t>Comps Median Unlevered Beta</t>
  </si>
  <si>
    <t>Target Debt/Equity</t>
  </si>
  <si>
    <t>Levered Beta</t>
  </si>
  <si>
    <t>Debt / Equity</t>
  </si>
  <si>
    <t>Weighted Average Cost OF Capital</t>
  </si>
  <si>
    <t>Pre-Tax Cost Of Debt</t>
  </si>
  <si>
    <t>Notes:</t>
  </si>
  <si>
    <t>3. Unlevered beta = Levered beta / 1+(1-tax rate)*debt/equity</t>
  </si>
  <si>
    <t>1. Tax Rate considered as marginal tax rate for the country</t>
  </si>
  <si>
    <t>4. levered beta = unLevered beta *( 1+(1-tax rate)*debt/equity</t>
  </si>
  <si>
    <r>
      <t xml:space="preserve">Tax Rate </t>
    </r>
    <r>
      <rPr>
        <b/>
        <vertAlign val="superscript"/>
        <sz val="11"/>
        <color theme="1"/>
        <rFont val="Calibri"/>
        <family val="2"/>
        <scheme val="minor"/>
      </rPr>
      <t>1</t>
    </r>
  </si>
  <si>
    <r>
      <t xml:space="preserve">Beta </t>
    </r>
    <r>
      <rPr>
        <b/>
        <vertAlign val="superscript"/>
        <sz val="11"/>
        <color theme="1"/>
        <rFont val="Calibri"/>
        <family val="2"/>
        <scheme val="minor"/>
      </rPr>
      <t>2</t>
    </r>
  </si>
  <si>
    <r>
      <t xml:space="preserve">Beta </t>
    </r>
    <r>
      <rPr>
        <b/>
        <vertAlign val="superscript"/>
        <sz val="11"/>
        <color theme="1"/>
        <rFont val="Calibri"/>
        <family val="2"/>
        <scheme val="minor"/>
      </rPr>
      <t>3</t>
    </r>
  </si>
  <si>
    <t>Date</t>
  </si>
  <si>
    <t>Closing Price</t>
  </si>
  <si>
    <t>Weekly Return</t>
  </si>
  <si>
    <t>Shree Cement Weekly Returns</t>
  </si>
  <si>
    <t>NIFTY Returns</t>
  </si>
  <si>
    <t>BETA 1</t>
  </si>
  <si>
    <t>BETA 2</t>
  </si>
  <si>
    <t>BETA 3</t>
  </si>
  <si>
    <t>X Variable 1</t>
  </si>
  <si>
    <t>(slope)</t>
  </si>
  <si>
    <t>(covarince)</t>
  </si>
  <si>
    <t>(Regression)</t>
  </si>
  <si>
    <t>Beta Drifting</t>
  </si>
  <si>
    <t>Levered Raw Beta</t>
  </si>
  <si>
    <t>Beta Weight</t>
  </si>
  <si>
    <t>Market Beta Weight</t>
  </si>
  <si>
    <t xml:space="preserve">Market Beta </t>
  </si>
  <si>
    <t>Adjusted Beta</t>
  </si>
  <si>
    <t>Regresssion Beta - 2 Years Weekly</t>
  </si>
  <si>
    <t>JK Cement</t>
  </si>
  <si>
    <t>Ultratech Cement Ltd.</t>
  </si>
  <si>
    <t>Shree Cement Ltd.</t>
  </si>
  <si>
    <t>ACC Cement Ltd.</t>
  </si>
  <si>
    <t>J K Cement Ltd.</t>
  </si>
  <si>
    <t>Peer Company</t>
  </si>
  <si>
    <t>Closing</t>
  </si>
  <si>
    <t>Returns</t>
  </si>
  <si>
    <t>JK Cement Returns</t>
  </si>
  <si>
    <t>L R B</t>
  </si>
  <si>
    <t>Market Beta</t>
  </si>
  <si>
    <t>Shree cement</t>
  </si>
  <si>
    <t>Ultratech Returns</t>
  </si>
  <si>
    <t>Ultratech Cement</t>
  </si>
  <si>
    <t xml:space="preserve">ACC Cement </t>
  </si>
  <si>
    <t>Ambuja Cement</t>
  </si>
  <si>
    <t>ACC Ltd.</t>
  </si>
  <si>
    <t>UltraTech Cem.</t>
  </si>
  <si>
    <t>Shree Cement</t>
  </si>
  <si>
    <t>Ambuja Cements</t>
  </si>
  <si>
    <t>Dalmia BharatLtd</t>
  </si>
  <si>
    <t>ACC</t>
  </si>
  <si>
    <t>J K Cements</t>
  </si>
  <si>
    <t>The Ramco Cement</t>
  </si>
  <si>
    <t>Nuvoco Vistas</t>
  </si>
  <si>
    <t>Birla Corpn.</t>
  </si>
  <si>
    <t>JK Lakshmi Cem.</t>
  </si>
  <si>
    <t>India Cements</t>
  </si>
  <si>
    <t>Prism Johnson</t>
  </si>
  <si>
    <t>Star Cement</t>
  </si>
  <si>
    <t>Heidelberg Cem.</t>
  </si>
  <si>
    <t>Orient Cement</t>
  </si>
  <si>
    <t>Ambuja cement</t>
  </si>
  <si>
    <t>debt</t>
  </si>
  <si>
    <t>mkt. C</t>
  </si>
  <si>
    <t>10 yr bond rate of india</t>
  </si>
  <si>
    <t>Annual</t>
  </si>
  <si>
    <t>Return On Market</t>
  </si>
  <si>
    <t>Average Return</t>
  </si>
  <si>
    <t>Dividend Yield</t>
  </si>
  <si>
    <r>
      <t xml:space="preserve">1.36% </t>
    </r>
    <r>
      <rPr>
        <vertAlign val="superscript"/>
        <sz val="11"/>
        <color theme="1"/>
        <rFont val="Calibri"/>
        <family val="2"/>
        <scheme val="minor"/>
      </rPr>
      <t>1</t>
    </r>
  </si>
  <si>
    <t>Total market Return</t>
  </si>
  <si>
    <t>2. levered beta is based on 2 year weekly data</t>
  </si>
  <si>
    <t>Equity Weight</t>
  </si>
  <si>
    <t>Debt Weight</t>
  </si>
  <si>
    <t>WACC</t>
  </si>
  <si>
    <t>how12</t>
  </si>
  <si>
    <t>Tax rate</t>
  </si>
  <si>
    <t xml:space="preserve">FCFF </t>
  </si>
  <si>
    <t>Less: Reinvestment Rate</t>
  </si>
  <si>
    <t>Mid Year Conversion</t>
  </si>
  <si>
    <t>Discounting Factor</t>
  </si>
  <si>
    <t>PV of FCFF</t>
  </si>
  <si>
    <t>Expected Growth</t>
  </si>
  <si>
    <t>Terminal Growth</t>
  </si>
  <si>
    <t>RBI DATA</t>
  </si>
  <si>
    <t>Calculation of Terminal Value</t>
  </si>
  <si>
    <t>Terminal Growth Rate</t>
  </si>
  <si>
    <t>FCFF (n+1)</t>
  </si>
  <si>
    <t>Terminal Value</t>
  </si>
  <si>
    <t>PV of Terminal Value</t>
  </si>
  <si>
    <t>Value of Operating Assets</t>
  </si>
  <si>
    <t>Add: Cash</t>
  </si>
  <si>
    <t>Less: Debt</t>
  </si>
  <si>
    <t>Value Of Equity</t>
  </si>
  <si>
    <t xml:space="preserve">Calculation of Equity Value </t>
  </si>
  <si>
    <t>Calculation of PV of FCFF</t>
  </si>
  <si>
    <t>Financial Model Report</t>
  </si>
  <si>
    <t>Shree Cement Limited</t>
  </si>
  <si>
    <t>About the company</t>
  </si>
  <si>
    <t xml:space="preserve">CMP                        : </t>
  </si>
  <si>
    <t>Market Cap          :</t>
  </si>
  <si>
    <t>Nifty                       :</t>
  </si>
  <si>
    <t>52 Week High     :</t>
  </si>
  <si>
    <t>52 Week Low      :</t>
  </si>
  <si>
    <t>Dividend Yield   :</t>
  </si>
  <si>
    <t>NSE Code             :</t>
  </si>
  <si>
    <t>Financial Summary</t>
  </si>
  <si>
    <t>Shareholding Pattern (Mar 31, 2023)</t>
  </si>
  <si>
    <t>Figures in Rs. CR</t>
  </si>
  <si>
    <t>Promoters Holding %</t>
  </si>
  <si>
    <t>FII Holdings %</t>
  </si>
  <si>
    <t>Institutional Holdings %</t>
  </si>
  <si>
    <t>MF Holding %</t>
  </si>
  <si>
    <t>PAT</t>
  </si>
  <si>
    <t xml:space="preserve"> </t>
  </si>
  <si>
    <t xml:space="preserve">FY23                </t>
  </si>
  <si>
    <t>EBT</t>
  </si>
  <si>
    <t>SHREECEM</t>
  </si>
  <si>
    <t>Source : Shree cement annual report</t>
  </si>
  <si>
    <t>Arpit Nair</t>
  </si>
  <si>
    <t>FY23 Result Synopsis</t>
  </si>
  <si>
    <t>Stock Data (as on July 19,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</si>
</sst>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6" formatCode="&quot;₹&quot;\ #,##0;[Red]&quot;₹&quot;\ \-#,##0"/>
    <numFmt numFmtId="7" formatCode="&quot;₹&quot;\ #,##0.00;&quot;₹&quot;\ \-#,##0.00"/>
    <numFmt numFmtId="8" formatCode="&quot;₹&quot;\ #,##0.00;[Red]&quot;₹&quot;\ \-#,##0.00"/>
    <numFmt numFmtId="43" formatCode="_ * #,##0.00_ ;_ * \-#,##0.00_ ;_ * &quot;-&quot;??_ ;_ @_ "/>
    <numFmt numFmtId="164" formatCode="[$-409]mmm\-yy;@"/>
    <numFmt numFmtId="165" formatCode="&quot;₹&quot;\ #,##0.00;\(&quot;₹&quot;\ \-#,##0.00\);\-"/>
    <numFmt numFmtId="166" formatCode="&quot;₹&quot;\ #,##0.00;\(&quot;₹&quot;\ #,##0.00\)"/>
    <numFmt numFmtId="167" formatCode="&quot;₹&quot;\ #,##0.00;\(&quot;₹&quot;\ #,##0.00\);\-"/>
    <numFmt numFmtId="168" formatCode="0.00%;\(0.00%\)"/>
    <numFmt numFmtId="169" formatCode="mmm/yy\ \P"/>
    <numFmt numFmtId="170" formatCode="0.00%;\(0.00%\);\-"/>
    <numFmt numFmtId="171" formatCode="0.0"/>
    <numFmt numFmtId="172" formatCode="0.00&quot;x&quot;"/>
    <numFmt numFmtId="173" formatCode="mmm/yy\ "/>
    <numFmt numFmtId="174" formatCode="0\ &quot;days&quot;"/>
    <numFmt numFmtId="175" formatCode="0\ &quot;days&quot;;\(0\)\ &quot;days&quot;"/>
    <numFmt numFmtId="176" formatCode="#,##0.0"/>
    <numFmt numFmtId="177" formatCode="0\ &quot;A&quot;"/>
    <numFmt numFmtId="178" formatCode="0\ &quot;E&quot;"/>
    <numFmt numFmtId="179" formatCode="yyyy&quot;A&quot;"/>
    <numFmt numFmtId="180" formatCode="yyyy&quot;E&quot;"/>
    <numFmt numFmtId="181" formatCode="#,##0.0;\-"/>
    <numFmt numFmtId="182" formatCode="#,##0.0_ ;\-#,##0.0\ "/>
    <numFmt numFmtId="183" formatCode="&quot;₹&quot;\ #,##0.0"/>
    <numFmt numFmtId="184" formatCode="mmm/yy&quot;A&quot;"/>
    <numFmt numFmtId="185" formatCode="mmm/yy&quot;E&quot;"/>
    <numFmt numFmtId="186" formatCode="0.000"/>
    <numFmt numFmtId="187" formatCode="&quot;₹&quot;\ #,##0.00"/>
  </numFmts>
  <fonts count="31"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font>
    <font>
      <sz val="11"/>
      <color theme="0"/>
      <name val="Calibri"/>
      <family val="2"/>
      <scheme val="minor"/>
    </font>
    <font>
      <i/>
      <sz val="11"/>
      <color theme="2" tint="-0.249977111117893"/>
      <name val="Calibri"/>
      <family val="2"/>
      <scheme val="minor"/>
    </font>
    <font>
      <i/>
      <sz val="11"/>
      <color theme="1"/>
      <name val="Calibri"/>
      <family val="2"/>
      <scheme val="minor"/>
    </font>
    <font>
      <sz val="11"/>
      <color rgb="FF22222F"/>
      <name val="Arial"/>
      <family val="2"/>
    </font>
    <font>
      <sz val="11"/>
      <color rgb="FF22222F"/>
      <name val="Arial"/>
      <family val="2"/>
    </font>
    <font>
      <sz val="11"/>
      <color rgb="FF22222F"/>
      <name val="Arial"/>
      <family val="2"/>
    </font>
    <font>
      <sz val="11"/>
      <name val="Calibri"/>
      <family val="2"/>
      <scheme val="minor"/>
    </font>
    <font>
      <b/>
      <sz val="16"/>
      <color theme="1"/>
      <name val="Calibri"/>
      <family val="2"/>
      <scheme val="minor"/>
    </font>
    <font>
      <sz val="11"/>
      <color rgb="FF3333FF"/>
      <name val="Calibri"/>
      <family val="2"/>
      <scheme val="minor"/>
    </font>
    <font>
      <sz val="11"/>
      <color theme="1"/>
      <name val="Arial"/>
      <family val="2"/>
    </font>
    <font>
      <b/>
      <sz val="11"/>
      <color rgb="FFC00000"/>
      <name val="Calibri"/>
      <family val="2"/>
      <scheme val="minor"/>
    </font>
    <font>
      <b/>
      <sz val="11"/>
      <color theme="2" tint="-0.499984740745262"/>
      <name val="Calibri"/>
      <family val="2"/>
      <scheme val="minor"/>
    </font>
    <font>
      <b/>
      <sz val="14"/>
      <color theme="0"/>
      <name val="Calibri"/>
      <family val="2"/>
      <scheme val="minor"/>
    </font>
    <font>
      <vertAlign val="superscript"/>
      <sz val="11"/>
      <color theme="1"/>
      <name val="Calibri"/>
      <family val="2"/>
      <scheme val="minor"/>
    </font>
    <font>
      <i/>
      <sz val="10"/>
      <color theme="1"/>
      <name val="Calibri"/>
      <family val="2"/>
      <scheme val="minor"/>
    </font>
    <font>
      <i/>
      <sz val="9"/>
      <color theme="1"/>
      <name val="Calibri"/>
      <family val="2"/>
      <scheme val="minor"/>
    </font>
    <font>
      <b/>
      <vertAlign val="superscript"/>
      <sz val="11"/>
      <color theme="1"/>
      <name val="Calibri"/>
      <family val="2"/>
      <scheme val="minor"/>
    </font>
    <font>
      <b/>
      <sz val="11"/>
      <color rgb="FF5F6368"/>
      <name val="Arial"/>
      <family val="2"/>
    </font>
    <font>
      <sz val="11"/>
      <color theme="9"/>
      <name val="Calibri"/>
      <family val="2"/>
      <scheme val="minor"/>
    </font>
    <font>
      <sz val="11"/>
      <color rgb="FF0070C0"/>
      <name val="Calibri"/>
      <family val="2"/>
      <scheme val="minor"/>
    </font>
    <font>
      <sz val="11"/>
      <color rgb="FFC00000"/>
      <name val="Calibri"/>
      <family val="2"/>
      <scheme val="minor"/>
    </font>
    <font>
      <sz val="14"/>
      <color rgb="FFC00000"/>
      <name val="Calibri"/>
      <family val="2"/>
      <scheme val="minor"/>
    </font>
    <font>
      <sz val="18"/>
      <color rgb="FFC00000"/>
      <name val="Amasis MT Pro Medium"/>
      <family val="1"/>
    </font>
    <font>
      <i/>
      <sz val="11"/>
      <color theme="1" tint="0.499984740745262"/>
      <name val="Calibri"/>
      <family val="2"/>
      <scheme val="minor"/>
    </font>
    <font>
      <sz val="11"/>
      <color theme="2"/>
      <name val="Calibri"/>
      <family val="2"/>
      <scheme val="minor"/>
    </font>
    <font>
      <b/>
      <sz val="18"/>
      <color rgb="FFC00000"/>
      <name val="Calibri Light"/>
      <family val="2"/>
      <scheme val="major"/>
    </font>
  </fonts>
  <fills count="15">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C00000"/>
        <bgColor indexed="64"/>
      </patternFill>
    </fill>
    <fill>
      <patternFill patternType="solid">
        <fgColor theme="5" tint="0.59999389629810485"/>
        <bgColor indexed="64"/>
      </patternFill>
    </fill>
    <fill>
      <patternFill patternType="solid">
        <fgColor rgb="FFFFFFFF"/>
        <bgColor indexed="64"/>
      </patternFill>
    </fill>
    <fill>
      <patternFill patternType="solid">
        <fgColor rgb="FFCC0000"/>
        <bgColor indexed="64"/>
      </patternFill>
    </fill>
    <fill>
      <patternFill patternType="solid">
        <fgColor theme="9" tint="-0.499984740745262"/>
        <bgColor indexed="64"/>
      </patternFill>
    </fill>
    <fill>
      <patternFill patternType="solid">
        <fgColor theme="2"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s>
  <borders count="41">
    <border>
      <left/>
      <right/>
      <top/>
      <bottom/>
      <diagonal/>
    </border>
    <border>
      <left/>
      <right/>
      <top style="thin">
        <color rgb="FFCC0000"/>
      </top>
      <bottom style="thin">
        <color rgb="FFCC0000"/>
      </bottom>
      <diagonal/>
    </border>
    <border>
      <left/>
      <right/>
      <top style="thin">
        <color rgb="FFCC0000"/>
      </top>
      <bottom/>
      <diagonal/>
    </border>
    <border>
      <left/>
      <right/>
      <top/>
      <bottom style="thin">
        <color rgb="FFCC0000"/>
      </bottom>
      <diagonal/>
    </border>
    <border>
      <left/>
      <right/>
      <top/>
      <bottom style="medium">
        <color indexed="64"/>
      </bottom>
      <diagonal/>
    </border>
    <border>
      <left/>
      <right/>
      <top style="medium">
        <color indexed="64"/>
      </top>
      <bottom style="thin">
        <color auto="1"/>
      </bottom>
      <diagonal/>
    </border>
    <border>
      <left/>
      <right/>
      <top style="thin">
        <color rgb="FFCC0000"/>
      </top>
      <bottom style="thick">
        <color rgb="FFCC0000"/>
      </bottom>
      <diagonal/>
    </border>
    <border>
      <left/>
      <right/>
      <top style="thin">
        <color rgb="FFC00000"/>
      </top>
      <bottom style="thick">
        <color rgb="FFC00000"/>
      </bottom>
      <diagonal/>
    </border>
    <border>
      <left/>
      <right/>
      <top style="thin">
        <color rgb="FFC00000"/>
      </top>
      <bottom style="thin">
        <color rgb="FFC00000"/>
      </bottom>
      <diagonal/>
    </border>
    <border>
      <left/>
      <right/>
      <top/>
      <bottom style="thin">
        <color rgb="FFC00000"/>
      </bottom>
      <diagonal/>
    </border>
    <border>
      <left/>
      <right/>
      <top style="thin">
        <color rgb="FFC00000"/>
      </top>
      <bottom/>
      <diagonal/>
    </border>
    <border>
      <left/>
      <right/>
      <top style="thin">
        <color rgb="FFC00000"/>
      </top>
      <bottom style="double">
        <color rgb="FFC00000"/>
      </bottom>
      <diagonal/>
    </border>
    <border>
      <left/>
      <right/>
      <top/>
      <bottom style="double">
        <color rgb="FFC00000"/>
      </bottom>
      <diagonal/>
    </border>
    <border>
      <left/>
      <right/>
      <top/>
      <bottom style="thick">
        <color rgb="FFC00000"/>
      </bottom>
      <diagonal/>
    </border>
    <border>
      <left/>
      <right/>
      <top style="thin">
        <color auto="1"/>
      </top>
      <bottom/>
      <diagonal/>
    </border>
    <border>
      <left/>
      <right/>
      <top/>
      <bottom style="thin">
        <color auto="1"/>
      </bottom>
      <diagonal/>
    </border>
    <border>
      <left/>
      <right/>
      <top style="hair">
        <color auto="1"/>
      </top>
      <bottom/>
      <diagonal/>
    </border>
    <border>
      <left/>
      <right/>
      <top style="hair">
        <color auto="1"/>
      </top>
      <bottom style="thin">
        <color auto="1"/>
      </bottom>
      <diagonal/>
    </border>
    <border>
      <left/>
      <right/>
      <top style="thin">
        <color rgb="FFC00000"/>
      </top>
      <bottom style="medium">
        <color rgb="FFC00000"/>
      </bottom>
      <diagonal/>
    </border>
    <border>
      <left/>
      <right/>
      <top/>
      <bottom style="medium">
        <color rgb="FFC00000"/>
      </bottom>
      <diagonal/>
    </border>
    <border>
      <left/>
      <right/>
      <top style="thin">
        <color theme="0"/>
      </top>
      <bottom style="thin">
        <color theme="0"/>
      </bottom>
      <diagonal/>
    </border>
    <border>
      <left/>
      <right/>
      <top/>
      <bottom style="thin">
        <color theme="0"/>
      </bottom>
      <diagonal/>
    </border>
    <border>
      <left/>
      <right/>
      <top style="thin">
        <color theme="0"/>
      </top>
      <bottom/>
      <diagonal/>
    </border>
    <border>
      <left/>
      <right/>
      <top style="medium">
        <color rgb="FFFCA192"/>
      </top>
      <bottom/>
      <diagonal/>
    </border>
    <border>
      <left/>
      <right style="medium">
        <color rgb="FFFCA192"/>
      </right>
      <top style="medium">
        <color rgb="FFFCA192"/>
      </top>
      <bottom/>
      <diagonal/>
    </border>
    <border>
      <left style="medium">
        <color rgb="FFFCA192"/>
      </left>
      <right/>
      <top/>
      <bottom/>
      <diagonal/>
    </border>
    <border>
      <left/>
      <right style="medium">
        <color rgb="FFFCA192"/>
      </right>
      <top/>
      <bottom/>
      <diagonal/>
    </border>
    <border>
      <left/>
      <right/>
      <top/>
      <bottom style="medium">
        <color rgb="FFFCA192"/>
      </bottom>
      <diagonal/>
    </border>
    <border>
      <left/>
      <right style="medium">
        <color rgb="FFFCA192"/>
      </right>
      <top/>
      <bottom style="medium">
        <color rgb="FFFCA192"/>
      </bottom>
      <diagonal/>
    </border>
    <border>
      <left/>
      <right style="medium">
        <color rgb="FFFCA192"/>
      </right>
      <top/>
      <bottom style="medium">
        <color rgb="FFC00000"/>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style="medium">
        <color rgb="FFFF5050"/>
      </left>
      <right/>
      <top style="medium">
        <color rgb="FFFF5050"/>
      </top>
      <bottom/>
      <diagonal/>
    </border>
    <border>
      <left/>
      <right/>
      <top style="medium">
        <color rgb="FFFF5050"/>
      </top>
      <bottom/>
      <diagonal/>
    </border>
    <border>
      <left style="medium">
        <color rgb="FFFF5050"/>
      </left>
      <right/>
      <top/>
      <bottom/>
      <diagonal/>
    </border>
    <border>
      <left style="medium">
        <color rgb="FFFF5050"/>
      </left>
      <right/>
      <top/>
      <bottom style="medium">
        <color rgb="FFFF5050"/>
      </bottom>
      <diagonal/>
    </border>
    <border>
      <left/>
      <right/>
      <top/>
      <bottom style="medium">
        <color rgb="FFFF5050"/>
      </bottom>
      <diagonal/>
    </border>
    <border>
      <left/>
      <right style="medium">
        <color rgb="FFFF5050"/>
      </right>
      <top style="medium">
        <color rgb="FFFF5050"/>
      </top>
      <bottom/>
      <diagonal/>
    </border>
    <border>
      <left/>
      <right style="medium">
        <color rgb="FFFF5050"/>
      </right>
      <top/>
      <bottom/>
      <diagonal/>
    </border>
    <border>
      <left/>
      <right style="medium">
        <color rgb="FFFF5050"/>
      </right>
      <top/>
      <bottom style="medium">
        <color rgb="FFFF5050"/>
      </bottom>
      <diagonal/>
    </border>
  </borders>
  <cellStyleXfs count="7">
    <xf numFmtId="0" fontId="0" fillId="0" borderId="0"/>
    <xf numFmtId="9" fontId="1" fillId="0" borderId="0" applyFont="0" applyFill="0" applyBorder="0" applyAlignment="0" applyProtection="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cellStyleXfs>
  <cellXfs count="288">
    <xf numFmtId="0" fontId="0" fillId="0" borderId="0" xfId="0"/>
    <xf numFmtId="0" fontId="0" fillId="0" borderId="0" xfId="0"/>
    <xf numFmtId="43" fontId="2" fillId="0" borderId="0" xfId="2" applyFont="1" applyBorder="1"/>
    <xf numFmtId="43" fontId="0" fillId="0" borderId="0" xfId="2" applyFont="1" applyBorder="1"/>
    <xf numFmtId="43" fontId="1" fillId="0" borderId="0" xfId="2" applyFont="1" applyBorder="1"/>
    <xf numFmtId="164" fontId="3" fillId="5" borderId="0" xfId="0" applyNumberFormat="1" applyFont="1" applyFill="1" applyBorder="1" applyAlignment="1">
      <alignment horizontal="center"/>
    </xf>
    <xf numFmtId="164" fontId="3" fillId="5" borderId="0" xfId="2" applyNumberFormat="1" applyFont="1" applyFill="1" applyBorder="1"/>
    <xf numFmtId="43" fontId="0" fillId="0" borderId="0" xfId="2" applyNumberFormat="1" applyFont="1" applyBorder="1"/>
    <xf numFmtId="0" fontId="0" fillId="0" borderId="0" xfId="0" applyAlignment="1">
      <alignment horizontal="right"/>
    </xf>
    <xf numFmtId="17" fontId="3" fillId="6" borderId="0" xfId="0" applyNumberFormat="1" applyFont="1" applyFill="1" applyAlignment="1">
      <alignment horizontal="right"/>
    </xf>
    <xf numFmtId="165" fontId="0" fillId="0" borderId="0" xfId="0" applyNumberFormat="1" applyAlignment="1">
      <alignment horizontal="right"/>
    </xf>
    <xf numFmtId="0" fontId="6" fillId="0" borderId="0" xfId="0" applyFont="1" applyAlignment="1">
      <alignment horizontal="right"/>
    </xf>
    <xf numFmtId="10" fontId="6" fillId="0" borderId="0" xfId="1" applyNumberFormat="1" applyFont="1" applyAlignment="1">
      <alignment horizontal="right"/>
    </xf>
    <xf numFmtId="7" fontId="0" fillId="0" borderId="0" xfId="0" applyNumberFormat="1" applyAlignment="1">
      <alignment horizontal="right"/>
    </xf>
    <xf numFmtId="0" fontId="3" fillId="6" borderId="0" xfId="0" applyFont="1" applyFill="1" applyAlignment="1">
      <alignment horizontal="left"/>
    </xf>
    <xf numFmtId="0" fontId="0" fillId="0" borderId="0" xfId="0" applyAlignment="1">
      <alignment horizontal="left"/>
    </xf>
    <xf numFmtId="0" fontId="6" fillId="0" borderId="0" xfId="0" applyFont="1" applyAlignment="1">
      <alignment horizontal="left"/>
    </xf>
    <xf numFmtId="10" fontId="6" fillId="0" borderId="0" xfId="1" applyNumberFormat="1" applyFont="1" applyAlignment="1">
      <alignment horizontal="left"/>
    </xf>
    <xf numFmtId="0" fontId="0" fillId="7" borderId="0" xfId="0" applyFill="1" applyAlignment="1">
      <alignment horizontal="right"/>
    </xf>
    <xf numFmtId="9" fontId="0" fillId="0" borderId="0" xfId="1" applyFont="1" applyAlignment="1">
      <alignment horizontal="right"/>
    </xf>
    <xf numFmtId="0" fontId="2" fillId="7" borderId="0" xfId="0" applyFont="1" applyFill="1" applyAlignment="1">
      <alignment horizontal="left"/>
    </xf>
    <xf numFmtId="0" fontId="2" fillId="0" borderId="0" xfId="0" applyFont="1" applyAlignment="1">
      <alignment horizontal="left"/>
    </xf>
    <xf numFmtId="0" fontId="0" fillId="0" borderId="0" xfId="0" applyAlignment="1">
      <alignment wrapText="1"/>
    </xf>
    <xf numFmtId="0" fontId="7" fillId="0" borderId="0" xfId="0" applyFont="1" applyAlignment="1">
      <alignment horizontal="right"/>
    </xf>
    <xf numFmtId="17" fontId="8" fillId="8" borderId="0" xfId="0" applyNumberFormat="1" applyFont="1" applyFill="1" applyAlignment="1">
      <alignment horizontal="right" vertical="center" wrapText="1" indent="1"/>
    </xf>
    <xf numFmtId="0" fontId="9" fillId="8" borderId="0" xfId="0" applyFont="1" applyFill="1" applyAlignment="1">
      <alignment horizontal="left" vertical="center" indent="1"/>
    </xf>
    <xf numFmtId="3" fontId="9" fillId="8" borderId="0" xfId="0" applyNumberFormat="1" applyFont="1" applyFill="1" applyAlignment="1">
      <alignment horizontal="right" vertical="center" wrapText="1" indent="1"/>
    </xf>
    <xf numFmtId="0" fontId="9" fillId="8" borderId="0" xfId="0" applyFont="1" applyFill="1" applyAlignment="1">
      <alignment horizontal="left" vertical="center"/>
    </xf>
    <xf numFmtId="0" fontId="10" fillId="8" borderId="0" xfId="0" applyFont="1" applyFill="1" applyAlignment="1">
      <alignment horizontal="left" vertical="center"/>
    </xf>
    <xf numFmtId="0" fontId="10" fillId="8" borderId="0" xfId="0" applyFont="1" applyFill="1" applyAlignment="1">
      <alignment horizontal="right" vertical="center" wrapText="1" indent="1"/>
    </xf>
    <xf numFmtId="0" fontId="9" fillId="8" borderId="0" xfId="0" applyFont="1" applyFill="1" applyAlignment="1">
      <alignment horizontal="right" vertical="center" wrapText="1" indent="1"/>
    </xf>
    <xf numFmtId="3" fontId="10" fillId="8" borderId="0" xfId="0" applyNumberFormat="1" applyFont="1" applyFill="1" applyAlignment="1">
      <alignment horizontal="right" vertical="center" wrapText="1" indent="1"/>
    </xf>
    <xf numFmtId="166" fontId="0" fillId="0" borderId="0" xfId="0" applyNumberFormat="1" applyAlignment="1">
      <alignment horizontal="right"/>
    </xf>
    <xf numFmtId="3" fontId="0" fillId="0" borderId="0" xfId="0" applyNumberFormat="1"/>
    <xf numFmtId="0" fontId="2" fillId="0" borderId="0" xfId="0" applyFont="1" applyAlignment="1">
      <alignment horizontal="right"/>
    </xf>
    <xf numFmtId="0" fontId="2" fillId="0" borderId="0" xfId="0" applyFont="1"/>
    <xf numFmtId="166" fontId="2" fillId="0" borderId="0" xfId="0" applyNumberFormat="1" applyFont="1" applyAlignment="1">
      <alignment horizontal="right"/>
    </xf>
    <xf numFmtId="167" fontId="0" fillId="0" borderId="0" xfId="0" applyNumberFormat="1" applyAlignment="1">
      <alignment horizontal="right"/>
    </xf>
    <xf numFmtId="9" fontId="0" fillId="0" borderId="0" xfId="1" applyFont="1"/>
    <xf numFmtId="10" fontId="0" fillId="0" borderId="0" xfId="1" applyNumberFormat="1" applyFont="1"/>
    <xf numFmtId="10" fontId="0" fillId="0" borderId="0" xfId="0" applyNumberFormat="1"/>
    <xf numFmtId="168" fontId="0" fillId="0" borderId="0" xfId="1" applyNumberFormat="1" applyFont="1"/>
    <xf numFmtId="169" fontId="3" fillId="6" borderId="0" xfId="0" applyNumberFormat="1" applyFont="1" applyFill="1" applyAlignment="1">
      <alignment horizontal="right"/>
    </xf>
    <xf numFmtId="172" fontId="0" fillId="0" borderId="0" xfId="0" applyNumberFormat="1"/>
    <xf numFmtId="173" fontId="3" fillId="6" borderId="0" xfId="0" applyNumberFormat="1" applyFont="1" applyFill="1" applyAlignment="1">
      <alignment horizontal="right"/>
    </xf>
    <xf numFmtId="7" fontId="0" fillId="0" borderId="0" xfId="0" applyNumberFormat="1"/>
    <xf numFmtId="0" fontId="0" fillId="0" borderId="0" xfId="0" applyBorder="1"/>
    <xf numFmtId="168" fontId="0" fillId="0" borderId="0" xfId="1" applyNumberFormat="1" applyFont="1" applyBorder="1"/>
    <xf numFmtId="172" fontId="0" fillId="0" borderId="0" xfId="0" applyNumberFormat="1" applyBorder="1"/>
    <xf numFmtId="0" fontId="0" fillId="0" borderId="2" xfId="0" applyBorder="1"/>
    <xf numFmtId="168" fontId="0" fillId="0" borderId="2" xfId="1" applyNumberFormat="1" applyFont="1" applyBorder="1"/>
    <xf numFmtId="0" fontId="0" fillId="0" borderId="3" xfId="0" applyBorder="1"/>
    <xf numFmtId="168" fontId="0" fillId="0" borderId="3" xfId="1" applyNumberFormat="1" applyFont="1" applyBorder="1"/>
    <xf numFmtId="172" fontId="0" fillId="0" borderId="3" xfId="0" applyNumberFormat="1" applyBorder="1"/>
    <xf numFmtId="172" fontId="0" fillId="0" borderId="2" xfId="0" applyNumberFormat="1" applyBorder="1"/>
    <xf numFmtId="174" fontId="0" fillId="0" borderId="2" xfId="0" applyNumberFormat="1" applyBorder="1"/>
    <xf numFmtId="174" fontId="0" fillId="0" borderId="0" xfId="0" applyNumberFormat="1" applyBorder="1"/>
    <xf numFmtId="10" fontId="0" fillId="0" borderId="2" xfId="1" applyNumberFormat="1" applyFont="1" applyBorder="1"/>
    <xf numFmtId="10" fontId="0" fillId="0" borderId="0" xfId="1" applyNumberFormat="1" applyFont="1" applyBorder="1"/>
    <xf numFmtId="10" fontId="0" fillId="0" borderId="3" xfId="1" applyNumberFormat="1" applyFont="1" applyBorder="1"/>
    <xf numFmtId="10" fontId="3" fillId="6" borderId="0" xfId="1" applyNumberFormat="1" applyFont="1" applyFill="1" applyAlignment="1">
      <alignment horizontal="right"/>
    </xf>
    <xf numFmtId="0" fontId="0" fillId="0" borderId="0" xfId="0" applyAlignment="1">
      <alignment horizontal="center"/>
    </xf>
    <xf numFmtId="169" fontId="3" fillId="6" borderId="0" xfId="0" applyNumberFormat="1" applyFont="1" applyFill="1" applyAlignment="1">
      <alignment horizontal="center"/>
    </xf>
    <xf numFmtId="170" fontId="0" fillId="0" borderId="2" xfId="1" applyNumberFormat="1" applyFont="1" applyBorder="1" applyAlignment="1">
      <alignment horizontal="right"/>
    </xf>
    <xf numFmtId="170" fontId="0" fillId="0" borderId="0" xfId="1" applyNumberFormat="1" applyFont="1" applyBorder="1" applyAlignment="1">
      <alignment horizontal="right"/>
    </xf>
    <xf numFmtId="170" fontId="0" fillId="0" borderId="3" xfId="1" applyNumberFormat="1" applyFont="1" applyBorder="1" applyAlignment="1">
      <alignment horizontal="right"/>
    </xf>
    <xf numFmtId="175" fontId="0" fillId="0" borderId="3" xfId="0" applyNumberFormat="1" applyBorder="1"/>
    <xf numFmtId="0" fontId="2" fillId="0" borderId="1" xfId="0" applyFont="1" applyBorder="1" applyAlignment="1">
      <alignment horizontal="left"/>
    </xf>
    <xf numFmtId="7" fontId="2" fillId="0" borderId="1" xfId="0" applyNumberFormat="1" applyFont="1" applyBorder="1" applyAlignment="1">
      <alignment horizontal="right"/>
    </xf>
    <xf numFmtId="167" fontId="2" fillId="0" borderId="1" xfId="0" applyNumberFormat="1" applyFont="1" applyBorder="1" applyAlignment="1">
      <alignment horizontal="right"/>
    </xf>
    <xf numFmtId="17" fontId="0" fillId="0" borderId="0" xfId="0" applyNumberFormat="1"/>
    <xf numFmtId="0" fontId="0" fillId="0" borderId="0" xfId="0" applyAlignment="1"/>
    <xf numFmtId="0" fontId="3" fillId="9" borderId="0" xfId="0" applyFont="1" applyFill="1" applyAlignment="1"/>
    <xf numFmtId="0" fontId="3" fillId="9" borderId="0" xfId="0" applyFont="1" applyFill="1" applyAlignment="1">
      <alignment horizontal="right"/>
    </xf>
    <xf numFmtId="177" fontId="0" fillId="0" borderId="0" xfId="0" applyNumberFormat="1"/>
    <xf numFmtId="178" fontId="0" fillId="0" borderId="0" xfId="0" applyNumberFormat="1"/>
    <xf numFmtId="0" fontId="0" fillId="0" borderId="0" xfId="0" applyFill="1" applyBorder="1" applyAlignment="1"/>
    <xf numFmtId="0" fontId="0" fillId="0" borderId="4" xfId="0" applyFill="1" applyBorder="1" applyAlignment="1"/>
    <xf numFmtId="0" fontId="7" fillId="0" borderId="5" xfId="0" applyFont="1" applyFill="1" applyBorder="1" applyAlignment="1">
      <alignment horizontal="center"/>
    </xf>
    <xf numFmtId="0" fontId="7" fillId="0" borderId="5" xfId="0" applyFont="1" applyFill="1" applyBorder="1" applyAlignment="1">
      <alignment horizontal="centerContinuous"/>
    </xf>
    <xf numFmtId="176" fontId="11" fillId="0" borderId="0" xfId="0" applyNumberFormat="1" applyFont="1"/>
    <xf numFmtId="0" fontId="11" fillId="0" borderId="0" xfId="0" applyFont="1"/>
    <xf numFmtId="0" fontId="11" fillId="0" borderId="0" xfId="0" applyFont="1" applyAlignment="1">
      <alignment horizontal="center"/>
    </xf>
    <xf numFmtId="179" fontId="11" fillId="0" borderId="0" xfId="0" applyNumberFormat="1" applyFont="1"/>
    <xf numFmtId="4" fontId="11" fillId="0" borderId="0" xfId="0" applyNumberFormat="1" applyFont="1"/>
    <xf numFmtId="10" fontId="11" fillId="0" borderId="0" xfId="1" applyNumberFormat="1" applyFont="1"/>
    <xf numFmtId="168" fontId="11" fillId="0" borderId="0" xfId="1" applyNumberFormat="1" applyFont="1" applyBorder="1"/>
    <xf numFmtId="0" fontId="12" fillId="0" borderId="0" xfId="0" applyFont="1"/>
    <xf numFmtId="17" fontId="0" fillId="0" borderId="3" xfId="0" applyNumberFormat="1" applyBorder="1"/>
    <xf numFmtId="43" fontId="1" fillId="0" borderId="0" xfId="2" applyFont="1" applyFill="1" applyBorder="1"/>
    <xf numFmtId="43" fontId="0" fillId="0" borderId="0" xfId="0" applyNumberFormat="1"/>
    <xf numFmtId="17" fontId="0" fillId="0" borderId="0" xfId="0" applyNumberFormat="1" applyBorder="1"/>
    <xf numFmtId="168" fontId="0" fillId="0" borderId="0" xfId="0" applyNumberFormat="1"/>
    <xf numFmtId="9" fontId="2" fillId="0" borderId="0" xfId="1" applyFont="1"/>
    <xf numFmtId="9" fontId="0" fillId="0" borderId="0" xfId="0" applyNumberFormat="1"/>
    <xf numFmtId="0" fontId="3" fillId="9" borderId="0" xfId="0" applyFont="1" applyFill="1"/>
    <xf numFmtId="17" fontId="3" fillId="9" borderId="0" xfId="0" applyNumberFormat="1" applyFont="1" applyFill="1"/>
    <xf numFmtId="0" fontId="2" fillId="0" borderId="1" xfId="0" applyFont="1" applyBorder="1"/>
    <xf numFmtId="0" fontId="0" fillId="0" borderId="1" xfId="0" applyBorder="1"/>
    <xf numFmtId="181" fontId="0" fillId="0" borderId="1" xfId="0" applyNumberFormat="1" applyBorder="1"/>
    <xf numFmtId="181" fontId="2" fillId="0" borderId="1" xfId="0" applyNumberFormat="1" applyFont="1" applyBorder="1"/>
    <xf numFmtId="181" fontId="0" fillId="0" borderId="0" xfId="0" applyNumberFormat="1" applyBorder="1"/>
    <xf numFmtId="181" fontId="2" fillId="0" borderId="0" xfId="0" applyNumberFormat="1" applyFont="1" applyBorder="1"/>
    <xf numFmtId="181" fontId="2" fillId="0" borderId="2" xfId="0" applyNumberFormat="1" applyFont="1" applyBorder="1"/>
    <xf numFmtId="181" fontId="0" fillId="0" borderId="3" xfId="0" applyNumberFormat="1" applyBorder="1"/>
    <xf numFmtId="181" fontId="0" fillId="0" borderId="2" xfId="0" applyNumberFormat="1" applyBorder="1"/>
    <xf numFmtId="181" fontId="0" fillId="0" borderId="3" xfId="0" applyNumberFormat="1" applyFont="1" applyBorder="1"/>
    <xf numFmtId="181" fontId="2" fillId="0" borderId="0" xfId="0" applyNumberFormat="1" applyFont="1" applyFill="1" applyBorder="1"/>
    <xf numFmtId="0" fontId="2" fillId="0" borderId="6" xfId="0" applyFont="1" applyBorder="1"/>
    <xf numFmtId="181" fontId="2" fillId="0" borderId="1" xfId="0" applyNumberFormat="1" applyFont="1" applyFill="1" applyBorder="1"/>
    <xf numFmtId="182" fontId="2" fillId="0" borderId="0" xfId="0" applyNumberFormat="1" applyFont="1"/>
    <xf numFmtId="0" fontId="2" fillId="0" borderId="7" xfId="0" applyFont="1" applyBorder="1"/>
    <xf numFmtId="181" fontId="2" fillId="0" borderId="7" xfId="0" applyNumberFormat="1" applyFont="1" applyBorder="1"/>
    <xf numFmtId="0" fontId="0" fillId="0" borderId="8" xfId="0" applyBorder="1"/>
    <xf numFmtId="0" fontId="2" fillId="0" borderId="10" xfId="0" applyFont="1" applyBorder="1"/>
    <xf numFmtId="0" fontId="0" fillId="0" borderId="9" xfId="0" applyBorder="1"/>
    <xf numFmtId="181" fontId="2" fillId="0" borderId="6" xfId="0" applyNumberFormat="1" applyFont="1" applyBorder="1"/>
    <xf numFmtId="176" fontId="2" fillId="0" borderId="0" xfId="0" applyNumberFormat="1" applyFont="1"/>
    <xf numFmtId="9" fontId="2" fillId="0" borderId="6" xfId="1" applyFont="1" applyBorder="1"/>
    <xf numFmtId="176" fontId="9" fillId="8" borderId="0" xfId="0" applyNumberFormat="1" applyFont="1" applyFill="1" applyAlignment="1">
      <alignment horizontal="right" vertical="center" wrapText="1" indent="1"/>
    </xf>
    <xf numFmtId="176" fontId="10" fillId="8" borderId="0" xfId="0" applyNumberFormat="1" applyFont="1" applyFill="1" applyAlignment="1">
      <alignment horizontal="right" vertical="center" wrapText="1" indent="1"/>
    </xf>
    <xf numFmtId="181" fontId="0" fillId="0" borderId="8" xfId="0" applyNumberFormat="1" applyBorder="1"/>
    <xf numFmtId="9" fontId="13" fillId="0" borderId="8" xfId="0" applyNumberFormat="1" applyFont="1" applyBorder="1"/>
    <xf numFmtId="171" fontId="0" fillId="0" borderId="8" xfId="0" applyNumberFormat="1" applyBorder="1"/>
    <xf numFmtId="9" fontId="2" fillId="0" borderId="7" xfId="1" applyFont="1" applyBorder="1"/>
    <xf numFmtId="0" fontId="2" fillId="11" borderId="0" xfId="0" applyFont="1" applyFill="1"/>
    <xf numFmtId="9" fontId="2" fillId="11" borderId="0" xfId="0" applyNumberFormat="1" applyFont="1" applyFill="1"/>
    <xf numFmtId="0" fontId="0" fillId="0" borderId="10" xfId="0" applyBorder="1"/>
    <xf numFmtId="9" fontId="0" fillId="0" borderId="10" xfId="0" applyNumberFormat="1" applyBorder="1"/>
    <xf numFmtId="0" fontId="0" fillId="0" borderId="12" xfId="0" applyBorder="1"/>
    <xf numFmtId="9" fontId="0" fillId="0" borderId="12" xfId="0" applyNumberFormat="1" applyBorder="1"/>
    <xf numFmtId="0" fontId="2" fillId="0" borderId="13" xfId="0" applyFont="1" applyBorder="1"/>
    <xf numFmtId="9" fontId="2" fillId="0" borderId="13" xfId="1" applyFont="1" applyBorder="1"/>
    <xf numFmtId="0" fontId="0" fillId="0" borderId="11" xfId="0" applyBorder="1"/>
    <xf numFmtId="0" fontId="14" fillId="0" borderId="0" xfId="0" applyFont="1"/>
    <xf numFmtId="0" fontId="15" fillId="0" borderId="0" xfId="0" applyFont="1"/>
    <xf numFmtId="183" fontId="16" fillId="0" borderId="0" xfId="0" applyNumberFormat="1" applyFont="1"/>
    <xf numFmtId="0" fontId="16" fillId="0" borderId="0" xfId="0" applyFont="1"/>
    <xf numFmtId="0" fontId="3" fillId="6" borderId="0" xfId="0" applyFont="1" applyFill="1"/>
    <xf numFmtId="0" fontId="17" fillId="6" borderId="0" xfId="0" applyFont="1" applyFill="1"/>
    <xf numFmtId="0" fontId="19" fillId="0" borderId="0" xfId="0" applyFont="1"/>
    <xf numFmtId="0" fontId="0" fillId="0" borderId="15" xfId="0" applyBorder="1"/>
    <xf numFmtId="0" fontId="13" fillId="0" borderId="0" xfId="0" applyFont="1"/>
    <xf numFmtId="2" fontId="13" fillId="0" borderId="0" xfId="0" applyNumberFormat="1" applyFont="1"/>
    <xf numFmtId="2" fontId="0" fillId="0" borderId="0" xfId="0" applyNumberFormat="1"/>
    <xf numFmtId="2" fontId="0" fillId="12" borderId="0" xfId="0" applyNumberFormat="1" applyFill="1"/>
    <xf numFmtId="9" fontId="13" fillId="0" borderId="0" xfId="1" applyFont="1"/>
    <xf numFmtId="0" fontId="2" fillId="0" borderId="14" xfId="0" applyFont="1" applyBorder="1"/>
    <xf numFmtId="0" fontId="2" fillId="0" borderId="15" xfId="0" applyFont="1" applyBorder="1"/>
    <xf numFmtId="9" fontId="0" fillId="0" borderId="14" xfId="0" applyNumberFormat="1" applyBorder="1"/>
    <xf numFmtId="9" fontId="0" fillId="0" borderId="15" xfId="0" applyNumberFormat="1" applyBorder="1"/>
    <xf numFmtId="2" fontId="0" fillId="0" borderId="14" xfId="0" applyNumberFormat="1" applyFill="1" applyBorder="1"/>
    <xf numFmtId="2" fontId="0" fillId="0" borderId="15" xfId="0" applyNumberFormat="1" applyFill="1" applyBorder="1"/>
    <xf numFmtId="10" fontId="0" fillId="0" borderId="14" xfId="1" applyNumberFormat="1" applyFont="1" applyFill="1" applyBorder="1"/>
    <xf numFmtId="10" fontId="0" fillId="0" borderId="15" xfId="1" applyNumberFormat="1" applyFont="1" applyFill="1" applyBorder="1"/>
    <xf numFmtId="0" fontId="2" fillId="0" borderId="15" xfId="0" applyFont="1" applyBorder="1" applyAlignment="1">
      <alignment horizontal="right"/>
    </xf>
    <xf numFmtId="0" fontId="0" fillId="0" borderId="16" xfId="0" applyBorder="1"/>
    <xf numFmtId="10" fontId="0" fillId="0" borderId="16" xfId="0" applyNumberFormat="1" applyBorder="1"/>
    <xf numFmtId="10" fontId="13" fillId="0" borderId="0" xfId="0" applyNumberFormat="1" applyFont="1"/>
    <xf numFmtId="10" fontId="0" fillId="0" borderId="16" xfId="1" applyNumberFormat="1" applyFont="1" applyBorder="1"/>
    <xf numFmtId="10" fontId="0" fillId="13" borderId="16" xfId="0" applyNumberFormat="1" applyFill="1" applyBorder="1"/>
    <xf numFmtId="2" fontId="0" fillId="13" borderId="16" xfId="0" applyNumberFormat="1" applyFill="1" applyBorder="1"/>
    <xf numFmtId="4" fontId="13" fillId="0" borderId="0" xfId="0" applyNumberFormat="1" applyFont="1"/>
    <xf numFmtId="176" fontId="13" fillId="0" borderId="0" xfId="0" applyNumberFormat="1" applyFont="1"/>
    <xf numFmtId="10" fontId="0" fillId="13" borderId="0" xfId="1" applyNumberFormat="1" applyFont="1" applyFill="1"/>
    <xf numFmtId="2" fontId="0" fillId="13" borderId="0" xfId="0" applyNumberFormat="1" applyFill="1"/>
    <xf numFmtId="10" fontId="0" fillId="13" borderId="0" xfId="0" applyNumberFormat="1" applyFill="1"/>
    <xf numFmtId="10" fontId="0" fillId="0" borderId="0" xfId="0" applyNumberFormat="1" applyBorder="1"/>
    <xf numFmtId="176" fontId="0" fillId="0" borderId="16" xfId="0" applyNumberFormat="1" applyBorder="1"/>
    <xf numFmtId="0" fontId="20" fillId="0" borderId="0" xfId="0" applyFont="1"/>
    <xf numFmtId="0" fontId="20" fillId="0" borderId="0" xfId="0" applyFont="1" applyAlignment="1">
      <alignment vertical="center"/>
    </xf>
    <xf numFmtId="0" fontId="3" fillId="0" borderId="0" xfId="0" applyFont="1" applyFill="1"/>
    <xf numFmtId="0" fontId="2" fillId="0" borderId="14" xfId="0" applyFont="1" applyBorder="1" applyAlignment="1">
      <alignment horizontal="right"/>
    </xf>
    <xf numFmtId="0" fontId="2" fillId="0" borderId="14" xfId="0" applyFont="1" applyBorder="1" applyAlignment="1">
      <alignment horizontal="right" vertical="center"/>
    </xf>
    <xf numFmtId="14" fontId="0" fillId="0" borderId="0" xfId="0" applyNumberFormat="1"/>
    <xf numFmtId="0" fontId="2" fillId="0" borderId="9" xfId="0" applyFont="1" applyBorder="1"/>
    <xf numFmtId="0" fontId="3" fillId="0" borderId="0" xfId="0" applyFont="1" applyFill="1" applyAlignment="1"/>
    <xf numFmtId="2" fontId="0" fillId="0" borderId="0" xfId="1" applyNumberFormat="1" applyFont="1"/>
    <xf numFmtId="0" fontId="0" fillId="0" borderId="0" xfId="0" applyFont="1" applyFill="1" applyBorder="1"/>
    <xf numFmtId="0" fontId="0" fillId="12" borderId="0" xfId="0" applyFill="1"/>
    <xf numFmtId="0" fontId="22" fillId="0" borderId="0" xfId="0" applyFont="1"/>
    <xf numFmtId="0" fontId="2" fillId="0" borderId="0" xfId="0" applyFont="1" applyBorder="1"/>
    <xf numFmtId="0" fontId="2" fillId="0" borderId="0" xfId="0" applyFont="1" applyFill="1" applyBorder="1" applyAlignment="1">
      <alignment horizontal="right"/>
    </xf>
    <xf numFmtId="0" fontId="2" fillId="0" borderId="9" xfId="0" applyFont="1" applyFill="1" applyBorder="1" applyAlignment="1">
      <alignment horizontal="right"/>
    </xf>
    <xf numFmtId="0" fontId="2" fillId="0" borderId="9" xfId="0" applyFont="1" applyBorder="1" applyAlignment="1">
      <alignment horizontal="right"/>
    </xf>
    <xf numFmtId="0" fontId="23" fillId="0" borderId="0" xfId="0" applyFont="1"/>
    <xf numFmtId="10" fontId="11" fillId="0" borderId="0" xfId="0" applyNumberFormat="1" applyFont="1"/>
    <xf numFmtId="10" fontId="11" fillId="0" borderId="0" xfId="0" applyNumberFormat="1" applyFont="1" applyBorder="1"/>
    <xf numFmtId="0" fontId="0" fillId="0" borderId="0" xfId="0" applyFill="1" applyBorder="1"/>
    <xf numFmtId="10" fontId="0" fillId="13" borderId="0" xfId="1" applyNumberFormat="1" applyFont="1" applyFill="1" applyBorder="1"/>
    <xf numFmtId="10" fontId="0" fillId="0" borderId="0" xfId="0" applyNumberFormat="1" applyFill="1"/>
    <xf numFmtId="10" fontId="0" fillId="0" borderId="0" xfId="0" applyNumberFormat="1" applyFont="1" applyBorder="1"/>
    <xf numFmtId="0" fontId="2" fillId="0" borderId="17" xfId="0" applyFont="1" applyBorder="1"/>
    <xf numFmtId="10" fontId="2" fillId="0" borderId="17" xfId="0" applyNumberFormat="1" applyFont="1" applyBorder="1"/>
    <xf numFmtId="0" fontId="11" fillId="8" borderId="0" xfId="0" applyFont="1" applyFill="1" applyAlignment="1">
      <alignment horizontal="left" vertical="center"/>
    </xf>
    <xf numFmtId="184" fontId="3" fillId="6" borderId="0" xfId="0" applyNumberFormat="1" applyFont="1" applyFill="1"/>
    <xf numFmtId="185" fontId="3" fillId="6" borderId="0" xfId="0" applyNumberFormat="1" applyFont="1" applyFill="1"/>
    <xf numFmtId="0" fontId="0" fillId="0" borderId="18" xfId="0" applyBorder="1"/>
    <xf numFmtId="0" fontId="2" fillId="0" borderId="18" xfId="0" applyFont="1" applyBorder="1"/>
    <xf numFmtId="17" fontId="0" fillId="0" borderId="0" xfId="0" applyNumberFormat="1" applyFill="1"/>
    <xf numFmtId="9" fontId="0" fillId="12" borderId="0" xfId="0" applyNumberFormat="1" applyFill="1"/>
    <xf numFmtId="10" fontId="0" fillId="12" borderId="0" xfId="0" applyNumberFormat="1" applyFill="1"/>
    <xf numFmtId="10" fontId="11" fillId="12" borderId="0" xfId="0" applyNumberFormat="1" applyFont="1" applyFill="1"/>
    <xf numFmtId="0" fontId="0" fillId="13" borderId="0" xfId="0" applyFill="1"/>
    <xf numFmtId="7" fontId="0" fillId="13" borderId="8" xfId="0" applyNumberFormat="1" applyFill="1" applyBorder="1"/>
    <xf numFmtId="7" fontId="0" fillId="0" borderId="8" xfId="0" applyNumberFormat="1" applyBorder="1"/>
    <xf numFmtId="9" fontId="24" fillId="13" borderId="8" xfId="0" applyNumberFormat="1" applyFont="1" applyFill="1" applyBorder="1"/>
    <xf numFmtId="9" fontId="24" fillId="0" borderId="8" xfId="0" applyNumberFormat="1" applyFont="1" applyBorder="1"/>
    <xf numFmtId="0" fontId="0" fillId="13" borderId="8" xfId="0" applyFill="1" applyBorder="1"/>
    <xf numFmtId="0" fontId="13" fillId="0" borderId="8" xfId="0" applyFont="1" applyBorder="1"/>
    <xf numFmtId="186" fontId="0" fillId="0" borderId="8" xfId="0" applyNumberFormat="1" applyBorder="1"/>
    <xf numFmtId="7" fontId="2" fillId="0" borderId="0" xfId="0" applyNumberFormat="1" applyFont="1"/>
    <xf numFmtId="7" fontId="2" fillId="0" borderId="18" xfId="0" applyNumberFormat="1" applyFont="1" applyBorder="1"/>
    <xf numFmtId="187" fontId="0" fillId="0" borderId="0" xfId="0" applyNumberFormat="1"/>
    <xf numFmtId="0" fontId="11" fillId="7" borderId="0" xfId="0" applyFont="1" applyFill="1" applyAlignment="1">
      <alignment horizontal="center"/>
    </xf>
    <xf numFmtId="180" fontId="11" fillId="7" borderId="0" xfId="0" applyNumberFormat="1" applyFont="1" applyFill="1"/>
    <xf numFmtId="176" fontId="11" fillId="7" borderId="0" xfId="0" applyNumberFormat="1" applyFont="1" applyFill="1"/>
    <xf numFmtId="10" fontId="11" fillId="7" borderId="0" xfId="1" applyNumberFormat="1" applyFont="1" applyFill="1"/>
    <xf numFmtId="39" fontId="0" fillId="0" borderId="0" xfId="0" applyNumberFormat="1" applyAlignment="1">
      <alignment horizontal="right"/>
    </xf>
    <xf numFmtId="0" fontId="0" fillId="6" borderId="0" xfId="0" applyFill="1" applyBorder="1"/>
    <xf numFmtId="0" fontId="0" fillId="0" borderId="0" xfId="0" applyBorder="1" applyAlignment="1">
      <alignment horizontal="center"/>
    </xf>
    <xf numFmtId="0" fontId="25" fillId="0" borderId="0" xfId="0" applyFont="1" applyBorder="1"/>
    <xf numFmtId="0" fontId="26" fillId="0" borderId="0" xfId="0" applyFont="1" applyBorder="1" applyAlignment="1"/>
    <xf numFmtId="0" fontId="2" fillId="0" borderId="0" xfId="0" applyFont="1" applyFill="1" applyBorder="1"/>
    <xf numFmtId="0" fontId="0" fillId="6" borderId="21" xfId="0" applyFill="1" applyBorder="1"/>
    <xf numFmtId="0" fontId="5" fillId="6" borderId="20" xfId="0" applyFont="1" applyFill="1" applyBorder="1"/>
    <xf numFmtId="0" fontId="3" fillId="6" borderId="21" xfId="0" applyFont="1" applyFill="1" applyBorder="1"/>
    <xf numFmtId="0" fontId="5" fillId="6" borderId="22" xfId="0" applyFont="1" applyFill="1" applyBorder="1"/>
    <xf numFmtId="0" fontId="0" fillId="6" borderId="22" xfId="0" applyFill="1" applyBorder="1"/>
    <xf numFmtId="0" fontId="5" fillId="6" borderId="21" xfId="0" applyFont="1" applyFill="1" applyBorder="1"/>
    <xf numFmtId="0" fontId="5" fillId="6" borderId="0" xfId="0" applyFont="1" applyFill="1" applyBorder="1"/>
    <xf numFmtId="0" fontId="0" fillId="6" borderId="0" xfId="0" applyFill="1" applyBorder="1" applyAlignment="1">
      <alignment horizontal="left"/>
    </xf>
    <xf numFmtId="183" fontId="5" fillId="6" borderId="0" xfId="0" applyNumberFormat="1" applyFont="1" applyFill="1" applyBorder="1"/>
    <xf numFmtId="0" fontId="0" fillId="0" borderId="25" xfId="0" applyBorder="1"/>
    <xf numFmtId="0" fontId="0" fillId="0" borderId="26" xfId="0" applyBorder="1"/>
    <xf numFmtId="0" fontId="0" fillId="0" borderId="27" xfId="0" applyBorder="1"/>
    <xf numFmtId="0" fontId="0" fillId="0" borderId="28" xfId="0" applyBorder="1"/>
    <xf numFmtId="0" fontId="3" fillId="6" borderId="21" xfId="0" applyFont="1" applyFill="1" applyBorder="1" applyAlignment="1">
      <alignment vertical="top"/>
    </xf>
    <xf numFmtId="10" fontId="5" fillId="6" borderId="0" xfId="0" applyNumberFormat="1" applyFont="1" applyFill="1" applyBorder="1"/>
    <xf numFmtId="0" fontId="3" fillId="6" borderId="21" xfId="0" applyFont="1" applyFill="1" applyBorder="1" applyAlignment="1">
      <alignment horizontal="left"/>
    </xf>
    <xf numFmtId="0" fontId="3" fillId="6" borderId="21" xfId="0" applyFont="1" applyFill="1" applyBorder="1" applyAlignment="1">
      <alignment horizontal="right"/>
    </xf>
    <xf numFmtId="0" fontId="0" fillId="6" borderId="30" xfId="0" applyFill="1" applyBorder="1" applyAlignment="1">
      <alignment horizontal="center"/>
    </xf>
    <xf numFmtId="0" fontId="5" fillId="6" borderId="31" xfId="0" applyFont="1" applyFill="1" applyBorder="1"/>
    <xf numFmtId="6" fontId="5" fillId="6" borderId="20" xfId="0" applyNumberFormat="1" applyFont="1" applyFill="1" applyBorder="1"/>
    <xf numFmtId="10" fontId="5" fillId="6" borderId="20" xfId="0" applyNumberFormat="1" applyFont="1" applyFill="1" applyBorder="1"/>
    <xf numFmtId="0" fontId="5" fillId="6" borderId="20" xfId="0" applyFont="1" applyFill="1" applyBorder="1" applyAlignment="1">
      <alignment horizontal="right"/>
    </xf>
    <xf numFmtId="8" fontId="5" fillId="6" borderId="21" xfId="0" applyNumberFormat="1" applyFont="1" applyFill="1" applyBorder="1"/>
    <xf numFmtId="8" fontId="5" fillId="6" borderId="20" xfId="0" applyNumberFormat="1" applyFont="1" applyFill="1" applyBorder="1"/>
    <xf numFmtId="0" fontId="29" fillId="0" borderId="0" xfId="0" applyFont="1" applyBorder="1"/>
    <xf numFmtId="0" fontId="26" fillId="0" borderId="0" xfId="0" applyFont="1" applyBorder="1"/>
    <xf numFmtId="0" fontId="28" fillId="0" borderId="0" xfId="0" applyFont="1" applyBorder="1"/>
    <xf numFmtId="0" fontId="28" fillId="0" borderId="27" xfId="0" applyFont="1" applyBorder="1"/>
    <xf numFmtId="0" fontId="25" fillId="14" borderId="23" xfId="0" applyFont="1" applyFill="1" applyBorder="1"/>
    <xf numFmtId="0" fontId="25" fillId="14" borderId="24" xfId="0" applyFont="1" applyFill="1" applyBorder="1"/>
    <xf numFmtId="0" fontId="25" fillId="14" borderId="0" xfId="0" applyFont="1" applyFill="1" applyBorder="1"/>
    <xf numFmtId="0" fontId="25" fillId="14" borderId="26" xfId="0" applyFont="1" applyFill="1" applyBorder="1"/>
    <xf numFmtId="0" fontId="25" fillId="14" borderId="19" xfId="0" applyFont="1" applyFill="1" applyBorder="1"/>
    <xf numFmtId="0" fontId="25" fillId="14" borderId="29" xfId="0" applyFont="1" applyFill="1" applyBorder="1"/>
    <xf numFmtId="0" fontId="0" fillId="6" borderId="34" xfId="0" applyFill="1" applyBorder="1"/>
    <xf numFmtId="0" fontId="0" fillId="6" borderId="35" xfId="0" applyFill="1" applyBorder="1"/>
    <xf numFmtId="0" fontId="0" fillId="6" borderId="36" xfId="0" applyFill="1" applyBorder="1"/>
    <xf numFmtId="0" fontId="0" fillId="6" borderId="37" xfId="0" applyFill="1" applyBorder="1"/>
    <xf numFmtId="0" fontId="2" fillId="6" borderId="38" xfId="0" applyFont="1" applyFill="1" applyBorder="1"/>
    <xf numFmtId="0" fontId="2" fillId="6" borderId="39" xfId="0" applyFont="1" applyFill="1" applyBorder="1"/>
    <xf numFmtId="0" fontId="2" fillId="6" borderId="40" xfId="0" applyFont="1" applyFill="1" applyBorder="1"/>
    <xf numFmtId="0" fontId="0" fillId="6" borderId="33" xfId="0" quotePrefix="1" applyFill="1" applyBorder="1"/>
    <xf numFmtId="0" fontId="27" fillId="14" borderId="0" xfId="0" applyFont="1" applyFill="1" applyBorder="1" applyAlignment="1"/>
    <xf numFmtId="0" fontId="5" fillId="6" borderId="0" xfId="0" applyFont="1" applyFill="1" applyBorder="1" applyAlignment="1">
      <alignment horizontal="left"/>
    </xf>
    <xf numFmtId="7" fontId="5" fillId="6" borderId="31" xfId="0" applyNumberFormat="1" applyFont="1" applyFill="1" applyBorder="1" applyAlignment="1">
      <alignment horizontal="center"/>
    </xf>
    <xf numFmtId="0" fontId="5" fillId="6" borderId="31" xfId="0" applyFont="1" applyFill="1" applyBorder="1" applyAlignment="1">
      <alignment horizontal="center"/>
    </xf>
    <xf numFmtId="0" fontId="0" fillId="6" borderId="0" xfId="0" applyFont="1" applyFill="1" applyBorder="1"/>
    <xf numFmtId="0" fontId="0" fillId="6" borderId="31" xfId="0" applyFont="1" applyFill="1" applyBorder="1"/>
    <xf numFmtId="187" fontId="5" fillId="6" borderId="31" xfId="0" applyNumberFormat="1" applyFont="1" applyFill="1" applyBorder="1" applyAlignment="1">
      <alignment horizontal="center"/>
    </xf>
    <xf numFmtId="7" fontId="5" fillId="6" borderId="32" xfId="0" applyNumberFormat="1" applyFont="1" applyFill="1" applyBorder="1" applyAlignment="1">
      <alignment horizontal="center"/>
    </xf>
    <xf numFmtId="0" fontId="3" fillId="6" borderId="21" xfId="0" applyFont="1" applyFill="1" applyBorder="1" applyAlignment="1">
      <alignment horizontal="left"/>
    </xf>
    <xf numFmtId="0" fontId="5" fillId="6" borderId="35" xfId="0" applyFont="1" applyFill="1" applyBorder="1" applyAlignment="1">
      <alignment horizontal="center"/>
    </xf>
    <xf numFmtId="0" fontId="0" fillId="6" borderId="0" xfId="0" applyFont="1" applyFill="1" applyBorder="1" applyAlignment="1">
      <alignment horizontal="center"/>
    </xf>
    <xf numFmtId="0" fontId="0" fillId="6" borderId="39" xfId="0" applyFont="1" applyFill="1" applyBorder="1" applyAlignment="1">
      <alignment horizontal="center"/>
    </xf>
    <xf numFmtId="0" fontId="30" fillId="14" borderId="0" xfId="0" applyFont="1" applyFill="1" applyBorder="1" applyAlignment="1">
      <alignment horizontal="left"/>
    </xf>
    <xf numFmtId="0" fontId="30" fillId="14" borderId="26" xfId="0" applyFont="1" applyFill="1" applyBorder="1" applyAlignment="1">
      <alignment horizontal="left"/>
    </xf>
    <xf numFmtId="0" fontId="3" fillId="6" borderId="0" xfId="0" applyFont="1" applyFill="1" applyAlignment="1">
      <alignment horizontal="center"/>
    </xf>
    <xf numFmtId="0" fontId="3" fillId="9" borderId="0" xfId="0" applyFont="1" applyFill="1" applyAlignment="1">
      <alignment horizontal="center"/>
    </xf>
    <xf numFmtId="0" fontId="2" fillId="0" borderId="0" xfId="0" applyFont="1" applyAlignment="1">
      <alignment horizontal="center"/>
    </xf>
    <xf numFmtId="0" fontId="3" fillId="6" borderId="0" xfId="0" applyFont="1" applyFill="1"/>
    <xf numFmtId="43" fontId="2" fillId="0" borderId="0" xfId="0" applyNumberFormat="1" applyFont="1" applyAlignment="1">
      <alignment horizontal="center"/>
    </xf>
    <xf numFmtId="0" fontId="17" fillId="10" borderId="0" xfId="0" applyFont="1" applyFill="1" applyAlignment="1">
      <alignment horizontal="center"/>
    </xf>
    <xf numFmtId="43" fontId="4" fillId="0" borderId="0" xfId="3" applyNumberFormat="1" applyBorder="1" applyAlignment="1" applyProtection="1">
      <alignment horizontal="center"/>
    </xf>
    <xf numFmtId="43" fontId="3" fillId="4" borderId="0" xfId="6" applyNumberFormat="1" applyFont="1" applyBorder="1" applyAlignment="1">
      <alignment horizontal="center"/>
    </xf>
  </cellXfs>
  <cellStyles count="7">
    <cellStyle name="60% - Accent1 2" xfId="4" xr:uid="{266D8EEA-F558-4B26-861F-E84A57C9CDA0}"/>
    <cellStyle name="60% - Accent3 2" xfId="5" xr:uid="{A65E5B18-6381-45BD-9BA0-514A650FFB2A}"/>
    <cellStyle name="Accent6 2" xfId="6" xr:uid="{1F8C2CA2-7179-459F-A65C-A3BEE346BBC6}"/>
    <cellStyle name="Comma 2" xfId="2" xr:uid="{53E9026E-86DA-43D2-B028-AB959DBD6600}"/>
    <cellStyle name="Hyperlink" xfId="3" builtinId="8"/>
    <cellStyle name="Normal" xfId="0" builtinId="0"/>
    <cellStyle name="Percent" xfId="1" builtinId="5"/>
  </cellStyles>
  <dxfs count="0"/>
  <tableStyles count="0" defaultTableStyle="TableStyleMedium2" defaultPivotStyle="PivotStyleMedium9"/>
  <colors>
    <mruColors>
      <color rgb="FFFF5050"/>
      <color rgb="FFFCA192"/>
      <color rgb="FFCC0000"/>
      <color rgb="FFFF0000"/>
      <color rgb="FF3333FF"/>
      <color rgb="FFFF7C8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styles" Target="styles.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theme" Target="theme/theme1.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5.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6.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11321557778256"/>
          <c:y val="6.5373555822522869E-2"/>
          <c:w val="0.7223462438816769"/>
          <c:h val="0.63567566797044217"/>
        </c:manualLayout>
      </c:layout>
      <c:lineChart>
        <c:grouping val="standard"/>
        <c:varyColors val="0"/>
        <c:ser>
          <c:idx val="0"/>
          <c:order val="0"/>
          <c:tx>
            <c:strRef>
              <c:f>Beta!$C$7:$C$9</c:f>
              <c:strCache>
                <c:ptCount val="3"/>
                <c:pt idx="0">
                  <c:v>Shree Cement Weekly Returns</c:v>
                </c:pt>
                <c:pt idx="2">
                  <c:v>Closing Price</c:v>
                </c:pt>
              </c:strCache>
            </c:strRef>
          </c:tx>
          <c:spPr>
            <a:ln w="22225" cap="rnd" cmpd="sng" algn="ctr">
              <a:solidFill>
                <a:schemeClr val="accent6"/>
              </a:solidFill>
              <a:round/>
            </a:ln>
            <a:effectLst/>
          </c:spPr>
          <c:marker>
            <c:symbol val="none"/>
          </c:marker>
          <c:cat>
            <c:numRef>
              <c:f>Beta!$B$10:$B$114</c:f>
              <c:numCache>
                <c:formatCode>m/d/yyyy</c:formatCode>
                <c:ptCount val="105"/>
                <c:pt idx="0">
                  <c:v>44396</c:v>
                </c:pt>
                <c:pt idx="1">
                  <c:v>44403</c:v>
                </c:pt>
                <c:pt idx="2">
                  <c:v>44410</c:v>
                </c:pt>
                <c:pt idx="3">
                  <c:v>44417</c:v>
                </c:pt>
                <c:pt idx="4">
                  <c:v>44424</c:v>
                </c:pt>
                <c:pt idx="5">
                  <c:v>44431</c:v>
                </c:pt>
                <c:pt idx="6">
                  <c:v>44438</c:v>
                </c:pt>
                <c:pt idx="7">
                  <c:v>44445</c:v>
                </c:pt>
                <c:pt idx="8">
                  <c:v>44452</c:v>
                </c:pt>
                <c:pt idx="9">
                  <c:v>44459</c:v>
                </c:pt>
                <c:pt idx="10">
                  <c:v>44466</c:v>
                </c:pt>
                <c:pt idx="11">
                  <c:v>44473</c:v>
                </c:pt>
                <c:pt idx="12">
                  <c:v>44480</c:v>
                </c:pt>
                <c:pt idx="13">
                  <c:v>44487</c:v>
                </c:pt>
                <c:pt idx="14">
                  <c:v>44494</c:v>
                </c:pt>
                <c:pt idx="15">
                  <c:v>44501</c:v>
                </c:pt>
                <c:pt idx="16">
                  <c:v>44508</c:v>
                </c:pt>
                <c:pt idx="17">
                  <c:v>44515</c:v>
                </c:pt>
                <c:pt idx="18">
                  <c:v>44522</c:v>
                </c:pt>
                <c:pt idx="19">
                  <c:v>44529</c:v>
                </c:pt>
                <c:pt idx="20">
                  <c:v>44536</c:v>
                </c:pt>
                <c:pt idx="21">
                  <c:v>44543</c:v>
                </c:pt>
                <c:pt idx="22">
                  <c:v>44550</c:v>
                </c:pt>
                <c:pt idx="23">
                  <c:v>44557</c:v>
                </c:pt>
                <c:pt idx="24">
                  <c:v>44564</c:v>
                </c:pt>
                <c:pt idx="25">
                  <c:v>44571</c:v>
                </c:pt>
                <c:pt idx="26">
                  <c:v>44578</c:v>
                </c:pt>
                <c:pt idx="27">
                  <c:v>44585</c:v>
                </c:pt>
                <c:pt idx="28">
                  <c:v>44592</c:v>
                </c:pt>
                <c:pt idx="29">
                  <c:v>44599</c:v>
                </c:pt>
                <c:pt idx="30">
                  <c:v>44606</c:v>
                </c:pt>
                <c:pt idx="31">
                  <c:v>44613</c:v>
                </c:pt>
                <c:pt idx="32">
                  <c:v>44620</c:v>
                </c:pt>
                <c:pt idx="33">
                  <c:v>44627</c:v>
                </c:pt>
                <c:pt idx="34">
                  <c:v>44634</c:v>
                </c:pt>
                <c:pt idx="35">
                  <c:v>44641</c:v>
                </c:pt>
                <c:pt idx="36">
                  <c:v>44648</c:v>
                </c:pt>
                <c:pt idx="37">
                  <c:v>44655</c:v>
                </c:pt>
                <c:pt idx="38">
                  <c:v>44662</c:v>
                </c:pt>
                <c:pt idx="39">
                  <c:v>44669</c:v>
                </c:pt>
                <c:pt idx="40">
                  <c:v>44676</c:v>
                </c:pt>
                <c:pt idx="41">
                  <c:v>44683</c:v>
                </c:pt>
                <c:pt idx="42">
                  <c:v>44690</c:v>
                </c:pt>
                <c:pt idx="43">
                  <c:v>44697</c:v>
                </c:pt>
                <c:pt idx="44">
                  <c:v>44704</c:v>
                </c:pt>
                <c:pt idx="45">
                  <c:v>44711</c:v>
                </c:pt>
                <c:pt idx="46">
                  <c:v>44718</c:v>
                </c:pt>
                <c:pt idx="47">
                  <c:v>44725</c:v>
                </c:pt>
                <c:pt idx="48">
                  <c:v>44732</c:v>
                </c:pt>
                <c:pt idx="49">
                  <c:v>44739</c:v>
                </c:pt>
                <c:pt idx="50">
                  <c:v>44746</c:v>
                </c:pt>
                <c:pt idx="51">
                  <c:v>44753</c:v>
                </c:pt>
                <c:pt idx="52">
                  <c:v>44760</c:v>
                </c:pt>
                <c:pt idx="53">
                  <c:v>44767</c:v>
                </c:pt>
                <c:pt idx="54">
                  <c:v>44774</c:v>
                </c:pt>
                <c:pt idx="55">
                  <c:v>44781</c:v>
                </c:pt>
                <c:pt idx="56">
                  <c:v>44788</c:v>
                </c:pt>
                <c:pt idx="57">
                  <c:v>44795</c:v>
                </c:pt>
                <c:pt idx="58">
                  <c:v>44802</c:v>
                </c:pt>
                <c:pt idx="59">
                  <c:v>44809</c:v>
                </c:pt>
                <c:pt idx="60">
                  <c:v>44816</c:v>
                </c:pt>
                <c:pt idx="61">
                  <c:v>44823</c:v>
                </c:pt>
                <c:pt idx="62">
                  <c:v>44830</c:v>
                </c:pt>
                <c:pt idx="63">
                  <c:v>44837</c:v>
                </c:pt>
                <c:pt idx="64">
                  <c:v>44844</c:v>
                </c:pt>
                <c:pt idx="65">
                  <c:v>44851</c:v>
                </c:pt>
                <c:pt idx="66">
                  <c:v>44858</c:v>
                </c:pt>
                <c:pt idx="67">
                  <c:v>44865</c:v>
                </c:pt>
                <c:pt idx="68">
                  <c:v>44872</c:v>
                </c:pt>
                <c:pt idx="69">
                  <c:v>44879</c:v>
                </c:pt>
                <c:pt idx="70">
                  <c:v>44886</c:v>
                </c:pt>
                <c:pt idx="71">
                  <c:v>44893</c:v>
                </c:pt>
                <c:pt idx="72">
                  <c:v>44900</c:v>
                </c:pt>
                <c:pt idx="73">
                  <c:v>44907</c:v>
                </c:pt>
                <c:pt idx="74">
                  <c:v>44914</c:v>
                </c:pt>
                <c:pt idx="75">
                  <c:v>44921</c:v>
                </c:pt>
                <c:pt idx="76">
                  <c:v>44928</c:v>
                </c:pt>
                <c:pt idx="77">
                  <c:v>44935</c:v>
                </c:pt>
                <c:pt idx="78">
                  <c:v>44942</c:v>
                </c:pt>
                <c:pt idx="79">
                  <c:v>44949</c:v>
                </c:pt>
                <c:pt idx="80">
                  <c:v>44956</c:v>
                </c:pt>
                <c:pt idx="81">
                  <c:v>44963</c:v>
                </c:pt>
                <c:pt idx="82">
                  <c:v>44970</c:v>
                </c:pt>
                <c:pt idx="83">
                  <c:v>44977</c:v>
                </c:pt>
                <c:pt idx="84">
                  <c:v>44984</c:v>
                </c:pt>
                <c:pt idx="85">
                  <c:v>44991</c:v>
                </c:pt>
                <c:pt idx="86">
                  <c:v>44998</c:v>
                </c:pt>
                <c:pt idx="87">
                  <c:v>45005</c:v>
                </c:pt>
                <c:pt idx="88">
                  <c:v>45012</c:v>
                </c:pt>
                <c:pt idx="89">
                  <c:v>45019</c:v>
                </c:pt>
                <c:pt idx="90">
                  <c:v>45026</c:v>
                </c:pt>
                <c:pt idx="91">
                  <c:v>45033</c:v>
                </c:pt>
                <c:pt idx="92">
                  <c:v>45040</c:v>
                </c:pt>
                <c:pt idx="93">
                  <c:v>45047</c:v>
                </c:pt>
                <c:pt idx="94">
                  <c:v>45054</c:v>
                </c:pt>
                <c:pt idx="95">
                  <c:v>45061</c:v>
                </c:pt>
                <c:pt idx="96">
                  <c:v>45068</c:v>
                </c:pt>
                <c:pt idx="97">
                  <c:v>45075</c:v>
                </c:pt>
                <c:pt idx="98">
                  <c:v>45082</c:v>
                </c:pt>
                <c:pt idx="99">
                  <c:v>45089</c:v>
                </c:pt>
                <c:pt idx="100">
                  <c:v>45096</c:v>
                </c:pt>
                <c:pt idx="101">
                  <c:v>45103</c:v>
                </c:pt>
                <c:pt idx="102">
                  <c:v>45110</c:v>
                </c:pt>
                <c:pt idx="103">
                  <c:v>45117</c:v>
                </c:pt>
                <c:pt idx="104">
                  <c:v>45124</c:v>
                </c:pt>
              </c:numCache>
            </c:numRef>
          </c:cat>
          <c:val>
            <c:numRef>
              <c:f>Beta!$C$10:$C$114</c:f>
              <c:numCache>
                <c:formatCode>0.00</c:formatCode>
                <c:ptCount val="105"/>
                <c:pt idx="0">
                  <c:v>27703.449218999998</c:v>
                </c:pt>
                <c:pt idx="1">
                  <c:v>28039.884765999999</c:v>
                </c:pt>
                <c:pt idx="2">
                  <c:v>28159.767577999999</c:v>
                </c:pt>
                <c:pt idx="3">
                  <c:v>26387.841797000001</c:v>
                </c:pt>
                <c:pt idx="4">
                  <c:v>26081.0625</c:v>
                </c:pt>
                <c:pt idx="5">
                  <c:v>26682.814452999999</c:v>
                </c:pt>
                <c:pt idx="6">
                  <c:v>30197.552734000001</c:v>
                </c:pt>
                <c:pt idx="7">
                  <c:v>30426.259765999999</c:v>
                </c:pt>
                <c:pt idx="8">
                  <c:v>30315.253906000002</c:v>
                </c:pt>
                <c:pt idx="9">
                  <c:v>29176.775390999999</c:v>
                </c:pt>
                <c:pt idx="10">
                  <c:v>28867.019531000002</c:v>
                </c:pt>
                <c:pt idx="11">
                  <c:v>27535.345702999999</c:v>
                </c:pt>
                <c:pt idx="12">
                  <c:v>27733.054688</c:v>
                </c:pt>
                <c:pt idx="13">
                  <c:v>27516.546875</c:v>
                </c:pt>
                <c:pt idx="14">
                  <c:v>28406.431640999999</c:v>
                </c:pt>
                <c:pt idx="15">
                  <c:v>28815.087890999999</c:v>
                </c:pt>
                <c:pt idx="16">
                  <c:v>29154.058593999998</c:v>
                </c:pt>
                <c:pt idx="17">
                  <c:v>26950.210938</c:v>
                </c:pt>
                <c:pt idx="18">
                  <c:v>25738.472656000002</c:v>
                </c:pt>
                <c:pt idx="19">
                  <c:v>25706.976563</c:v>
                </c:pt>
                <c:pt idx="20">
                  <c:v>26195.439452999999</c:v>
                </c:pt>
                <c:pt idx="21">
                  <c:v>26015.291015999999</c:v>
                </c:pt>
                <c:pt idx="22">
                  <c:v>26100.703125</c:v>
                </c:pt>
                <c:pt idx="23">
                  <c:v>26771.798827999999</c:v>
                </c:pt>
                <c:pt idx="24">
                  <c:v>26830.126952999999</c:v>
                </c:pt>
                <c:pt idx="25">
                  <c:v>26862.070313</c:v>
                </c:pt>
                <c:pt idx="26">
                  <c:v>24837.130859000001</c:v>
                </c:pt>
                <c:pt idx="27">
                  <c:v>23931.923827999999</c:v>
                </c:pt>
                <c:pt idx="28">
                  <c:v>24526.482422000001</c:v>
                </c:pt>
                <c:pt idx="29">
                  <c:v>24701.328125</c:v>
                </c:pt>
                <c:pt idx="30">
                  <c:v>24197.736327999999</c:v>
                </c:pt>
                <c:pt idx="31">
                  <c:v>23833.916015999999</c:v>
                </c:pt>
                <c:pt idx="32">
                  <c:v>22409.753906000002</c:v>
                </c:pt>
                <c:pt idx="33">
                  <c:v>22254.972656000002</c:v>
                </c:pt>
                <c:pt idx="34">
                  <c:v>23940.001952999999</c:v>
                </c:pt>
                <c:pt idx="35">
                  <c:v>23114.330077999999</c:v>
                </c:pt>
                <c:pt idx="36">
                  <c:v>24459.394531000002</c:v>
                </c:pt>
                <c:pt idx="37">
                  <c:v>25103.15625</c:v>
                </c:pt>
                <c:pt idx="38">
                  <c:v>25205.414063</c:v>
                </c:pt>
                <c:pt idx="39">
                  <c:v>25694.046875</c:v>
                </c:pt>
                <c:pt idx="40">
                  <c:v>25759.882813</c:v>
                </c:pt>
                <c:pt idx="41">
                  <c:v>23824.179688</c:v>
                </c:pt>
                <c:pt idx="42">
                  <c:v>22424.660156000002</c:v>
                </c:pt>
                <c:pt idx="43">
                  <c:v>21864.025390999999</c:v>
                </c:pt>
                <c:pt idx="44">
                  <c:v>21790.339843999998</c:v>
                </c:pt>
                <c:pt idx="45">
                  <c:v>20509.326172000001</c:v>
                </c:pt>
                <c:pt idx="46">
                  <c:v>19059.275390999999</c:v>
                </c:pt>
                <c:pt idx="47">
                  <c:v>17933.238281000002</c:v>
                </c:pt>
                <c:pt idx="48">
                  <c:v>18676.476563</c:v>
                </c:pt>
                <c:pt idx="49">
                  <c:v>19094.003906000002</c:v>
                </c:pt>
                <c:pt idx="50">
                  <c:v>19808.523438</c:v>
                </c:pt>
                <c:pt idx="51">
                  <c:v>19578.962890999999</c:v>
                </c:pt>
                <c:pt idx="52">
                  <c:v>20697.097656000002</c:v>
                </c:pt>
                <c:pt idx="53">
                  <c:v>20416.220702999999</c:v>
                </c:pt>
                <c:pt idx="54">
                  <c:v>21152.671875</c:v>
                </c:pt>
                <c:pt idx="55">
                  <c:v>21067.810547000001</c:v>
                </c:pt>
                <c:pt idx="56">
                  <c:v>21337.730468999998</c:v>
                </c:pt>
                <c:pt idx="57">
                  <c:v>22009.740234000001</c:v>
                </c:pt>
                <c:pt idx="58">
                  <c:v>21004.267577999999</c:v>
                </c:pt>
                <c:pt idx="59">
                  <c:v>24407.833984000001</c:v>
                </c:pt>
                <c:pt idx="60">
                  <c:v>23224.671875</c:v>
                </c:pt>
                <c:pt idx="61">
                  <c:v>21116.865234000001</c:v>
                </c:pt>
                <c:pt idx="62">
                  <c:v>20949.1875</c:v>
                </c:pt>
                <c:pt idx="63">
                  <c:v>21198.837890999999</c:v>
                </c:pt>
                <c:pt idx="64">
                  <c:v>21103.96875</c:v>
                </c:pt>
                <c:pt idx="65">
                  <c:v>20851.675781000002</c:v>
                </c:pt>
                <c:pt idx="66">
                  <c:v>21692.957031000002</c:v>
                </c:pt>
                <c:pt idx="67">
                  <c:v>22871.984375</c:v>
                </c:pt>
                <c:pt idx="68">
                  <c:v>22772.783202999999</c:v>
                </c:pt>
                <c:pt idx="69">
                  <c:v>23055.650390999999</c:v>
                </c:pt>
                <c:pt idx="70">
                  <c:v>23111.775390999999</c:v>
                </c:pt>
                <c:pt idx="71">
                  <c:v>23998.720702999999</c:v>
                </c:pt>
                <c:pt idx="72">
                  <c:v>24344.039063</c:v>
                </c:pt>
                <c:pt idx="73">
                  <c:v>23631.144531000002</c:v>
                </c:pt>
                <c:pt idx="74">
                  <c:v>23178.558593999998</c:v>
                </c:pt>
                <c:pt idx="75">
                  <c:v>23196.535156000002</c:v>
                </c:pt>
                <c:pt idx="76">
                  <c:v>23757.886718999998</c:v>
                </c:pt>
                <c:pt idx="77">
                  <c:v>24043.443359000001</c:v>
                </c:pt>
                <c:pt idx="78">
                  <c:v>24323.521484000001</c:v>
                </c:pt>
                <c:pt idx="79">
                  <c:v>21813.822265999999</c:v>
                </c:pt>
                <c:pt idx="80">
                  <c:v>24369.984375</c:v>
                </c:pt>
                <c:pt idx="81">
                  <c:v>23874.966797000001</c:v>
                </c:pt>
                <c:pt idx="82">
                  <c:v>25654.640625</c:v>
                </c:pt>
                <c:pt idx="83">
                  <c:v>25357.259765999999</c:v>
                </c:pt>
                <c:pt idx="84">
                  <c:v>25599.828125</c:v>
                </c:pt>
                <c:pt idx="85">
                  <c:v>26124.527343999998</c:v>
                </c:pt>
                <c:pt idx="86">
                  <c:v>25106.757813</c:v>
                </c:pt>
                <c:pt idx="87">
                  <c:v>25455.892577999999</c:v>
                </c:pt>
                <c:pt idx="88">
                  <c:v>26129.714843999998</c:v>
                </c:pt>
                <c:pt idx="89">
                  <c:v>26107.513672000001</c:v>
                </c:pt>
                <c:pt idx="90">
                  <c:v>25751.792968999998</c:v>
                </c:pt>
                <c:pt idx="91">
                  <c:v>23834.84375</c:v>
                </c:pt>
                <c:pt idx="92">
                  <c:v>24281.263672000001</c:v>
                </c:pt>
                <c:pt idx="93">
                  <c:v>24462.617188</c:v>
                </c:pt>
                <c:pt idx="94">
                  <c:v>24696.753906000002</c:v>
                </c:pt>
                <c:pt idx="95">
                  <c:v>24355.302734000001</c:v>
                </c:pt>
                <c:pt idx="96">
                  <c:v>24922.410156000002</c:v>
                </c:pt>
                <c:pt idx="97">
                  <c:v>24983.677734000001</c:v>
                </c:pt>
                <c:pt idx="98">
                  <c:v>25447.800781000002</c:v>
                </c:pt>
                <c:pt idx="99">
                  <c:v>26213.150390999999</c:v>
                </c:pt>
                <c:pt idx="100">
                  <c:v>25145.25</c:v>
                </c:pt>
                <c:pt idx="101">
                  <c:v>23886.449218999998</c:v>
                </c:pt>
                <c:pt idx="102">
                  <c:v>23883.349609000001</c:v>
                </c:pt>
                <c:pt idx="103">
                  <c:v>24339.650390999999</c:v>
                </c:pt>
                <c:pt idx="104">
                  <c:v>24117.949218999998</c:v>
                </c:pt>
              </c:numCache>
            </c:numRef>
          </c:val>
          <c:smooth val="0"/>
          <c:extLst>
            <c:ext xmlns:c16="http://schemas.microsoft.com/office/drawing/2014/chart" uri="{C3380CC4-5D6E-409C-BE32-E72D297353CC}">
              <c16:uniqueId val="{00000000-3426-4A62-A8BA-269AD45F292D}"/>
            </c:ext>
          </c:extLst>
        </c:ser>
        <c:ser>
          <c:idx val="1"/>
          <c:order val="1"/>
          <c:tx>
            <c:strRef>
              <c:f>Beta!$R$7:$R$9</c:f>
              <c:strCache>
                <c:ptCount val="3"/>
                <c:pt idx="0">
                  <c:v>NIFTY Returns</c:v>
                </c:pt>
                <c:pt idx="2">
                  <c:v>Closing Price</c:v>
                </c:pt>
              </c:strCache>
            </c:strRef>
          </c:tx>
          <c:spPr>
            <a:ln w="22225" cap="rnd" cmpd="sng" algn="ctr">
              <a:solidFill>
                <a:schemeClr val="accent5"/>
              </a:solidFill>
              <a:round/>
            </a:ln>
            <a:effectLst/>
          </c:spPr>
          <c:marker>
            <c:symbol val="none"/>
          </c:marker>
          <c:cat>
            <c:numRef>
              <c:f>Beta!$B$10:$B$114</c:f>
              <c:numCache>
                <c:formatCode>m/d/yyyy</c:formatCode>
                <c:ptCount val="105"/>
                <c:pt idx="0">
                  <c:v>44396</c:v>
                </c:pt>
                <c:pt idx="1">
                  <c:v>44403</c:v>
                </c:pt>
                <c:pt idx="2">
                  <c:v>44410</c:v>
                </c:pt>
                <c:pt idx="3">
                  <c:v>44417</c:v>
                </c:pt>
                <c:pt idx="4">
                  <c:v>44424</c:v>
                </c:pt>
                <c:pt idx="5">
                  <c:v>44431</c:v>
                </c:pt>
                <c:pt idx="6">
                  <c:v>44438</c:v>
                </c:pt>
                <c:pt idx="7">
                  <c:v>44445</c:v>
                </c:pt>
                <c:pt idx="8">
                  <c:v>44452</c:v>
                </c:pt>
                <c:pt idx="9">
                  <c:v>44459</c:v>
                </c:pt>
                <c:pt idx="10">
                  <c:v>44466</c:v>
                </c:pt>
                <c:pt idx="11">
                  <c:v>44473</c:v>
                </c:pt>
                <c:pt idx="12">
                  <c:v>44480</c:v>
                </c:pt>
                <c:pt idx="13">
                  <c:v>44487</c:v>
                </c:pt>
                <c:pt idx="14">
                  <c:v>44494</c:v>
                </c:pt>
                <c:pt idx="15">
                  <c:v>44501</c:v>
                </c:pt>
                <c:pt idx="16">
                  <c:v>44508</c:v>
                </c:pt>
                <c:pt idx="17">
                  <c:v>44515</c:v>
                </c:pt>
                <c:pt idx="18">
                  <c:v>44522</c:v>
                </c:pt>
                <c:pt idx="19">
                  <c:v>44529</c:v>
                </c:pt>
                <c:pt idx="20">
                  <c:v>44536</c:v>
                </c:pt>
                <c:pt idx="21">
                  <c:v>44543</c:v>
                </c:pt>
                <c:pt idx="22">
                  <c:v>44550</c:v>
                </c:pt>
                <c:pt idx="23">
                  <c:v>44557</c:v>
                </c:pt>
                <c:pt idx="24">
                  <c:v>44564</c:v>
                </c:pt>
                <c:pt idx="25">
                  <c:v>44571</c:v>
                </c:pt>
                <c:pt idx="26">
                  <c:v>44578</c:v>
                </c:pt>
                <c:pt idx="27">
                  <c:v>44585</c:v>
                </c:pt>
                <c:pt idx="28">
                  <c:v>44592</c:v>
                </c:pt>
                <c:pt idx="29">
                  <c:v>44599</c:v>
                </c:pt>
                <c:pt idx="30">
                  <c:v>44606</c:v>
                </c:pt>
                <c:pt idx="31">
                  <c:v>44613</c:v>
                </c:pt>
                <c:pt idx="32">
                  <c:v>44620</c:v>
                </c:pt>
                <c:pt idx="33">
                  <c:v>44627</c:v>
                </c:pt>
                <c:pt idx="34">
                  <c:v>44634</c:v>
                </c:pt>
                <c:pt idx="35">
                  <c:v>44641</c:v>
                </c:pt>
                <c:pt idx="36">
                  <c:v>44648</c:v>
                </c:pt>
                <c:pt idx="37">
                  <c:v>44655</c:v>
                </c:pt>
                <c:pt idx="38">
                  <c:v>44662</c:v>
                </c:pt>
                <c:pt idx="39">
                  <c:v>44669</c:v>
                </c:pt>
                <c:pt idx="40">
                  <c:v>44676</c:v>
                </c:pt>
                <c:pt idx="41">
                  <c:v>44683</c:v>
                </c:pt>
                <c:pt idx="42">
                  <c:v>44690</c:v>
                </c:pt>
                <c:pt idx="43">
                  <c:v>44697</c:v>
                </c:pt>
                <c:pt idx="44">
                  <c:v>44704</c:v>
                </c:pt>
                <c:pt idx="45">
                  <c:v>44711</c:v>
                </c:pt>
                <c:pt idx="46">
                  <c:v>44718</c:v>
                </c:pt>
                <c:pt idx="47">
                  <c:v>44725</c:v>
                </c:pt>
                <c:pt idx="48">
                  <c:v>44732</c:v>
                </c:pt>
                <c:pt idx="49">
                  <c:v>44739</c:v>
                </c:pt>
                <c:pt idx="50">
                  <c:v>44746</c:v>
                </c:pt>
                <c:pt idx="51">
                  <c:v>44753</c:v>
                </c:pt>
                <c:pt idx="52">
                  <c:v>44760</c:v>
                </c:pt>
                <c:pt idx="53">
                  <c:v>44767</c:v>
                </c:pt>
                <c:pt idx="54">
                  <c:v>44774</c:v>
                </c:pt>
                <c:pt idx="55">
                  <c:v>44781</c:v>
                </c:pt>
                <c:pt idx="56">
                  <c:v>44788</c:v>
                </c:pt>
                <c:pt idx="57">
                  <c:v>44795</c:v>
                </c:pt>
                <c:pt idx="58">
                  <c:v>44802</c:v>
                </c:pt>
                <c:pt idx="59">
                  <c:v>44809</c:v>
                </c:pt>
                <c:pt idx="60">
                  <c:v>44816</c:v>
                </c:pt>
                <c:pt idx="61">
                  <c:v>44823</c:v>
                </c:pt>
                <c:pt idx="62">
                  <c:v>44830</c:v>
                </c:pt>
                <c:pt idx="63">
                  <c:v>44837</c:v>
                </c:pt>
                <c:pt idx="64">
                  <c:v>44844</c:v>
                </c:pt>
                <c:pt idx="65">
                  <c:v>44851</c:v>
                </c:pt>
                <c:pt idx="66">
                  <c:v>44858</c:v>
                </c:pt>
                <c:pt idx="67">
                  <c:v>44865</c:v>
                </c:pt>
                <c:pt idx="68">
                  <c:v>44872</c:v>
                </c:pt>
                <c:pt idx="69">
                  <c:v>44879</c:v>
                </c:pt>
                <c:pt idx="70">
                  <c:v>44886</c:v>
                </c:pt>
                <c:pt idx="71">
                  <c:v>44893</c:v>
                </c:pt>
                <c:pt idx="72">
                  <c:v>44900</c:v>
                </c:pt>
                <c:pt idx="73">
                  <c:v>44907</c:v>
                </c:pt>
                <c:pt idx="74">
                  <c:v>44914</c:v>
                </c:pt>
                <c:pt idx="75">
                  <c:v>44921</c:v>
                </c:pt>
                <c:pt idx="76">
                  <c:v>44928</c:v>
                </c:pt>
                <c:pt idx="77">
                  <c:v>44935</c:v>
                </c:pt>
                <c:pt idx="78">
                  <c:v>44942</c:v>
                </c:pt>
                <c:pt idx="79">
                  <c:v>44949</c:v>
                </c:pt>
                <c:pt idx="80">
                  <c:v>44956</c:v>
                </c:pt>
                <c:pt idx="81">
                  <c:v>44963</c:v>
                </c:pt>
                <c:pt idx="82">
                  <c:v>44970</c:v>
                </c:pt>
                <c:pt idx="83">
                  <c:v>44977</c:v>
                </c:pt>
                <c:pt idx="84">
                  <c:v>44984</c:v>
                </c:pt>
                <c:pt idx="85">
                  <c:v>44991</c:v>
                </c:pt>
                <c:pt idx="86">
                  <c:v>44998</c:v>
                </c:pt>
                <c:pt idx="87">
                  <c:v>45005</c:v>
                </c:pt>
                <c:pt idx="88">
                  <c:v>45012</c:v>
                </c:pt>
                <c:pt idx="89">
                  <c:v>45019</c:v>
                </c:pt>
                <c:pt idx="90">
                  <c:v>45026</c:v>
                </c:pt>
                <c:pt idx="91">
                  <c:v>45033</c:v>
                </c:pt>
                <c:pt idx="92">
                  <c:v>45040</c:v>
                </c:pt>
                <c:pt idx="93">
                  <c:v>45047</c:v>
                </c:pt>
                <c:pt idx="94">
                  <c:v>45054</c:v>
                </c:pt>
                <c:pt idx="95">
                  <c:v>45061</c:v>
                </c:pt>
                <c:pt idx="96">
                  <c:v>45068</c:v>
                </c:pt>
                <c:pt idx="97">
                  <c:v>45075</c:v>
                </c:pt>
                <c:pt idx="98">
                  <c:v>45082</c:v>
                </c:pt>
                <c:pt idx="99">
                  <c:v>45089</c:v>
                </c:pt>
                <c:pt idx="100">
                  <c:v>45096</c:v>
                </c:pt>
                <c:pt idx="101">
                  <c:v>45103</c:v>
                </c:pt>
                <c:pt idx="102">
                  <c:v>45110</c:v>
                </c:pt>
                <c:pt idx="103">
                  <c:v>45117</c:v>
                </c:pt>
                <c:pt idx="104">
                  <c:v>45124</c:v>
                </c:pt>
              </c:numCache>
            </c:numRef>
          </c:cat>
          <c:val>
            <c:numRef>
              <c:f>Beta!$R$10:$R$114</c:f>
              <c:numCache>
                <c:formatCode>0.00</c:formatCode>
                <c:ptCount val="105"/>
                <c:pt idx="0">
                  <c:v>15856.049805000001</c:v>
                </c:pt>
                <c:pt idx="1">
                  <c:v>15763.049805000001</c:v>
                </c:pt>
                <c:pt idx="2">
                  <c:v>16238.200194999999</c:v>
                </c:pt>
                <c:pt idx="3">
                  <c:v>16529.099609000001</c:v>
                </c:pt>
                <c:pt idx="4">
                  <c:v>16450.5</c:v>
                </c:pt>
                <c:pt idx="5">
                  <c:v>16705.199218999998</c:v>
                </c:pt>
                <c:pt idx="6">
                  <c:v>17323.599609000001</c:v>
                </c:pt>
                <c:pt idx="7">
                  <c:v>17369.25</c:v>
                </c:pt>
                <c:pt idx="8">
                  <c:v>17585.150390999999</c:v>
                </c:pt>
                <c:pt idx="9">
                  <c:v>17853.199218999998</c:v>
                </c:pt>
                <c:pt idx="10">
                  <c:v>17532.050781000002</c:v>
                </c:pt>
                <c:pt idx="11">
                  <c:v>17895.199218999998</c:v>
                </c:pt>
                <c:pt idx="12">
                  <c:v>18338.550781000002</c:v>
                </c:pt>
                <c:pt idx="13">
                  <c:v>18114.900390999999</c:v>
                </c:pt>
                <c:pt idx="14">
                  <c:v>17671.650390999999</c:v>
                </c:pt>
                <c:pt idx="15">
                  <c:v>17916.800781000002</c:v>
                </c:pt>
                <c:pt idx="16">
                  <c:v>18102.75</c:v>
                </c:pt>
                <c:pt idx="17">
                  <c:v>17764.800781000002</c:v>
                </c:pt>
                <c:pt idx="18">
                  <c:v>17026.449218999998</c:v>
                </c:pt>
                <c:pt idx="19">
                  <c:v>17196.699218999998</c:v>
                </c:pt>
                <c:pt idx="20">
                  <c:v>17511.300781000002</c:v>
                </c:pt>
                <c:pt idx="21">
                  <c:v>16985.199218999998</c:v>
                </c:pt>
                <c:pt idx="22">
                  <c:v>17003.75</c:v>
                </c:pt>
                <c:pt idx="23">
                  <c:v>17354.050781000002</c:v>
                </c:pt>
                <c:pt idx="24">
                  <c:v>17812.699218999998</c:v>
                </c:pt>
                <c:pt idx="25">
                  <c:v>18255.75</c:v>
                </c:pt>
                <c:pt idx="26">
                  <c:v>17617.150390999999</c:v>
                </c:pt>
                <c:pt idx="27">
                  <c:v>17101.949218999998</c:v>
                </c:pt>
                <c:pt idx="28">
                  <c:v>17516.300781000002</c:v>
                </c:pt>
                <c:pt idx="29">
                  <c:v>17374.75</c:v>
                </c:pt>
                <c:pt idx="30">
                  <c:v>17276.300781000002</c:v>
                </c:pt>
                <c:pt idx="31">
                  <c:v>16658.400390999999</c:v>
                </c:pt>
                <c:pt idx="32">
                  <c:v>16245.349609000001</c:v>
                </c:pt>
                <c:pt idx="33">
                  <c:v>16630.449218999998</c:v>
                </c:pt>
                <c:pt idx="34">
                  <c:v>17287.050781000002</c:v>
                </c:pt>
                <c:pt idx="35">
                  <c:v>17153</c:v>
                </c:pt>
                <c:pt idx="36">
                  <c:v>17670.449218999998</c:v>
                </c:pt>
                <c:pt idx="37">
                  <c:v>17784.349609000001</c:v>
                </c:pt>
                <c:pt idx="38">
                  <c:v>17475.650390999999</c:v>
                </c:pt>
                <c:pt idx="39">
                  <c:v>17171.949218999998</c:v>
                </c:pt>
                <c:pt idx="40">
                  <c:v>17102.550781000002</c:v>
                </c:pt>
                <c:pt idx="41">
                  <c:v>16411.25</c:v>
                </c:pt>
                <c:pt idx="42">
                  <c:v>15782.150390999999</c:v>
                </c:pt>
                <c:pt idx="43">
                  <c:v>16266.150390999999</c:v>
                </c:pt>
                <c:pt idx="44">
                  <c:v>16352.450194999999</c:v>
                </c:pt>
                <c:pt idx="45">
                  <c:v>16584.300781000002</c:v>
                </c:pt>
                <c:pt idx="46">
                  <c:v>16201.799805000001</c:v>
                </c:pt>
                <c:pt idx="47">
                  <c:v>15293.5</c:v>
                </c:pt>
                <c:pt idx="48">
                  <c:v>15699.25</c:v>
                </c:pt>
                <c:pt idx="49">
                  <c:v>15752.049805000001</c:v>
                </c:pt>
                <c:pt idx="50">
                  <c:v>16220.599609000001</c:v>
                </c:pt>
                <c:pt idx="51">
                  <c:v>16049.200194999999</c:v>
                </c:pt>
                <c:pt idx="52">
                  <c:v>16719.449218999998</c:v>
                </c:pt>
                <c:pt idx="53">
                  <c:v>17158.25</c:v>
                </c:pt>
                <c:pt idx="54">
                  <c:v>17397.5</c:v>
                </c:pt>
                <c:pt idx="55">
                  <c:v>17698.150390999999</c:v>
                </c:pt>
                <c:pt idx="56">
                  <c:v>17758.449218999998</c:v>
                </c:pt>
                <c:pt idx="57">
                  <c:v>17558.900390999999</c:v>
                </c:pt>
                <c:pt idx="58">
                  <c:v>17539.449218999998</c:v>
                </c:pt>
                <c:pt idx="59">
                  <c:v>17833.349609000001</c:v>
                </c:pt>
                <c:pt idx="60">
                  <c:v>17530.849609000001</c:v>
                </c:pt>
                <c:pt idx="61">
                  <c:v>17327.349609000001</c:v>
                </c:pt>
                <c:pt idx="62">
                  <c:v>17094.349609000001</c:v>
                </c:pt>
                <c:pt idx="63">
                  <c:v>17314.650390999999</c:v>
                </c:pt>
                <c:pt idx="64">
                  <c:v>17185.699218999998</c:v>
                </c:pt>
                <c:pt idx="65">
                  <c:v>17576.300781000002</c:v>
                </c:pt>
                <c:pt idx="66">
                  <c:v>17786.800781000002</c:v>
                </c:pt>
                <c:pt idx="67">
                  <c:v>18117.150390999999</c:v>
                </c:pt>
                <c:pt idx="68">
                  <c:v>18349.699218999998</c:v>
                </c:pt>
                <c:pt idx="69">
                  <c:v>18307.650390999999</c:v>
                </c:pt>
                <c:pt idx="70">
                  <c:v>18512.75</c:v>
                </c:pt>
                <c:pt idx="71">
                  <c:v>18696.099609000001</c:v>
                </c:pt>
                <c:pt idx="72">
                  <c:v>18496.599609000001</c:v>
                </c:pt>
                <c:pt idx="73">
                  <c:v>18269</c:v>
                </c:pt>
                <c:pt idx="74">
                  <c:v>17806.800781000002</c:v>
                </c:pt>
                <c:pt idx="75">
                  <c:v>18105.300781000002</c:v>
                </c:pt>
                <c:pt idx="76">
                  <c:v>17859.449218999998</c:v>
                </c:pt>
                <c:pt idx="77">
                  <c:v>17956.599609000001</c:v>
                </c:pt>
                <c:pt idx="78">
                  <c:v>18027.650390999999</c:v>
                </c:pt>
                <c:pt idx="79">
                  <c:v>17604.349609000001</c:v>
                </c:pt>
                <c:pt idx="80">
                  <c:v>17854.050781000002</c:v>
                </c:pt>
                <c:pt idx="81">
                  <c:v>17856.5</c:v>
                </c:pt>
                <c:pt idx="82">
                  <c:v>17944.199218999998</c:v>
                </c:pt>
                <c:pt idx="83">
                  <c:v>17465.800781000002</c:v>
                </c:pt>
                <c:pt idx="84">
                  <c:v>17594.349609000001</c:v>
                </c:pt>
                <c:pt idx="85">
                  <c:v>17412.900390999999</c:v>
                </c:pt>
                <c:pt idx="86">
                  <c:v>17100.050781000002</c:v>
                </c:pt>
                <c:pt idx="87">
                  <c:v>16945.050781000002</c:v>
                </c:pt>
                <c:pt idx="88">
                  <c:v>17359.75</c:v>
                </c:pt>
                <c:pt idx="89">
                  <c:v>17599.150390999999</c:v>
                </c:pt>
                <c:pt idx="90">
                  <c:v>17828</c:v>
                </c:pt>
                <c:pt idx="91">
                  <c:v>17624.050781000002</c:v>
                </c:pt>
                <c:pt idx="92">
                  <c:v>18065</c:v>
                </c:pt>
                <c:pt idx="93">
                  <c:v>18069</c:v>
                </c:pt>
                <c:pt idx="94">
                  <c:v>18314.800781000002</c:v>
                </c:pt>
                <c:pt idx="95">
                  <c:v>18203.400390999999</c:v>
                </c:pt>
                <c:pt idx="96">
                  <c:v>18499.349609000001</c:v>
                </c:pt>
                <c:pt idx="97">
                  <c:v>18534.099609000001</c:v>
                </c:pt>
                <c:pt idx="98">
                  <c:v>18563.400390999999</c:v>
                </c:pt>
                <c:pt idx="99">
                  <c:v>18826</c:v>
                </c:pt>
                <c:pt idx="100">
                  <c:v>18665.5</c:v>
                </c:pt>
                <c:pt idx="101">
                  <c:v>19189.050781000002</c:v>
                </c:pt>
                <c:pt idx="102">
                  <c:v>19331.800781000002</c:v>
                </c:pt>
                <c:pt idx="103">
                  <c:v>19564.5</c:v>
                </c:pt>
                <c:pt idx="104">
                  <c:v>19711.449218999998</c:v>
                </c:pt>
              </c:numCache>
            </c:numRef>
          </c:val>
          <c:smooth val="0"/>
          <c:extLst>
            <c:ext xmlns:c16="http://schemas.microsoft.com/office/drawing/2014/chart" uri="{C3380CC4-5D6E-409C-BE32-E72D297353CC}">
              <c16:uniqueId val="{00000001-3426-4A62-A8BA-269AD45F292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302580784"/>
        <c:axId val="1302573296"/>
      </c:lineChart>
      <c:dateAx>
        <c:axId val="1302580784"/>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02573296"/>
        <c:crosses val="autoZero"/>
        <c:auto val="1"/>
        <c:lblOffset val="100"/>
        <c:baseTimeUnit val="days"/>
      </c:dateAx>
      <c:valAx>
        <c:axId val="13025732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02580784"/>
        <c:crosses val="autoZero"/>
        <c:crossBetween val="between"/>
      </c:valAx>
      <c:spPr>
        <a:solidFill>
          <a:srgbClr val="C00000"/>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rgbClr val="C00000"/>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Forecasting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Forecasting!$D$6</c:f>
              <c:strCache>
                <c:ptCount val="1"/>
                <c:pt idx="0">
                  <c:v>Sales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Forecasting!$B$7:$C$21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Forecasting!$D$7:$D$21</c:f>
              <c:numCache>
                <c:formatCode>#,##0.00</c:formatCode>
                <c:ptCount val="15"/>
                <c:pt idx="0">
                  <c:v>5714.53</c:v>
                </c:pt>
                <c:pt idx="1">
                  <c:v>6259.39</c:v>
                </c:pt>
                <c:pt idx="2">
                  <c:v>5513.64</c:v>
                </c:pt>
                <c:pt idx="3">
                  <c:v>8594.2999999999993</c:v>
                </c:pt>
                <c:pt idx="4">
                  <c:v>9826.35</c:v>
                </c:pt>
                <c:pt idx="5">
                  <c:v>11722</c:v>
                </c:pt>
                <c:pt idx="6">
                  <c:v>11904</c:v>
                </c:pt>
                <c:pt idx="7">
                  <c:v>12668.87</c:v>
                </c:pt>
                <c:pt idx="8">
                  <c:v>14305.88</c:v>
                </c:pt>
                <c:pt idx="9">
                  <c:v>16837.490000000002</c:v>
                </c:pt>
                <c:pt idx="10" formatCode="#,##0.0">
                  <c:v>17135.743999999999</c:v>
                </c:pt>
                <c:pt idx="11" formatCode="#,##0.0">
                  <c:v>18372.307454545455</c:v>
                </c:pt>
                <c:pt idx="12" formatCode="#,##0.0">
                  <c:v>19608.870909090911</c:v>
                </c:pt>
                <c:pt idx="13" formatCode="#,##0.0">
                  <c:v>20845.434363636363</c:v>
                </c:pt>
                <c:pt idx="14" formatCode="#,##0.0">
                  <c:v>22081.997818181815</c:v>
                </c:pt>
              </c:numCache>
            </c:numRef>
          </c:val>
          <c:extLst>
            <c:ext xmlns:c16="http://schemas.microsoft.com/office/drawing/2014/chart" uri="{C3380CC4-5D6E-409C-BE32-E72D297353CC}">
              <c16:uniqueId val="{00000000-5D38-41BB-B110-185B4AE2AFF2}"/>
            </c:ext>
          </c:extLst>
        </c:ser>
        <c:dLbls>
          <c:showLegendKey val="0"/>
          <c:showVal val="0"/>
          <c:showCatName val="0"/>
          <c:showSerName val="0"/>
          <c:showPercent val="0"/>
          <c:showBubbleSize val="0"/>
        </c:dLbls>
        <c:gapWidth val="219"/>
        <c:overlap val="-27"/>
        <c:axId val="1400394400"/>
        <c:axId val="1400402720"/>
      </c:barChart>
      <c:lineChart>
        <c:grouping val="standard"/>
        <c:varyColors val="0"/>
        <c:ser>
          <c:idx val="1"/>
          <c:order val="1"/>
          <c:tx>
            <c:strRef>
              <c:f>Forecasting!$E$6</c:f>
              <c:strCache>
                <c:ptCount val="1"/>
                <c:pt idx="0">
                  <c:v>Sales Growth</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multiLvlStrRef>
              <c:f>Forecasting!$B$7:$C$21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Forecasting!$E$7:$E$21</c:f>
              <c:numCache>
                <c:formatCode>0.00%</c:formatCode>
                <c:ptCount val="15"/>
                <c:pt idx="1">
                  <c:v>9.5346423940376734E-2</c:v>
                </c:pt>
                <c:pt idx="2" formatCode="0.00%;\(0.00%\)">
                  <c:v>-0.11914100255775717</c:v>
                </c:pt>
                <c:pt idx="3">
                  <c:v>0.55873433883967727</c:v>
                </c:pt>
                <c:pt idx="4">
                  <c:v>0.14335664335664355</c:v>
                </c:pt>
                <c:pt idx="5">
                  <c:v>0.19291496842673017</c:v>
                </c:pt>
                <c:pt idx="6">
                  <c:v>1.5526360689302132E-2</c:v>
                </c:pt>
                <c:pt idx="7">
                  <c:v>6.4253192204301035E-2</c:v>
                </c:pt>
                <c:pt idx="8">
                  <c:v>0.1292151549427849</c:v>
                </c:pt>
                <c:pt idx="9">
                  <c:v>0.17696289917152974</c:v>
                </c:pt>
                <c:pt idx="10">
                  <c:v>1.7713685353339281E-2</c:v>
                </c:pt>
                <c:pt idx="11">
                  <c:v>7.2162810937503208E-2</c:v>
                </c:pt>
                <c:pt idx="12">
                  <c:v>6.730583284678926E-2</c:v>
                </c:pt>
                <c:pt idx="13">
                  <c:v>6.3061430730933399E-2</c:v>
                </c:pt>
                <c:pt idx="14">
                  <c:v>5.9320589486135278E-2</c:v>
                </c:pt>
              </c:numCache>
            </c:numRef>
          </c:val>
          <c:smooth val="0"/>
          <c:extLst>
            <c:ext xmlns:c16="http://schemas.microsoft.com/office/drawing/2014/chart" uri="{C3380CC4-5D6E-409C-BE32-E72D297353CC}">
              <c16:uniqueId val="{00000001-5D38-41BB-B110-185B4AE2AFF2}"/>
            </c:ext>
          </c:extLst>
        </c:ser>
        <c:dLbls>
          <c:showLegendKey val="0"/>
          <c:showVal val="0"/>
          <c:showCatName val="0"/>
          <c:showSerName val="0"/>
          <c:showPercent val="0"/>
          <c:showBubbleSize val="0"/>
        </c:dLbls>
        <c:marker val="1"/>
        <c:smooth val="0"/>
        <c:axId val="1400394816"/>
        <c:axId val="1400403968"/>
      </c:lineChart>
      <c:catAx>
        <c:axId val="1400394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402720"/>
        <c:crosses val="autoZero"/>
        <c:auto val="1"/>
        <c:lblAlgn val="ctr"/>
        <c:lblOffset val="100"/>
        <c:noMultiLvlLbl val="0"/>
      </c:catAx>
      <c:valAx>
        <c:axId val="140040272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394400"/>
        <c:crosses val="autoZero"/>
        <c:crossBetween val="between"/>
      </c:valAx>
      <c:valAx>
        <c:axId val="140040396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394816"/>
        <c:crosses val="max"/>
        <c:crossBetween val="between"/>
      </c:valAx>
      <c:catAx>
        <c:axId val="1400394816"/>
        <c:scaling>
          <c:orientation val="minMax"/>
        </c:scaling>
        <c:delete val="1"/>
        <c:axPos val="b"/>
        <c:numFmt formatCode="General" sourceLinked="1"/>
        <c:majorTickMark val="none"/>
        <c:minorTickMark val="none"/>
        <c:tickLblPos val="nextTo"/>
        <c:crossAx val="14004039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EBITDA Forecasting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Forecasting!$I$6</c:f>
              <c:strCache>
                <c:ptCount val="1"/>
                <c:pt idx="0">
                  <c:v>EBITDA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Forecasting!$G$7:$H$21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Forecasting!$I$7:$I$21</c:f>
              <c:numCache>
                <c:formatCode>#,##0.00</c:formatCode>
                <c:ptCount val="15"/>
                <c:pt idx="0">
                  <c:v>1389.7999999999995</c:v>
                </c:pt>
                <c:pt idx="1">
                  <c:v>1343.8500000000006</c:v>
                </c:pt>
                <c:pt idx="2">
                  <c:v>1406.9100000000003</c:v>
                </c:pt>
                <c:pt idx="3">
                  <c:v>2513.1699999999992</c:v>
                </c:pt>
                <c:pt idx="4">
                  <c:v>2472.7800000000007</c:v>
                </c:pt>
                <c:pt idx="5">
                  <c:v>2655.8199999999997</c:v>
                </c:pt>
                <c:pt idx="6">
                  <c:v>3686.0299999999997</c:v>
                </c:pt>
                <c:pt idx="7">
                  <c:v>3991.83</c:v>
                </c:pt>
                <c:pt idx="8">
                  <c:v>3649.8399999999983</c:v>
                </c:pt>
                <c:pt idx="9">
                  <c:v>2942.2600000000039</c:v>
                </c:pt>
                <c:pt idx="10" formatCode="#,##0.0">
                  <c:v>4163.238666666668</c:v>
                </c:pt>
                <c:pt idx="11" formatCode="#,##0.0">
                  <c:v>4462.3281333333343</c:v>
                </c:pt>
                <c:pt idx="12" formatCode="#,##0.0">
                  <c:v>4683.9041422222235</c:v>
                </c:pt>
                <c:pt idx="13" formatCode="#,##0.0">
                  <c:v>4803.0280124444462</c:v>
                </c:pt>
                <c:pt idx="14" formatCode="#,##0.0">
                  <c:v>5046.3378212740763</c:v>
                </c:pt>
              </c:numCache>
            </c:numRef>
          </c:val>
          <c:extLst>
            <c:ext xmlns:c16="http://schemas.microsoft.com/office/drawing/2014/chart" uri="{C3380CC4-5D6E-409C-BE32-E72D297353CC}">
              <c16:uniqueId val="{00000000-BDAA-4AD4-984A-B5732A5A9473}"/>
            </c:ext>
          </c:extLst>
        </c:ser>
        <c:dLbls>
          <c:showLegendKey val="0"/>
          <c:showVal val="0"/>
          <c:showCatName val="0"/>
          <c:showSerName val="0"/>
          <c:showPercent val="0"/>
          <c:showBubbleSize val="0"/>
        </c:dLbls>
        <c:gapWidth val="150"/>
        <c:axId val="1400386912"/>
        <c:axId val="1400406880"/>
      </c:barChart>
      <c:lineChart>
        <c:grouping val="standard"/>
        <c:varyColors val="0"/>
        <c:ser>
          <c:idx val="1"/>
          <c:order val="1"/>
          <c:tx>
            <c:strRef>
              <c:f>Forecasting!$J$6</c:f>
              <c:strCache>
                <c:ptCount val="1"/>
                <c:pt idx="0">
                  <c:v>EBITDA Growth</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multiLvlStrRef>
              <c:f>Forecasting!$G$7:$H$21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Forecasting!$J$7:$J$21</c:f>
              <c:numCache>
                <c:formatCode>0.00%;\(0.00%\)</c:formatCode>
                <c:ptCount val="15"/>
                <c:pt idx="1">
                  <c:v>-3.30623111239019E-2</c:v>
                </c:pt>
                <c:pt idx="2">
                  <c:v>4.6924880008929248E-2</c:v>
                </c:pt>
                <c:pt idx="3">
                  <c:v>0.78630473875372164</c:v>
                </c:pt>
                <c:pt idx="4">
                  <c:v>-1.6071336200893072E-2</c:v>
                </c:pt>
                <c:pt idx="5">
                  <c:v>7.4021951002515074E-2</c:v>
                </c:pt>
                <c:pt idx="6">
                  <c:v>0.38790655993252554</c:v>
                </c:pt>
                <c:pt idx="7">
                  <c:v>8.2961885822958603E-2</c:v>
                </c:pt>
                <c:pt idx="8">
                  <c:v>-8.5672486052763119E-2</c:v>
                </c:pt>
                <c:pt idx="9">
                  <c:v>-0.19386603248361434</c:v>
                </c:pt>
                <c:pt idx="10" formatCode="0.00%">
                  <c:v>0.41497986808326348</c:v>
                </c:pt>
                <c:pt idx="11" formatCode="0.00%">
                  <c:v>7.1840576679245371E-2</c:v>
                </c:pt>
                <c:pt idx="12" formatCode="0.00%">
                  <c:v>4.9654799528015214E-2</c:v>
                </c:pt>
                <c:pt idx="13" formatCode="0.00%">
                  <c:v>2.5432602078339306E-2</c:v>
                </c:pt>
                <c:pt idx="14" formatCode="0.00%">
                  <c:v>5.0657586880447969E-2</c:v>
                </c:pt>
              </c:numCache>
            </c:numRef>
          </c:val>
          <c:smooth val="0"/>
          <c:extLst>
            <c:ext xmlns:c16="http://schemas.microsoft.com/office/drawing/2014/chart" uri="{C3380CC4-5D6E-409C-BE32-E72D297353CC}">
              <c16:uniqueId val="{00000001-BDAA-4AD4-984A-B5732A5A9473}"/>
            </c:ext>
          </c:extLst>
        </c:ser>
        <c:dLbls>
          <c:showLegendKey val="0"/>
          <c:showVal val="0"/>
          <c:showCatName val="0"/>
          <c:showSerName val="0"/>
          <c:showPercent val="0"/>
          <c:showBubbleSize val="0"/>
        </c:dLbls>
        <c:marker val="1"/>
        <c:smooth val="0"/>
        <c:axId val="1458515072"/>
        <c:axId val="1458518816"/>
      </c:lineChart>
      <c:catAx>
        <c:axId val="14003869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406880"/>
        <c:crosses val="autoZero"/>
        <c:auto val="1"/>
        <c:lblAlgn val="ctr"/>
        <c:lblOffset val="100"/>
        <c:noMultiLvlLbl val="0"/>
      </c:catAx>
      <c:valAx>
        <c:axId val="14004068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0386912"/>
        <c:crosses val="autoZero"/>
        <c:crossBetween val="between"/>
      </c:valAx>
      <c:valAx>
        <c:axId val="145851881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515072"/>
        <c:crosses val="max"/>
        <c:crossBetween val="between"/>
      </c:valAx>
      <c:catAx>
        <c:axId val="1458515072"/>
        <c:scaling>
          <c:orientation val="minMax"/>
        </c:scaling>
        <c:delete val="1"/>
        <c:axPos val="b"/>
        <c:numFmt formatCode="General" sourceLinked="1"/>
        <c:majorTickMark val="none"/>
        <c:minorTickMark val="none"/>
        <c:tickLblPos val="nextTo"/>
        <c:crossAx val="145851881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EPS Forecasting</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Forecasting!$N$6</c:f>
              <c:strCache>
                <c:ptCount val="1"/>
                <c:pt idx="0">
                  <c:v>EPS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Forecasting!$L$7:$M$21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Forecasting!$N$7:$N$21</c:f>
              <c:numCache>
                <c:formatCode>#,##0.00</c:formatCode>
                <c:ptCount val="15"/>
                <c:pt idx="0">
                  <c:v>344.95977011494233</c:v>
                </c:pt>
                <c:pt idx="1">
                  <c:v>342.15229885057488</c:v>
                </c:pt>
                <c:pt idx="2">
                  <c:v>349.72988505747139</c:v>
                </c:pt>
                <c:pt idx="3">
                  <c:v>632.28448275862058</c:v>
                </c:pt>
                <c:pt idx="4">
                  <c:v>549.70402298850593</c:v>
                </c:pt>
                <c:pt idx="5">
                  <c:v>710.08045977011477</c:v>
                </c:pt>
                <c:pt idx="6">
                  <c:v>901.54570637119116</c:v>
                </c:pt>
                <c:pt idx="7">
                  <c:v>875.99722991689748</c:v>
                </c:pt>
                <c:pt idx="8">
                  <c:v>803.25761772853139</c:v>
                </c:pt>
                <c:pt idx="9">
                  <c:v>703.2603878116355</c:v>
                </c:pt>
                <c:pt idx="10" formatCode="#,##0.0">
                  <c:v>956.36184024792806</c:v>
                </c:pt>
                <c:pt idx="11" formatCode="#,##0.0">
                  <c:v>1016.6977242865181</c:v>
                </c:pt>
                <c:pt idx="12" formatCode="#,##0.0">
                  <c:v>1059.6591649278471</c:v>
                </c:pt>
                <c:pt idx="13" formatCode="#,##0.0">
                  <c:v>1076.8561764518176</c:v>
                </c:pt>
                <c:pt idx="14" formatCode="#,##0.0">
                  <c:v>1128.9512666476576</c:v>
                </c:pt>
              </c:numCache>
            </c:numRef>
          </c:val>
          <c:extLst>
            <c:ext xmlns:c16="http://schemas.microsoft.com/office/drawing/2014/chart" uri="{C3380CC4-5D6E-409C-BE32-E72D297353CC}">
              <c16:uniqueId val="{00000000-85F7-4931-98CD-13322E18A8AA}"/>
            </c:ext>
          </c:extLst>
        </c:ser>
        <c:dLbls>
          <c:showLegendKey val="0"/>
          <c:showVal val="0"/>
          <c:showCatName val="0"/>
          <c:showSerName val="0"/>
          <c:showPercent val="0"/>
          <c:showBubbleSize val="0"/>
        </c:dLbls>
        <c:gapWidth val="219"/>
        <c:overlap val="-27"/>
        <c:axId val="1458480128"/>
        <c:axId val="1458480544"/>
      </c:barChart>
      <c:lineChart>
        <c:grouping val="standard"/>
        <c:varyColors val="0"/>
        <c:ser>
          <c:idx val="1"/>
          <c:order val="1"/>
          <c:tx>
            <c:strRef>
              <c:f>Forecasting!$O$6</c:f>
              <c:strCache>
                <c:ptCount val="1"/>
                <c:pt idx="0">
                  <c:v>EPS Growth</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multiLvlStrRef>
              <c:f>Forecasting!$L$7:$M$21</c:f>
              <c:multiLvlStrCache>
                <c:ptCount val="15"/>
                <c:lvl>
                  <c:pt idx="0">
                    <c:v>2014A</c:v>
                  </c:pt>
                  <c:pt idx="1">
                    <c:v>2015A</c:v>
                  </c:pt>
                  <c:pt idx="2">
                    <c:v>2016A</c:v>
                  </c:pt>
                  <c:pt idx="3">
                    <c:v>2017A</c:v>
                  </c:pt>
                  <c:pt idx="4">
                    <c:v>2018A</c:v>
                  </c:pt>
                  <c:pt idx="5">
                    <c:v>2019A</c:v>
                  </c:pt>
                  <c:pt idx="6">
                    <c:v>2020A</c:v>
                  </c:pt>
                  <c:pt idx="7">
                    <c:v>2021A</c:v>
                  </c:pt>
                  <c:pt idx="8">
                    <c:v>2022A</c:v>
                  </c:pt>
                  <c:pt idx="9">
                    <c:v>2023A</c:v>
                  </c:pt>
                  <c:pt idx="10">
                    <c:v>2024E</c:v>
                  </c:pt>
                  <c:pt idx="11">
                    <c:v>2025E</c:v>
                  </c:pt>
                  <c:pt idx="12">
                    <c:v>2026E</c:v>
                  </c:pt>
                  <c:pt idx="13">
                    <c:v>2027E</c:v>
                  </c:pt>
                  <c:pt idx="14">
                    <c:v>2028E</c:v>
                  </c:pt>
                </c:lvl>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lvl>
              </c:multiLvlStrCache>
            </c:multiLvlStrRef>
          </c:cat>
          <c:val>
            <c:numRef>
              <c:f>Forecasting!$O$7:$O$21</c:f>
              <c:numCache>
                <c:formatCode>0.00%;\(0.00%\)</c:formatCode>
                <c:ptCount val="15"/>
                <c:pt idx="1">
                  <c:v>-8.1385468903576452E-3</c:v>
                </c:pt>
                <c:pt idx="2">
                  <c:v>2.2146822430691326E-2</c:v>
                </c:pt>
                <c:pt idx="3">
                  <c:v>0.80792237030220271</c:v>
                </c:pt>
                <c:pt idx="4">
                  <c:v>-0.13060649442134165</c:v>
                </c:pt>
                <c:pt idx="5">
                  <c:v>0.29175052405421864</c:v>
                </c:pt>
                <c:pt idx="6">
                  <c:v>0.26963880496452797</c:v>
                </c:pt>
                <c:pt idx="7">
                  <c:v>-2.8338526015645682E-2</c:v>
                </c:pt>
                <c:pt idx="8">
                  <c:v>-8.3036349550176802E-2</c:v>
                </c:pt>
                <c:pt idx="9">
                  <c:v>-0.12448961293348226</c:v>
                </c:pt>
                <c:pt idx="10" formatCode="0.00%">
                  <c:v>0.3598972113641703</c:v>
                </c:pt>
                <c:pt idx="11" formatCode="0.00%">
                  <c:v>6.3088970616967055E-2</c:v>
                </c:pt>
                <c:pt idx="12" formatCode="0.00%">
                  <c:v>4.2255863876825117E-2</c:v>
                </c:pt>
                <c:pt idx="13" formatCode="0.00%">
                  <c:v>1.6228814031105543E-2</c:v>
                </c:pt>
                <c:pt idx="14" formatCode="0.00%">
                  <c:v>4.8377017595321314E-2</c:v>
                </c:pt>
              </c:numCache>
            </c:numRef>
          </c:val>
          <c:smooth val="0"/>
          <c:extLst>
            <c:ext xmlns:c16="http://schemas.microsoft.com/office/drawing/2014/chart" uri="{C3380CC4-5D6E-409C-BE32-E72D297353CC}">
              <c16:uniqueId val="{00000001-85F7-4931-98CD-13322E18A8AA}"/>
            </c:ext>
          </c:extLst>
        </c:ser>
        <c:dLbls>
          <c:showLegendKey val="0"/>
          <c:showVal val="0"/>
          <c:showCatName val="0"/>
          <c:showSerName val="0"/>
          <c:showPercent val="0"/>
          <c:showBubbleSize val="0"/>
        </c:dLbls>
        <c:marker val="1"/>
        <c:smooth val="0"/>
        <c:axId val="1458480960"/>
        <c:axId val="1458484704"/>
      </c:lineChart>
      <c:catAx>
        <c:axId val="1458480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480544"/>
        <c:crosses val="autoZero"/>
        <c:auto val="1"/>
        <c:lblAlgn val="ctr"/>
        <c:lblOffset val="100"/>
        <c:noMultiLvlLbl val="0"/>
      </c:catAx>
      <c:valAx>
        <c:axId val="14584805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480128"/>
        <c:crosses val="autoZero"/>
        <c:crossBetween val="between"/>
      </c:valAx>
      <c:valAx>
        <c:axId val="145848470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8480960"/>
        <c:crosses val="max"/>
        <c:crossBetween val="between"/>
      </c:valAx>
      <c:catAx>
        <c:axId val="1458480960"/>
        <c:scaling>
          <c:orientation val="minMax"/>
        </c:scaling>
        <c:delete val="1"/>
        <c:axPos val="b"/>
        <c:numFmt formatCode="General" sourceLinked="1"/>
        <c:majorTickMark val="none"/>
        <c:minorTickMark val="none"/>
        <c:tickLblPos val="nextTo"/>
        <c:crossAx val="14584847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solidFill>
      <a:srgbClr val="C00000"/>
    </a:soli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Beta!$C$7:$C$9</c:f>
              <c:strCache>
                <c:ptCount val="3"/>
                <c:pt idx="0">
                  <c:v>Shree Cement Weekly Returns</c:v>
                </c:pt>
                <c:pt idx="2">
                  <c:v>Closing Price</c:v>
                </c:pt>
              </c:strCache>
            </c:strRef>
          </c:tx>
          <c:spPr>
            <a:ln w="22225" cap="rnd" cmpd="sng" algn="ctr">
              <a:solidFill>
                <a:schemeClr val="accent1"/>
              </a:solidFill>
              <a:round/>
            </a:ln>
            <a:effectLst/>
          </c:spPr>
          <c:marker>
            <c:symbol val="none"/>
          </c:marker>
          <c:cat>
            <c:numRef>
              <c:f>Beta!$B$10:$B$114</c:f>
              <c:numCache>
                <c:formatCode>m/d/yyyy</c:formatCode>
                <c:ptCount val="105"/>
                <c:pt idx="0">
                  <c:v>44396</c:v>
                </c:pt>
                <c:pt idx="1">
                  <c:v>44403</c:v>
                </c:pt>
                <c:pt idx="2">
                  <c:v>44410</c:v>
                </c:pt>
                <c:pt idx="3">
                  <c:v>44417</c:v>
                </c:pt>
                <c:pt idx="4">
                  <c:v>44424</c:v>
                </c:pt>
                <c:pt idx="5">
                  <c:v>44431</c:v>
                </c:pt>
                <c:pt idx="6">
                  <c:v>44438</c:v>
                </c:pt>
                <c:pt idx="7">
                  <c:v>44445</c:v>
                </c:pt>
                <c:pt idx="8">
                  <c:v>44452</c:v>
                </c:pt>
                <c:pt idx="9">
                  <c:v>44459</c:v>
                </c:pt>
                <c:pt idx="10">
                  <c:v>44466</c:v>
                </c:pt>
                <c:pt idx="11">
                  <c:v>44473</c:v>
                </c:pt>
                <c:pt idx="12">
                  <c:v>44480</c:v>
                </c:pt>
                <c:pt idx="13">
                  <c:v>44487</c:v>
                </c:pt>
                <c:pt idx="14">
                  <c:v>44494</c:v>
                </c:pt>
                <c:pt idx="15">
                  <c:v>44501</c:v>
                </c:pt>
                <c:pt idx="16">
                  <c:v>44508</c:v>
                </c:pt>
                <c:pt idx="17">
                  <c:v>44515</c:v>
                </c:pt>
                <c:pt idx="18">
                  <c:v>44522</c:v>
                </c:pt>
                <c:pt idx="19">
                  <c:v>44529</c:v>
                </c:pt>
                <c:pt idx="20">
                  <c:v>44536</c:v>
                </c:pt>
                <c:pt idx="21">
                  <c:v>44543</c:v>
                </c:pt>
                <c:pt idx="22">
                  <c:v>44550</c:v>
                </c:pt>
                <c:pt idx="23">
                  <c:v>44557</c:v>
                </c:pt>
                <c:pt idx="24">
                  <c:v>44564</c:v>
                </c:pt>
                <c:pt idx="25">
                  <c:v>44571</c:v>
                </c:pt>
                <c:pt idx="26">
                  <c:v>44578</c:v>
                </c:pt>
                <c:pt idx="27">
                  <c:v>44585</c:v>
                </c:pt>
                <c:pt idx="28">
                  <c:v>44592</c:v>
                </c:pt>
                <c:pt idx="29">
                  <c:v>44599</c:v>
                </c:pt>
                <c:pt idx="30">
                  <c:v>44606</c:v>
                </c:pt>
                <c:pt idx="31">
                  <c:v>44613</c:v>
                </c:pt>
                <c:pt idx="32">
                  <c:v>44620</c:v>
                </c:pt>
                <c:pt idx="33">
                  <c:v>44627</c:v>
                </c:pt>
                <c:pt idx="34">
                  <c:v>44634</c:v>
                </c:pt>
                <c:pt idx="35">
                  <c:v>44641</c:v>
                </c:pt>
                <c:pt idx="36">
                  <c:v>44648</c:v>
                </c:pt>
                <c:pt idx="37">
                  <c:v>44655</c:v>
                </c:pt>
                <c:pt idx="38">
                  <c:v>44662</c:v>
                </c:pt>
                <c:pt idx="39">
                  <c:v>44669</c:v>
                </c:pt>
                <c:pt idx="40">
                  <c:v>44676</c:v>
                </c:pt>
                <c:pt idx="41">
                  <c:v>44683</c:v>
                </c:pt>
                <c:pt idx="42">
                  <c:v>44690</c:v>
                </c:pt>
                <c:pt idx="43">
                  <c:v>44697</c:v>
                </c:pt>
                <c:pt idx="44">
                  <c:v>44704</c:v>
                </c:pt>
                <c:pt idx="45">
                  <c:v>44711</c:v>
                </c:pt>
                <c:pt idx="46">
                  <c:v>44718</c:v>
                </c:pt>
                <c:pt idx="47">
                  <c:v>44725</c:v>
                </c:pt>
                <c:pt idx="48">
                  <c:v>44732</c:v>
                </c:pt>
                <c:pt idx="49">
                  <c:v>44739</c:v>
                </c:pt>
                <c:pt idx="50">
                  <c:v>44746</c:v>
                </c:pt>
                <c:pt idx="51">
                  <c:v>44753</c:v>
                </c:pt>
                <c:pt idx="52">
                  <c:v>44760</c:v>
                </c:pt>
                <c:pt idx="53">
                  <c:v>44767</c:v>
                </c:pt>
                <c:pt idx="54">
                  <c:v>44774</c:v>
                </c:pt>
                <c:pt idx="55">
                  <c:v>44781</c:v>
                </c:pt>
                <c:pt idx="56">
                  <c:v>44788</c:v>
                </c:pt>
                <c:pt idx="57">
                  <c:v>44795</c:v>
                </c:pt>
                <c:pt idx="58">
                  <c:v>44802</c:v>
                </c:pt>
                <c:pt idx="59">
                  <c:v>44809</c:v>
                </c:pt>
                <c:pt idx="60">
                  <c:v>44816</c:v>
                </c:pt>
                <c:pt idx="61">
                  <c:v>44823</c:v>
                </c:pt>
                <c:pt idx="62">
                  <c:v>44830</c:v>
                </c:pt>
                <c:pt idx="63">
                  <c:v>44837</c:v>
                </c:pt>
                <c:pt idx="64">
                  <c:v>44844</c:v>
                </c:pt>
                <c:pt idx="65">
                  <c:v>44851</c:v>
                </c:pt>
                <c:pt idx="66">
                  <c:v>44858</c:v>
                </c:pt>
                <c:pt idx="67">
                  <c:v>44865</c:v>
                </c:pt>
                <c:pt idx="68">
                  <c:v>44872</c:v>
                </c:pt>
                <c:pt idx="69">
                  <c:v>44879</c:v>
                </c:pt>
                <c:pt idx="70">
                  <c:v>44886</c:v>
                </c:pt>
                <c:pt idx="71">
                  <c:v>44893</c:v>
                </c:pt>
                <c:pt idx="72">
                  <c:v>44900</c:v>
                </c:pt>
                <c:pt idx="73">
                  <c:v>44907</c:v>
                </c:pt>
                <c:pt idx="74">
                  <c:v>44914</c:v>
                </c:pt>
                <c:pt idx="75">
                  <c:v>44921</c:v>
                </c:pt>
                <c:pt idx="76">
                  <c:v>44928</c:v>
                </c:pt>
                <c:pt idx="77">
                  <c:v>44935</c:v>
                </c:pt>
                <c:pt idx="78">
                  <c:v>44942</c:v>
                </c:pt>
                <c:pt idx="79">
                  <c:v>44949</c:v>
                </c:pt>
                <c:pt idx="80">
                  <c:v>44956</c:v>
                </c:pt>
                <c:pt idx="81">
                  <c:v>44963</c:v>
                </c:pt>
                <c:pt idx="82">
                  <c:v>44970</c:v>
                </c:pt>
                <c:pt idx="83">
                  <c:v>44977</c:v>
                </c:pt>
                <c:pt idx="84">
                  <c:v>44984</c:v>
                </c:pt>
                <c:pt idx="85">
                  <c:v>44991</c:v>
                </c:pt>
                <c:pt idx="86">
                  <c:v>44998</c:v>
                </c:pt>
                <c:pt idx="87">
                  <c:v>45005</c:v>
                </c:pt>
                <c:pt idx="88">
                  <c:v>45012</c:v>
                </c:pt>
                <c:pt idx="89">
                  <c:v>45019</c:v>
                </c:pt>
                <c:pt idx="90">
                  <c:v>45026</c:v>
                </c:pt>
                <c:pt idx="91">
                  <c:v>45033</c:v>
                </c:pt>
                <c:pt idx="92">
                  <c:v>45040</c:v>
                </c:pt>
                <c:pt idx="93">
                  <c:v>45047</c:v>
                </c:pt>
                <c:pt idx="94">
                  <c:v>45054</c:v>
                </c:pt>
                <c:pt idx="95">
                  <c:v>45061</c:v>
                </c:pt>
                <c:pt idx="96">
                  <c:v>45068</c:v>
                </c:pt>
                <c:pt idx="97">
                  <c:v>45075</c:v>
                </c:pt>
                <c:pt idx="98">
                  <c:v>45082</c:v>
                </c:pt>
                <c:pt idx="99">
                  <c:v>45089</c:v>
                </c:pt>
                <c:pt idx="100">
                  <c:v>45096</c:v>
                </c:pt>
                <c:pt idx="101">
                  <c:v>45103</c:v>
                </c:pt>
                <c:pt idx="102">
                  <c:v>45110</c:v>
                </c:pt>
                <c:pt idx="103">
                  <c:v>45117</c:v>
                </c:pt>
                <c:pt idx="104">
                  <c:v>45124</c:v>
                </c:pt>
              </c:numCache>
            </c:numRef>
          </c:cat>
          <c:val>
            <c:numRef>
              <c:f>Beta!$C$10:$C$114</c:f>
              <c:numCache>
                <c:formatCode>0.00</c:formatCode>
                <c:ptCount val="105"/>
                <c:pt idx="0">
                  <c:v>27703.449218999998</c:v>
                </c:pt>
                <c:pt idx="1">
                  <c:v>28039.884765999999</c:v>
                </c:pt>
                <c:pt idx="2">
                  <c:v>28159.767577999999</c:v>
                </c:pt>
                <c:pt idx="3">
                  <c:v>26387.841797000001</c:v>
                </c:pt>
                <c:pt idx="4">
                  <c:v>26081.0625</c:v>
                </c:pt>
                <c:pt idx="5">
                  <c:v>26682.814452999999</c:v>
                </c:pt>
                <c:pt idx="6">
                  <c:v>30197.552734000001</c:v>
                </c:pt>
                <c:pt idx="7">
                  <c:v>30426.259765999999</c:v>
                </c:pt>
                <c:pt idx="8">
                  <c:v>30315.253906000002</c:v>
                </c:pt>
                <c:pt idx="9">
                  <c:v>29176.775390999999</c:v>
                </c:pt>
                <c:pt idx="10">
                  <c:v>28867.019531000002</c:v>
                </c:pt>
                <c:pt idx="11">
                  <c:v>27535.345702999999</c:v>
                </c:pt>
                <c:pt idx="12">
                  <c:v>27733.054688</c:v>
                </c:pt>
                <c:pt idx="13">
                  <c:v>27516.546875</c:v>
                </c:pt>
                <c:pt idx="14">
                  <c:v>28406.431640999999</c:v>
                </c:pt>
                <c:pt idx="15">
                  <c:v>28815.087890999999</c:v>
                </c:pt>
                <c:pt idx="16">
                  <c:v>29154.058593999998</c:v>
                </c:pt>
                <c:pt idx="17">
                  <c:v>26950.210938</c:v>
                </c:pt>
                <c:pt idx="18">
                  <c:v>25738.472656000002</c:v>
                </c:pt>
                <c:pt idx="19">
                  <c:v>25706.976563</c:v>
                </c:pt>
                <c:pt idx="20">
                  <c:v>26195.439452999999</c:v>
                </c:pt>
                <c:pt idx="21">
                  <c:v>26015.291015999999</c:v>
                </c:pt>
                <c:pt idx="22">
                  <c:v>26100.703125</c:v>
                </c:pt>
                <c:pt idx="23">
                  <c:v>26771.798827999999</c:v>
                </c:pt>
                <c:pt idx="24">
                  <c:v>26830.126952999999</c:v>
                </c:pt>
                <c:pt idx="25">
                  <c:v>26862.070313</c:v>
                </c:pt>
                <c:pt idx="26">
                  <c:v>24837.130859000001</c:v>
                </c:pt>
                <c:pt idx="27">
                  <c:v>23931.923827999999</c:v>
                </c:pt>
                <c:pt idx="28">
                  <c:v>24526.482422000001</c:v>
                </c:pt>
                <c:pt idx="29">
                  <c:v>24701.328125</c:v>
                </c:pt>
                <c:pt idx="30">
                  <c:v>24197.736327999999</c:v>
                </c:pt>
                <c:pt idx="31">
                  <c:v>23833.916015999999</c:v>
                </c:pt>
                <c:pt idx="32">
                  <c:v>22409.753906000002</c:v>
                </c:pt>
                <c:pt idx="33">
                  <c:v>22254.972656000002</c:v>
                </c:pt>
                <c:pt idx="34">
                  <c:v>23940.001952999999</c:v>
                </c:pt>
                <c:pt idx="35">
                  <c:v>23114.330077999999</c:v>
                </c:pt>
                <c:pt idx="36">
                  <c:v>24459.394531000002</c:v>
                </c:pt>
                <c:pt idx="37">
                  <c:v>25103.15625</c:v>
                </c:pt>
                <c:pt idx="38">
                  <c:v>25205.414063</c:v>
                </c:pt>
                <c:pt idx="39">
                  <c:v>25694.046875</c:v>
                </c:pt>
                <c:pt idx="40">
                  <c:v>25759.882813</c:v>
                </c:pt>
                <c:pt idx="41">
                  <c:v>23824.179688</c:v>
                </c:pt>
                <c:pt idx="42">
                  <c:v>22424.660156000002</c:v>
                </c:pt>
                <c:pt idx="43">
                  <c:v>21864.025390999999</c:v>
                </c:pt>
                <c:pt idx="44">
                  <c:v>21790.339843999998</c:v>
                </c:pt>
                <c:pt idx="45">
                  <c:v>20509.326172000001</c:v>
                </c:pt>
                <c:pt idx="46">
                  <c:v>19059.275390999999</c:v>
                </c:pt>
                <c:pt idx="47">
                  <c:v>17933.238281000002</c:v>
                </c:pt>
                <c:pt idx="48">
                  <c:v>18676.476563</c:v>
                </c:pt>
                <c:pt idx="49">
                  <c:v>19094.003906000002</c:v>
                </c:pt>
                <c:pt idx="50">
                  <c:v>19808.523438</c:v>
                </c:pt>
                <c:pt idx="51">
                  <c:v>19578.962890999999</c:v>
                </c:pt>
                <c:pt idx="52">
                  <c:v>20697.097656000002</c:v>
                </c:pt>
                <c:pt idx="53">
                  <c:v>20416.220702999999</c:v>
                </c:pt>
                <c:pt idx="54">
                  <c:v>21152.671875</c:v>
                </c:pt>
                <c:pt idx="55">
                  <c:v>21067.810547000001</c:v>
                </c:pt>
                <c:pt idx="56">
                  <c:v>21337.730468999998</c:v>
                </c:pt>
                <c:pt idx="57">
                  <c:v>22009.740234000001</c:v>
                </c:pt>
                <c:pt idx="58">
                  <c:v>21004.267577999999</c:v>
                </c:pt>
                <c:pt idx="59">
                  <c:v>24407.833984000001</c:v>
                </c:pt>
                <c:pt idx="60">
                  <c:v>23224.671875</c:v>
                </c:pt>
                <c:pt idx="61">
                  <c:v>21116.865234000001</c:v>
                </c:pt>
                <c:pt idx="62">
                  <c:v>20949.1875</c:v>
                </c:pt>
                <c:pt idx="63">
                  <c:v>21198.837890999999</c:v>
                </c:pt>
                <c:pt idx="64">
                  <c:v>21103.96875</c:v>
                </c:pt>
                <c:pt idx="65">
                  <c:v>20851.675781000002</c:v>
                </c:pt>
                <c:pt idx="66">
                  <c:v>21692.957031000002</c:v>
                </c:pt>
                <c:pt idx="67">
                  <c:v>22871.984375</c:v>
                </c:pt>
                <c:pt idx="68">
                  <c:v>22772.783202999999</c:v>
                </c:pt>
                <c:pt idx="69">
                  <c:v>23055.650390999999</c:v>
                </c:pt>
                <c:pt idx="70">
                  <c:v>23111.775390999999</c:v>
                </c:pt>
                <c:pt idx="71">
                  <c:v>23998.720702999999</c:v>
                </c:pt>
                <c:pt idx="72">
                  <c:v>24344.039063</c:v>
                </c:pt>
                <c:pt idx="73">
                  <c:v>23631.144531000002</c:v>
                </c:pt>
                <c:pt idx="74">
                  <c:v>23178.558593999998</c:v>
                </c:pt>
                <c:pt idx="75">
                  <c:v>23196.535156000002</c:v>
                </c:pt>
                <c:pt idx="76">
                  <c:v>23757.886718999998</c:v>
                </c:pt>
                <c:pt idx="77">
                  <c:v>24043.443359000001</c:v>
                </c:pt>
                <c:pt idx="78">
                  <c:v>24323.521484000001</c:v>
                </c:pt>
                <c:pt idx="79">
                  <c:v>21813.822265999999</c:v>
                </c:pt>
                <c:pt idx="80">
                  <c:v>24369.984375</c:v>
                </c:pt>
                <c:pt idx="81">
                  <c:v>23874.966797000001</c:v>
                </c:pt>
                <c:pt idx="82">
                  <c:v>25654.640625</c:v>
                </c:pt>
                <c:pt idx="83">
                  <c:v>25357.259765999999</c:v>
                </c:pt>
                <c:pt idx="84">
                  <c:v>25599.828125</c:v>
                </c:pt>
                <c:pt idx="85">
                  <c:v>26124.527343999998</c:v>
                </c:pt>
                <c:pt idx="86">
                  <c:v>25106.757813</c:v>
                </c:pt>
                <c:pt idx="87">
                  <c:v>25455.892577999999</c:v>
                </c:pt>
                <c:pt idx="88">
                  <c:v>26129.714843999998</c:v>
                </c:pt>
                <c:pt idx="89">
                  <c:v>26107.513672000001</c:v>
                </c:pt>
                <c:pt idx="90">
                  <c:v>25751.792968999998</c:v>
                </c:pt>
                <c:pt idx="91">
                  <c:v>23834.84375</c:v>
                </c:pt>
                <c:pt idx="92">
                  <c:v>24281.263672000001</c:v>
                </c:pt>
                <c:pt idx="93">
                  <c:v>24462.617188</c:v>
                </c:pt>
                <c:pt idx="94">
                  <c:v>24696.753906000002</c:v>
                </c:pt>
                <c:pt idx="95">
                  <c:v>24355.302734000001</c:v>
                </c:pt>
                <c:pt idx="96">
                  <c:v>24922.410156000002</c:v>
                </c:pt>
                <c:pt idx="97">
                  <c:v>24983.677734000001</c:v>
                </c:pt>
                <c:pt idx="98">
                  <c:v>25447.800781000002</c:v>
                </c:pt>
                <c:pt idx="99">
                  <c:v>26213.150390999999</c:v>
                </c:pt>
                <c:pt idx="100">
                  <c:v>25145.25</c:v>
                </c:pt>
                <c:pt idx="101">
                  <c:v>23886.449218999998</c:v>
                </c:pt>
                <c:pt idx="102">
                  <c:v>23883.349609000001</c:v>
                </c:pt>
                <c:pt idx="103">
                  <c:v>24339.650390999999</c:v>
                </c:pt>
                <c:pt idx="104">
                  <c:v>24117.949218999998</c:v>
                </c:pt>
              </c:numCache>
            </c:numRef>
          </c:val>
          <c:smooth val="0"/>
          <c:extLst>
            <c:ext xmlns:c16="http://schemas.microsoft.com/office/drawing/2014/chart" uri="{C3380CC4-5D6E-409C-BE32-E72D297353CC}">
              <c16:uniqueId val="{00000000-C67A-4A5E-B190-A33C0159CB25}"/>
            </c:ext>
          </c:extLst>
        </c:ser>
        <c:ser>
          <c:idx val="1"/>
          <c:order val="1"/>
          <c:tx>
            <c:strRef>
              <c:f>Beta!$R$7:$R$9</c:f>
              <c:strCache>
                <c:ptCount val="3"/>
                <c:pt idx="0">
                  <c:v>NIFTY Returns</c:v>
                </c:pt>
                <c:pt idx="2">
                  <c:v>Closing Price</c:v>
                </c:pt>
              </c:strCache>
            </c:strRef>
          </c:tx>
          <c:spPr>
            <a:ln w="22225" cap="rnd" cmpd="sng" algn="ctr">
              <a:solidFill>
                <a:schemeClr val="accent2"/>
              </a:solidFill>
              <a:round/>
            </a:ln>
            <a:effectLst/>
          </c:spPr>
          <c:marker>
            <c:symbol val="none"/>
          </c:marker>
          <c:cat>
            <c:numRef>
              <c:f>Beta!$B$10:$B$114</c:f>
              <c:numCache>
                <c:formatCode>m/d/yyyy</c:formatCode>
                <c:ptCount val="105"/>
                <c:pt idx="0">
                  <c:v>44396</c:v>
                </c:pt>
                <c:pt idx="1">
                  <c:v>44403</c:v>
                </c:pt>
                <c:pt idx="2">
                  <c:v>44410</c:v>
                </c:pt>
                <c:pt idx="3">
                  <c:v>44417</c:v>
                </c:pt>
                <c:pt idx="4">
                  <c:v>44424</c:v>
                </c:pt>
                <c:pt idx="5">
                  <c:v>44431</c:v>
                </c:pt>
                <c:pt idx="6">
                  <c:v>44438</c:v>
                </c:pt>
                <c:pt idx="7">
                  <c:v>44445</c:v>
                </c:pt>
                <c:pt idx="8">
                  <c:v>44452</c:v>
                </c:pt>
                <c:pt idx="9">
                  <c:v>44459</c:v>
                </c:pt>
                <c:pt idx="10">
                  <c:v>44466</c:v>
                </c:pt>
                <c:pt idx="11">
                  <c:v>44473</c:v>
                </c:pt>
                <c:pt idx="12">
                  <c:v>44480</c:v>
                </c:pt>
                <c:pt idx="13">
                  <c:v>44487</c:v>
                </c:pt>
                <c:pt idx="14">
                  <c:v>44494</c:v>
                </c:pt>
                <c:pt idx="15">
                  <c:v>44501</c:v>
                </c:pt>
                <c:pt idx="16">
                  <c:v>44508</c:v>
                </c:pt>
                <c:pt idx="17">
                  <c:v>44515</c:v>
                </c:pt>
                <c:pt idx="18">
                  <c:v>44522</c:v>
                </c:pt>
                <c:pt idx="19">
                  <c:v>44529</c:v>
                </c:pt>
                <c:pt idx="20">
                  <c:v>44536</c:v>
                </c:pt>
                <c:pt idx="21">
                  <c:v>44543</c:v>
                </c:pt>
                <c:pt idx="22">
                  <c:v>44550</c:v>
                </c:pt>
                <c:pt idx="23">
                  <c:v>44557</c:v>
                </c:pt>
                <c:pt idx="24">
                  <c:v>44564</c:v>
                </c:pt>
                <c:pt idx="25">
                  <c:v>44571</c:v>
                </c:pt>
                <c:pt idx="26">
                  <c:v>44578</c:v>
                </c:pt>
                <c:pt idx="27">
                  <c:v>44585</c:v>
                </c:pt>
                <c:pt idx="28">
                  <c:v>44592</c:v>
                </c:pt>
                <c:pt idx="29">
                  <c:v>44599</c:v>
                </c:pt>
                <c:pt idx="30">
                  <c:v>44606</c:v>
                </c:pt>
                <c:pt idx="31">
                  <c:v>44613</c:v>
                </c:pt>
                <c:pt idx="32">
                  <c:v>44620</c:v>
                </c:pt>
                <c:pt idx="33">
                  <c:v>44627</c:v>
                </c:pt>
                <c:pt idx="34">
                  <c:v>44634</c:v>
                </c:pt>
                <c:pt idx="35">
                  <c:v>44641</c:v>
                </c:pt>
                <c:pt idx="36">
                  <c:v>44648</c:v>
                </c:pt>
                <c:pt idx="37">
                  <c:v>44655</c:v>
                </c:pt>
                <c:pt idx="38">
                  <c:v>44662</c:v>
                </c:pt>
                <c:pt idx="39">
                  <c:v>44669</c:v>
                </c:pt>
                <c:pt idx="40">
                  <c:v>44676</c:v>
                </c:pt>
                <c:pt idx="41">
                  <c:v>44683</c:v>
                </c:pt>
                <c:pt idx="42">
                  <c:v>44690</c:v>
                </c:pt>
                <c:pt idx="43">
                  <c:v>44697</c:v>
                </c:pt>
                <c:pt idx="44">
                  <c:v>44704</c:v>
                </c:pt>
                <c:pt idx="45">
                  <c:v>44711</c:v>
                </c:pt>
                <c:pt idx="46">
                  <c:v>44718</c:v>
                </c:pt>
                <c:pt idx="47">
                  <c:v>44725</c:v>
                </c:pt>
                <c:pt idx="48">
                  <c:v>44732</c:v>
                </c:pt>
                <c:pt idx="49">
                  <c:v>44739</c:v>
                </c:pt>
                <c:pt idx="50">
                  <c:v>44746</c:v>
                </c:pt>
                <c:pt idx="51">
                  <c:v>44753</c:v>
                </c:pt>
                <c:pt idx="52">
                  <c:v>44760</c:v>
                </c:pt>
                <c:pt idx="53">
                  <c:v>44767</c:v>
                </c:pt>
                <c:pt idx="54">
                  <c:v>44774</c:v>
                </c:pt>
                <c:pt idx="55">
                  <c:v>44781</c:v>
                </c:pt>
                <c:pt idx="56">
                  <c:v>44788</c:v>
                </c:pt>
                <c:pt idx="57">
                  <c:v>44795</c:v>
                </c:pt>
                <c:pt idx="58">
                  <c:v>44802</c:v>
                </c:pt>
                <c:pt idx="59">
                  <c:v>44809</c:v>
                </c:pt>
                <c:pt idx="60">
                  <c:v>44816</c:v>
                </c:pt>
                <c:pt idx="61">
                  <c:v>44823</c:v>
                </c:pt>
                <c:pt idx="62">
                  <c:v>44830</c:v>
                </c:pt>
                <c:pt idx="63">
                  <c:v>44837</c:v>
                </c:pt>
                <c:pt idx="64">
                  <c:v>44844</c:v>
                </c:pt>
                <c:pt idx="65">
                  <c:v>44851</c:v>
                </c:pt>
                <c:pt idx="66">
                  <c:v>44858</c:v>
                </c:pt>
                <c:pt idx="67">
                  <c:v>44865</c:v>
                </c:pt>
                <c:pt idx="68">
                  <c:v>44872</c:v>
                </c:pt>
                <c:pt idx="69">
                  <c:v>44879</c:v>
                </c:pt>
                <c:pt idx="70">
                  <c:v>44886</c:v>
                </c:pt>
                <c:pt idx="71">
                  <c:v>44893</c:v>
                </c:pt>
                <c:pt idx="72">
                  <c:v>44900</c:v>
                </c:pt>
                <c:pt idx="73">
                  <c:v>44907</c:v>
                </c:pt>
                <c:pt idx="74">
                  <c:v>44914</c:v>
                </c:pt>
                <c:pt idx="75">
                  <c:v>44921</c:v>
                </c:pt>
                <c:pt idx="76">
                  <c:v>44928</c:v>
                </c:pt>
                <c:pt idx="77">
                  <c:v>44935</c:v>
                </c:pt>
                <c:pt idx="78">
                  <c:v>44942</c:v>
                </c:pt>
                <c:pt idx="79">
                  <c:v>44949</c:v>
                </c:pt>
                <c:pt idx="80">
                  <c:v>44956</c:v>
                </c:pt>
                <c:pt idx="81">
                  <c:v>44963</c:v>
                </c:pt>
                <c:pt idx="82">
                  <c:v>44970</c:v>
                </c:pt>
                <c:pt idx="83">
                  <c:v>44977</c:v>
                </c:pt>
                <c:pt idx="84">
                  <c:v>44984</c:v>
                </c:pt>
                <c:pt idx="85">
                  <c:v>44991</c:v>
                </c:pt>
                <c:pt idx="86">
                  <c:v>44998</c:v>
                </c:pt>
                <c:pt idx="87">
                  <c:v>45005</c:v>
                </c:pt>
                <c:pt idx="88">
                  <c:v>45012</c:v>
                </c:pt>
                <c:pt idx="89">
                  <c:v>45019</c:v>
                </c:pt>
                <c:pt idx="90">
                  <c:v>45026</c:v>
                </c:pt>
                <c:pt idx="91">
                  <c:v>45033</c:v>
                </c:pt>
                <c:pt idx="92">
                  <c:v>45040</c:v>
                </c:pt>
                <c:pt idx="93">
                  <c:v>45047</c:v>
                </c:pt>
                <c:pt idx="94">
                  <c:v>45054</c:v>
                </c:pt>
                <c:pt idx="95">
                  <c:v>45061</c:v>
                </c:pt>
                <c:pt idx="96">
                  <c:v>45068</c:v>
                </c:pt>
                <c:pt idx="97">
                  <c:v>45075</c:v>
                </c:pt>
                <c:pt idx="98">
                  <c:v>45082</c:v>
                </c:pt>
                <c:pt idx="99">
                  <c:v>45089</c:v>
                </c:pt>
                <c:pt idx="100">
                  <c:v>45096</c:v>
                </c:pt>
                <c:pt idx="101">
                  <c:v>45103</c:v>
                </c:pt>
                <c:pt idx="102">
                  <c:v>45110</c:v>
                </c:pt>
                <c:pt idx="103">
                  <c:v>45117</c:v>
                </c:pt>
                <c:pt idx="104">
                  <c:v>45124</c:v>
                </c:pt>
              </c:numCache>
            </c:numRef>
          </c:cat>
          <c:val>
            <c:numRef>
              <c:f>Beta!$R$10:$R$114</c:f>
              <c:numCache>
                <c:formatCode>0.00</c:formatCode>
                <c:ptCount val="105"/>
                <c:pt idx="0">
                  <c:v>15856.049805000001</c:v>
                </c:pt>
                <c:pt idx="1">
                  <c:v>15763.049805000001</c:v>
                </c:pt>
                <c:pt idx="2">
                  <c:v>16238.200194999999</c:v>
                </c:pt>
                <c:pt idx="3">
                  <c:v>16529.099609000001</c:v>
                </c:pt>
                <c:pt idx="4">
                  <c:v>16450.5</c:v>
                </c:pt>
                <c:pt idx="5">
                  <c:v>16705.199218999998</c:v>
                </c:pt>
                <c:pt idx="6">
                  <c:v>17323.599609000001</c:v>
                </c:pt>
                <c:pt idx="7">
                  <c:v>17369.25</c:v>
                </c:pt>
                <c:pt idx="8">
                  <c:v>17585.150390999999</c:v>
                </c:pt>
                <c:pt idx="9">
                  <c:v>17853.199218999998</c:v>
                </c:pt>
                <c:pt idx="10">
                  <c:v>17532.050781000002</c:v>
                </c:pt>
                <c:pt idx="11">
                  <c:v>17895.199218999998</c:v>
                </c:pt>
                <c:pt idx="12">
                  <c:v>18338.550781000002</c:v>
                </c:pt>
                <c:pt idx="13">
                  <c:v>18114.900390999999</c:v>
                </c:pt>
                <c:pt idx="14">
                  <c:v>17671.650390999999</c:v>
                </c:pt>
                <c:pt idx="15">
                  <c:v>17916.800781000002</c:v>
                </c:pt>
                <c:pt idx="16">
                  <c:v>18102.75</c:v>
                </c:pt>
                <c:pt idx="17">
                  <c:v>17764.800781000002</c:v>
                </c:pt>
                <c:pt idx="18">
                  <c:v>17026.449218999998</c:v>
                </c:pt>
                <c:pt idx="19">
                  <c:v>17196.699218999998</c:v>
                </c:pt>
                <c:pt idx="20">
                  <c:v>17511.300781000002</c:v>
                </c:pt>
                <c:pt idx="21">
                  <c:v>16985.199218999998</c:v>
                </c:pt>
                <c:pt idx="22">
                  <c:v>17003.75</c:v>
                </c:pt>
                <c:pt idx="23">
                  <c:v>17354.050781000002</c:v>
                </c:pt>
                <c:pt idx="24">
                  <c:v>17812.699218999998</c:v>
                </c:pt>
                <c:pt idx="25">
                  <c:v>18255.75</c:v>
                </c:pt>
                <c:pt idx="26">
                  <c:v>17617.150390999999</c:v>
                </c:pt>
                <c:pt idx="27">
                  <c:v>17101.949218999998</c:v>
                </c:pt>
                <c:pt idx="28">
                  <c:v>17516.300781000002</c:v>
                </c:pt>
                <c:pt idx="29">
                  <c:v>17374.75</c:v>
                </c:pt>
                <c:pt idx="30">
                  <c:v>17276.300781000002</c:v>
                </c:pt>
                <c:pt idx="31">
                  <c:v>16658.400390999999</c:v>
                </c:pt>
                <c:pt idx="32">
                  <c:v>16245.349609000001</c:v>
                </c:pt>
                <c:pt idx="33">
                  <c:v>16630.449218999998</c:v>
                </c:pt>
                <c:pt idx="34">
                  <c:v>17287.050781000002</c:v>
                </c:pt>
                <c:pt idx="35">
                  <c:v>17153</c:v>
                </c:pt>
                <c:pt idx="36">
                  <c:v>17670.449218999998</c:v>
                </c:pt>
                <c:pt idx="37">
                  <c:v>17784.349609000001</c:v>
                </c:pt>
                <c:pt idx="38">
                  <c:v>17475.650390999999</c:v>
                </c:pt>
                <c:pt idx="39">
                  <c:v>17171.949218999998</c:v>
                </c:pt>
                <c:pt idx="40">
                  <c:v>17102.550781000002</c:v>
                </c:pt>
                <c:pt idx="41">
                  <c:v>16411.25</c:v>
                </c:pt>
                <c:pt idx="42">
                  <c:v>15782.150390999999</c:v>
                </c:pt>
                <c:pt idx="43">
                  <c:v>16266.150390999999</c:v>
                </c:pt>
                <c:pt idx="44">
                  <c:v>16352.450194999999</c:v>
                </c:pt>
                <c:pt idx="45">
                  <c:v>16584.300781000002</c:v>
                </c:pt>
                <c:pt idx="46">
                  <c:v>16201.799805000001</c:v>
                </c:pt>
                <c:pt idx="47">
                  <c:v>15293.5</c:v>
                </c:pt>
                <c:pt idx="48">
                  <c:v>15699.25</c:v>
                </c:pt>
                <c:pt idx="49">
                  <c:v>15752.049805000001</c:v>
                </c:pt>
                <c:pt idx="50">
                  <c:v>16220.599609000001</c:v>
                </c:pt>
                <c:pt idx="51">
                  <c:v>16049.200194999999</c:v>
                </c:pt>
                <c:pt idx="52">
                  <c:v>16719.449218999998</c:v>
                </c:pt>
                <c:pt idx="53">
                  <c:v>17158.25</c:v>
                </c:pt>
                <c:pt idx="54">
                  <c:v>17397.5</c:v>
                </c:pt>
                <c:pt idx="55">
                  <c:v>17698.150390999999</c:v>
                </c:pt>
                <c:pt idx="56">
                  <c:v>17758.449218999998</c:v>
                </c:pt>
                <c:pt idx="57">
                  <c:v>17558.900390999999</c:v>
                </c:pt>
                <c:pt idx="58">
                  <c:v>17539.449218999998</c:v>
                </c:pt>
                <c:pt idx="59">
                  <c:v>17833.349609000001</c:v>
                </c:pt>
                <c:pt idx="60">
                  <c:v>17530.849609000001</c:v>
                </c:pt>
                <c:pt idx="61">
                  <c:v>17327.349609000001</c:v>
                </c:pt>
                <c:pt idx="62">
                  <c:v>17094.349609000001</c:v>
                </c:pt>
                <c:pt idx="63">
                  <c:v>17314.650390999999</c:v>
                </c:pt>
                <c:pt idx="64">
                  <c:v>17185.699218999998</c:v>
                </c:pt>
                <c:pt idx="65">
                  <c:v>17576.300781000002</c:v>
                </c:pt>
                <c:pt idx="66">
                  <c:v>17786.800781000002</c:v>
                </c:pt>
                <c:pt idx="67">
                  <c:v>18117.150390999999</c:v>
                </c:pt>
                <c:pt idx="68">
                  <c:v>18349.699218999998</c:v>
                </c:pt>
                <c:pt idx="69">
                  <c:v>18307.650390999999</c:v>
                </c:pt>
                <c:pt idx="70">
                  <c:v>18512.75</c:v>
                </c:pt>
                <c:pt idx="71">
                  <c:v>18696.099609000001</c:v>
                </c:pt>
                <c:pt idx="72">
                  <c:v>18496.599609000001</c:v>
                </c:pt>
                <c:pt idx="73">
                  <c:v>18269</c:v>
                </c:pt>
                <c:pt idx="74">
                  <c:v>17806.800781000002</c:v>
                </c:pt>
                <c:pt idx="75">
                  <c:v>18105.300781000002</c:v>
                </c:pt>
                <c:pt idx="76">
                  <c:v>17859.449218999998</c:v>
                </c:pt>
                <c:pt idx="77">
                  <c:v>17956.599609000001</c:v>
                </c:pt>
                <c:pt idx="78">
                  <c:v>18027.650390999999</c:v>
                </c:pt>
                <c:pt idx="79">
                  <c:v>17604.349609000001</c:v>
                </c:pt>
                <c:pt idx="80">
                  <c:v>17854.050781000002</c:v>
                </c:pt>
                <c:pt idx="81">
                  <c:v>17856.5</c:v>
                </c:pt>
                <c:pt idx="82">
                  <c:v>17944.199218999998</c:v>
                </c:pt>
                <c:pt idx="83">
                  <c:v>17465.800781000002</c:v>
                </c:pt>
                <c:pt idx="84">
                  <c:v>17594.349609000001</c:v>
                </c:pt>
                <c:pt idx="85">
                  <c:v>17412.900390999999</c:v>
                </c:pt>
                <c:pt idx="86">
                  <c:v>17100.050781000002</c:v>
                </c:pt>
                <c:pt idx="87">
                  <c:v>16945.050781000002</c:v>
                </c:pt>
                <c:pt idx="88">
                  <c:v>17359.75</c:v>
                </c:pt>
                <c:pt idx="89">
                  <c:v>17599.150390999999</c:v>
                </c:pt>
                <c:pt idx="90">
                  <c:v>17828</c:v>
                </c:pt>
                <c:pt idx="91">
                  <c:v>17624.050781000002</c:v>
                </c:pt>
                <c:pt idx="92">
                  <c:v>18065</c:v>
                </c:pt>
                <c:pt idx="93">
                  <c:v>18069</c:v>
                </c:pt>
                <c:pt idx="94">
                  <c:v>18314.800781000002</c:v>
                </c:pt>
                <c:pt idx="95">
                  <c:v>18203.400390999999</c:v>
                </c:pt>
                <c:pt idx="96">
                  <c:v>18499.349609000001</c:v>
                </c:pt>
                <c:pt idx="97">
                  <c:v>18534.099609000001</c:v>
                </c:pt>
                <c:pt idx="98">
                  <c:v>18563.400390999999</c:v>
                </c:pt>
                <c:pt idx="99">
                  <c:v>18826</c:v>
                </c:pt>
                <c:pt idx="100">
                  <c:v>18665.5</c:v>
                </c:pt>
                <c:pt idx="101">
                  <c:v>19189.050781000002</c:v>
                </c:pt>
                <c:pt idx="102">
                  <c:v>19331.800781000002</c:v>
                </c:pt>
                <c:pt idx="103">
                  <c:v>19564.5</c:v>
                </c:pt>
                <c:pt idx="104">
                  <c:v>19711.449218999998</c:v>
                </c:pt>
              </c:numCache>
            </c:numRef>
          </c:val>
          <c:smooth val="0"/>
          <c:extLst>
            <c:ext xmlns:c16="http://schemas.microsoft.com/office/drawing/2014/chart" uri="{C3380CC4-5D6E-409C-BE32-E72D297353CC}">
              <c16:uniqueId val="{00000001-C67A-4A5E-B190-A33C0159CB2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302580784"/>
        <c:axId val="1302573296"/>
      </c:lineChart>
      <c:dateAx>
        <c:axId val="1302580784"/>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02573296"/>
        <c:crosses val="autoZero"/>
        <c:auto val="1"/>
        <c:lblOffset val="100"/>
        <c:baseTimeUnit val="days"/>
      </c:dateAx>
      <c:valAx>
        <c:axId val="13025732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302580784"/>
        <c:crosses val="autoZero"/>
        <c:crossBetween val="between"/>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rgbClr val="C00000"/>
    </a:solidFill>
    <a:ln w="9525" cap="flat" cmpd="sng" algn="ctr">
      <a:solidFill>
        <a:schemeClr val="dk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Regression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53255788796465"/>
          <c:y val="0.156354389034704"/>
          <c:w val="0.80425918635170601"/>
          <c:h val="0.72088764946048411"/>
        </c:manualLayout>
      </c:layout>
      <c:scatterChart>
        <c:scatterStyle val="lineMarker"/>
        <c:varyColors val="0"/>
        <c:ser>
          <c:idx val="0"/>
          <c:order val="0"/>
          <c:tx>
            <c:strRef>
              <c:f>'Forecasting Methods'!$D$3</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sq">
                <a:solidFill>
                  <a:schemeClr val="tx1">
                    <a:alpha val="79000"/>
                  </a:schemeClr>
                </a:solidFill>
                <a:prstDash val="solid"/>
                <a:round/>
              </a:ln>
              <a:effectLst/>
            </c:spPr>
            <c:trendlineType val="linear"/>
            <c:dispRSqr val="0"/>
            <c:dispEq val="0"/>
          </c:trendline>
          <c:xVal>
            <c:numRef>
              <c:f>'Forecasting Methods'!$C$4:$C$13</c:f>
              <c:numCache>
                <c:formatCode>0\ "A"</c:formatCode>
                <c:ptCount val="10"/>
                <c:pt idx="0">
                  <c:v>2014</c:v>
                </c:pt>
                <c:pt idx="1">
                  <c:v>2015</c:v>
                </c:pt>
                <c:pt idx="2">
                  <c:v>2016</c:v>
                </c:pt>
                <c:pt idx="3">
                  <c:v>2017</c:v>
                </c:pt>
                <c:pt idx="4">
                  <c:v>2018</c:v>
                </c:pt>
                <c:pt idx="5">
                  <c:v>2019</c:v>
                </c:pt>
                <c:pt idx="6">
                  <c:v>2020</c:v>
                </c:pt>
                <c:pt idx="7">
                  <c:v>2021</c:v>
                </c:pt>
                <c:pt idx="8">
                  <c:v>2022</c:v>
                </c:pt>
                <c:pt idx="9">
                  <c:v>2023</c:v>
                </c:pt>
              </c:numCache>
            </c:numRef>
          </c:xVal>
          <c:yVal>
            <c:numRef>
              <c:f>'Forecasting Methods'!$D$4:$D$13</c:f>
              <c:numCache>
                <c:formatCode>#,##0.0</c:formatCode>
                <c:ptCount val="10"/>
                <c:pt idx="0">
                  <c:v>5715</c:v>
                </c:pt>
                <c:pt idx="1">
                  <c:v>6259</c:v>
                </c:pt>
                <c:pt idx="2">
                  <c:v>5514</c:v>
                </c:pt>
                <c:pt idx="3">
                  <c:v>8594</c:v>
                </c:pt>
                <c:pt idx="4">
                  <c:v>9826</c:v>
                </c:pt>
                <c:pt idx="5">
                  <c:v>11722</c:v>
                </c:pt>
                <c:pt idx="6">
                  <c:v>11904</c:v>
                </c:pt>
                <c:pt idx="7">
                  <c:v>12669</c:v>
                </c:pt>
                <c:pt idx="8">
                  <c:v>14306</c:v>
                </c:pt>
                <c:pt idx="9">
                  <c:v>16837</c:v>
                </c:pt>
              </c:numCache>
            </c:numRef>
          </c:yVal>
          <c:smooth val="0"/>
          <c:extLst>
            <c:ext xmlns:c16="http://schemas.microsoft.com/office/drawing/2014/chart" uri="{C3380CC4-5D6E-409C-BE32-E72D297353CC}">
              <c16:uniqueId val="{00000000-110E-468C-A6C3-51BD89C34F85}"/>
            </c:ext>
          </c:extLst>
        </c:ser>
        <c:dLbls>
          <c:showLegendKey val="0"/>
          <c:showVal val="0"/>
          <c:showCatName val="0"/>
          <c:showSerName val="0"/>
          <c:showPercent val="0"/>
          <c:showBubbleSize val="0"/>
        </c:dLbls>
        <c:axId val="423136272"/>
        <c:axId val="423136688"/>
      </c:scatterChart>
      <c:valAx>
        <c:axId val="423136272"/>
        <c:scaling>
          <c:orientation val="minMax"/>
        </c:scaling>
        <c:delete val="0"/>
        <c:axPos val="b"/>
        <c:majorGridlines>
          <c:spPr>
            <a:ln w="9525" cap="flat" cmpd="sng" algn="ctr">
              <a:solidFill>
                <a:schemeClr val="tx1">
                  <a:lumMod val="15000"/>
                  <a:lumOff val="85000"/>
                </a:schemeClr>
              </a:solidFill>
              <a:round/>
            </a:ln>
            <a:effectLst/>
          </c:spPr>
        </c:majorGridlines>
        <c:numFmt formatCode="0\ &quot;A&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36688"/>
        <c:crosses val="autoZero"/>
        <c:crossBetween val="midCat"/>
      </c:valAx>
      <c:valAx>
        <c:axId val="4231366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36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 /><Relationship Id="rId2" Type="http://schemas.openxmlformats.org/officeDocument/2006/relationships/image" Target="../media/image2.jpeg" /><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image" Target="../media/image2.jpeg" /><Relationship Id="rId4" Type="http://schemas.openxmlformats.org/officeDocument/2006/relationships/chart" Target="../charts/chart4.xml" /></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8.xml.rels><?xml version="1.0" encoding="UTF-8" standalone="yes"?>
<Relationships xmlns="http://schemas.openxmlformats.org/package/2006/relationships"><Relationship Id="rId2" Type="http://schemas.openxmlformats.org/officeDocument/2006/relationships/chart" Target="../charts/chart5.xml" /><Relationship Id="rId1" Type="http://schemas.openxmlformats.org/officeDocument/2006/relationships/image" Target="../media/image2.jpeg" /></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 /></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dr:twoCellAnchor editAs="oneCell">
    <xdr:from>
      <xdr:col>13</xdr:col>
      <xdr:colOff>438150</xdr:colOff>
      <xdr:row>4</xdr:row>
      <xdr:rowOff>180975</xdr:rowOff>
    </xdr:from>
    <xdr:to>
      <xdr:col>14</xdr:col>
      <xdr:colOff>133350</xdr:colOff>
      <xdr:row>6</xdr:row>
      <xdr:rowOff>104775</xdr:rowOff>
    </xdr:to>
    <xdr:sp macro="" textlink="">
      <xdr:nvSpPr>
        <xdr:cNvPr id="14339" name="AutoShape 3" descr="SHREE CEMENT LTD">
          <a:extLst>
            <a:ext uri="{FF2B5EF4-FFF2-40B4-BE49-F238E27FC236}">
              <a16:creationId xmlns:a16="http://schemas.microsoft.com/office/drawing/2014/main" id="{A0746ACC-CFD4-4ACC-9C90-10CFCD84A712}"/>
            </a:ext>
          </a:extLst>
        </xdr:cNvPr>
        <xdr:cNvSpPr>
          <a:spLocks noChangeAspect="1" noChangeArrowheads="1"/>
        </xdr:cNvSpPr>
      </xdr:nvSpPr>
      <xdr:spPr bwMode="auto">
        <a:xfrm>
          <a:off x="8362950" y="101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9525</xdr:colOff>
      <xdr:row>1</xdr:row>
      <xdr:rowOff>0</xdr:rowOff>
    </xdr:from>
    <xdr:to>
      <xdr:col>11</xdr:col>
      <xdr:colOff>19050</xdr:colOff>
      <xdr:row>47</xdr:row>
      <xdr:rowOff>9524</xdr:rowOff>
    </xdr:to>
    <xdr:pic>
      <xdr:nvPicPr>
        <xdr:cNvPr id="7" name="Picture 6" descr="SHREECEM Stock Price and Chart — NSE:SHREECEM — TradingView">
          <a:extLst>
            <a:ext uri="{FF2B5EF4-FFF2-40B4-BE49-F238E27FC236}">
              <a16:creationId xmlns:a16="http://schemas.microsoft.com/office/drawing/2014/main" id="{59830DD3-CD54-4CB1-B3B8-30D19F3A0984}"/>
            </a:ext>
          </a:extLst>
        </xdr:cNvPr>
        <xdr:cNvPicPr>
          <a:picLocks noChangeAspect="1" noChangeArrowheads="1"/>
        </xdr:cNvPicPr>
      </xdr:nvPicPr>
      <xdr:blipFill>
        <a:blip xmlns:r="http://schemas.openxmlformats.org/officeDocument/2006/relationships" r:embed="rId1" cstate="print">
          <a:alphaModFix amt="13000"/>
          <a:extLst>
            <a:ext uri="{28A0092B-C50C-407E-A947-70E740481C1C}">
              <a14:useLocalDpi xmlns:a14="http://schemas.microsoft.com/office/drawing/2010/main" val="0"/>
            </a:ext>
          </a:extLst>
        </a:blip>
        <a:srcRect/>
        <a:stretch>
          <a:fillRect/>
        </a:stretch>
      </xdr:blipFill>
      <xdr:spPr bwMode="auto">
        <a:xfrm>
          <a:off x="3048000" y="200025"/>
          <a:ext cx="3667125" cy="8534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38100</xdr:colOff>
      <xdr:row>8</xdr:row>
      <xdr:rowOff>161925</xdr:rowOff>
    </xdr:from>
    <xdr:ext cx="3619500" cy="3536609"/>
    <xdr:sp macro="" textlink="">
      <xdr:nvSpPr>
        <xdr:cNvPr id="4" name="TextBox 3">
          <a:extLst>
            <a:ext uri="{FF2B5EF4-FFF2-40B4-BE49-F238E27FC236}">
              <a16:creationId xmlns:a16="http://schemas.microsoft.com/office/drawing/2014/main" id="{5D38DBD7-0F8D-4E31-BB7C-CBFC8FBF42FB}"/>
            </a:ext>
          </a:extLst>
        </xdr:cNvPr>
        <xdr:cNvSpPr txBox="1"/>
      </xdr:nvSpPr>
      <xdr:spPr>
        <a:xfrm>
          <a:off x="3238500" y="2066925"/>
          <a:ext cx="3619500" cy="35366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just"/>
          <a:r>
            <a:rPr lang="en-IN" sz="1200"/>
            <a:t>Shree Cement is an Indian cement manufacturer, founded in Beawar, Rajasthan, in 1979. Now headquartered in Kolkata, it is one of the biggest cement makers in Northern India. Shree Cement has moved in the last two decades from having 2 million tonne (mt) production capacity to becoming the country’s third largest cement player, with an installed capacity of 43.3 mt in India and 47.4 mt overseas. It also produces and sells power under the name Shree Power (Captive Power Plant) and Shree Mega Power (Independent Power Plant).</a:t>
          </a:r>
        </a:p>
        <a:p>
          <a:pPr algn="l"/>
          <a:endParaRPr lang="en-IN" sz="1200"/>
        </a:p>
        <a:p>
          <a:pPr algn="just"/>
          <a:r>
            <a:rPr lang="en-IN" sz="1200" b="0" i="0">
              <a:solidFill>
                <a:schemeClr val="tx1"/>
              </a:solidFill>
              <a:effectLst/>
              <a:latin typeface="+mn-lt"/>
              <a:ea typeface="+mn-ea"/>
              <a:cs typeface="+mn-cs"/>
            </a:rPr>
            <a:t>Cements</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Plants are located in Beawar, Ras, Khushkhera, Jobner (Jaipur) and Suratgarh in Rajasthan, Laksar (Roorkee) in Uttarakhand, Panipat in Haryana, Bulandshahar in UP, Raipur in Chhattisgarh and Aurangabad in Bihar.</a:t>
          </a:r>
        </a:p>
        <a:p>
          <a:endParaRPr lang="en-IN" sz="1400"/>
        </a:p>
      </xdr:txBody>
    </xdr:sp>
    <xdr:clientData/>
  </xdr:oneCellAnchor>
  <xdr:twoCellAnchor editAs="oneCell">
    <xdr:from>
      <xdr:col>2</xdr:col>
      <xdr:colOff>200026</xdr:colOff>
      <xdr:row>1</xdr:row>
      <xdr:rowOff>104775</xdr:rowOff>
    </xdr:from>
    <xdr:to>
      <xdr:col>3</xdr:col>
      <xdr:colOff>1085851</xdr:colOff>
      <xdr:row>4</xdr:row>
      <xdr:rowOff>101864</xdr:rowOff>
    </xdr:to>
    <xdr:pic>
      <xdr:nvPicPr>
        <xdr:cNvPr id="12" name="Picture 11">
          <a:extLst>
            <a:ext uri="{FF2B5EF4-FFF2-40B4-BE49-F238E27FC236}">
              <a16:creationId xmlns:a16="http://schemas.microsoft.com/office/drawing/2014/main" id="{D585C7B2-13E1-4BF5-A120-89B1DFB3F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1" y="304800"/>
          <a:ext cx="2133600" cy="787664"/>
        </a:xfrm>
        <a:prstGeom prst="rect">
          <a:avLst/>
        </a:prstGeom>
        <a:noFill/>
        <a:effectLst>
          <a:outerShdw blurRad="50800" dist="50800" dir="5400000" algn="ctr" rotWithShape="0">
            <a:srgbClr val="000000">
              <a:alpha val="22000"/>
            </a:srgbClr>
          </a:outerShdw>
          <a:softEdge rad="50800"/>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19051</xdr:colOff>
      <xdr:row>14</xdr:row>
      <xdr:rowOff>66675</xdr:rowOff>
    </xdr:from>
    <xdr:to>
      <xdr:col>4</xdr:col>
      <xdr:colOff>161926</xdr:colOff>
      <xdr:row>26</xdr:row>
      <xdr:rowOff>180975</xdr:rowOff>
    </xdr:to>
    <xdr:graphicFrame macro="">
      <xdr:nvGraphicFramePr>
        <xdr:cNvPr id="14" name="Chart 13">
          <a:extLst>
            <a:ext uri="{FF2B5EF4-FFF2-40B4-BE49-F238E27FC236}">
              <a16:creationId xmlns:a16="http://schemas.microsoft.com/office/drawing/2014/main" id="{46CA6AA6-30FE-4922-A4E5-24E450525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142874</xdr:colOff>
      <xdr:row>27</xdr:row>
      <xdr:rowOff>238124</xdr:rowOff>
    </xdr:from>
    <xdr:to>
      <xdr:col>10</xdr:col>
      <xdr:colOff>581025</xdr:colOff>
      <xdr:row>46</xdr:row>
      <xdr:rowOff>38100</xdr:rowOff>
    </xdr:to>
    <xdr:sp macro="" textlink="">
      <xdr:nvSpPr>
        <xdr:cNvPr id="5" name="TextBox 4">
          <a:extLst>
            <a:ext uri="{FF2B5EF4-FFF2-40B4-BE49-F238E27FC236}">
              <a16:creationId xmlns:a16="http://schemas.microsoft.com/office/drawing/2014/main" id="{4BBBEC5A-FD53-4058-B5B8-82ABA9CDC4F8}"/>
            </a:ext>
          </a:extLst>
        </xdr:cNvPr>
        <xdr:cNvSpPr txBox="1"/>
      </xdr:nvSpPr>
      <xdr:spPr>
        <a:xfrm>
          <a:off x="3428999" y="5600699"/>
          <a:ext cx="3667126" cy="2971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fontAlgn="base">
            <a:buFont typeface="Arial" panose="020B0604020202020204" pitchFamily="34" charset="0"/>
            <a:buChar char="•"/>
          </a:pPr>
          <a:r>
            <a:rPr lang="en-IN" sz="1100" b="0" i="0">
              <a:solidFill>
                <a:schemeClr val="dk1"/>
              </a:solidFill>
              <a:effectLst/>
              <a:latin typeface="+mn-lt"/>
              <a:ea typeface="+mn-ea"/>
              <a:cs typeface="+mn-cs"/>
            </a:rPr>
            <a:t>Operating income during the year rose 19.4% on a year-on-year (YoY) basis.</a:t>
          </a:r>
        </a:p>
        <a:p>
          <a:pPr marL="171450" indent="-171450" fontAlgn="base">
            <a:buFont typeface="Arial" panose="020B0604020202020204" pitchFamily="34" charset="0"/>
            <a:buChar char="•"/>
          </a:pPr>
          <a:endParaRPr lang="en-IN" sz="1100" b="0" i="0">
            <a:solidFill>
              <a:schemeClr val="dk1"/>
            </a:solidFill>
            <a:effectLst/>
            <a:latin typeface="+mn-lt"/>
            <a:ea typeface="+mn-ea"/>
            <a:cs typeface="+mn-cs"/>
          </a:endParaRPr>
        </a:p>
        <a:p>
          <a:pPr marL="171450" indent="-171450" fontAlgn="base">
            <a:buFont typeface="Arial" panose="020B0604020202020204" pitchFamily="34" charset="0"/>
            <a:buChar char="•"/>
          </a:pPr>
          <a:r>
            <a:rPr lang="en-IN" sz="1100" b="0" i="0">
              <a:solidFill>
                <a:schemeClr val="dk1"/>
              </a:solidFill>
              <a:effectLst/>
              <a:latin typeface="+mn-lt"/>
              <a:ea typeface="+mn-ea"/>
              <a:cs typeface="+mn-cs"/>
            </a:rPr>
            <a:t>The company's operating </a:t>
          </a:r>
          <a:r>
            <a:rPr lang="en-IN" sz="1100" b="0" i="0" baseline="0">
              <a:solidFill>
                <a:schemeClr val="dk1"/>
              </a:solidFill>
              <a:effectLst/>
              <a:latin typeface="+mn-lt"/>
              <a:ea typeface="+mn-ea"/>
              <a:cs typeface="+mn-cs"/>
            </a:rPr>
            <a:t>profit</a:t>
          </a:r>
          <a:r>
            <a:rPr lang="en-IN" sz="1100" b="0" i="0">
              <a:solidFill>
                <a:schemeClr val="dk1"/>
              </a:solidFill>
              <a:effectLst/>
              <a:latin typeface="+mn-lt"/>
              <a:ea typeface="+mn-ea"/>
              <a:cs typeface="+mn-cs"/>
            </a:rPr>
            <a:t> decreased by 20.3% YoY during the fiscal. Operating profit margins witnessed a fall and stood at 13.2% in FY23 as against 19.7% in FY22.</a:t>
          </a:r>
        </a:p>
        <a:p>
          <a:pPr marL="171450" indent="-171450" fontAlgn="base">
            <a:buFont typeface="Arial" panose="020B0604020202020204" pitchFamily="34" charset="0"/>
            <a:buChar char="•"/>
          </a:pPr>
          <a:endParaRPr lang="en-IN" sz="1100" b="0" i="0">
            <a:solidFill>
              <a:schemeClr val="dk1"/>
            </a:solidFill>
            <a:effectLst/>
            <a:latin typeface="+mn-lt"/>
            <a:ea typeface="+mn-ea"/>
            <a:cs typeface="+mn-cs"/>
          </a:endParaRPr>
        </a:p>
        <a:p>
          <a:pPr marL="171450" indent="-171450" fontAlgn="base">
            <a:buFont typeface="Arial" panose="020B0604020202020204" pitchFamily="34" charset="0"/>
            <a:buChar char="•"/>
          </a:pPr>
          <a:r>
            <a:rPr lang="en-IN" sz="1100" b="0" i="0">
              <a:solidFill>
                <a:schemeClr val="dk1"/>
              </a:solidFill>
              <a:effectLst/>
              <a:latin typeface="+mn-lt"/>
              <a:ea typeface="+mn-ea"/>
              <a:cs typeface="+mn-cs"/>
            </a:rPr>
            <a:t>Depreciation charges increased by 44.9% and finance costs increased by 21.6% YoY, respectively.</a:t>
          </a:r>
        </a:p>
        <a:p>
          <a:pPr marL="171450" indent="-171450" fontAlgn="base">
            <a:buFont typeface="Arial" panose="020B0604020202020204" pitchFamily="34" charset="0"/>
            <a:buChar char="•"/>
          </a:pPr>
          <a:endParaRPr lang="en-IN" sz="1100" b="0" i="0">
            <a:solidFill>
              <a:schemeClr val="dk1"/>
            </a:solidFill>
            <a:effectLst/>
            <a:latin typeface="+mn-lt"/>
            <a:ea typeface="+mn-ea"/>
            <a:cs typeface="+mn-cs"/>
          </a:endParaRPr>
        </a:p>
        <a:p>
          <a:pPr marL="171450" indent="-171450" fontAlgn="base">
            <a:buFont typeface="Arial" panose="020B0604020202020204" pitchFamily="34" charset="0"/>
            <a:buChar char="•"/>
          </a:pPr>
          <a:r>
            <a:rPr lang="en-IN" sz="1100" b="0" i="0">
              <a:solidFill>
                <a:schemeClr val="dk1"/>
              </a:solidFill>
              <a:effectLst/>
              <a:latin typeface="+mn-lt"/>
              <a:ea typeface="+mn-ea"/>
              <a:cs typeface="+mn-cs"/>
            </a:rPr>
            <a:t>Other income declined by 15.2% YoY.</a:t>
          </a:r>
        </a:p>
        <a:p>
          <a:pPr marL="171450" indent="-171450" fontAlgn="base">
            <a:buFont typeface="Arial" panose="020B0604020202020204" pitchFamily="34" charset="0"/>
            <a:buChar char="•"/>
          </a:pPr>
          <a:endParaRPr lang="en-IN" sz="1100" b="0" i="0">
            <a:solidFill>
              <a:schemeClr val="dk1"/>
            </a:solidFill>
            <a:effectLst/>
            <a:latin typeface="+mn-lt"/>
            <a:ea typeface="+mn-ea"/>
            <a:cs typeface="+mn-cs"/>
          </a:endParaRPr>
        </a:p>
        <a:p>
          <a:pPr marL="171450" indent="-171450" fontAlgn="base">
            <a:buFont typeface="Arial" panose="020B0604020202020204" pitchFamily="34" charset="0"/>
            <a:buChar char="•"/>
          </a:pPr>
          <a:r>
            <a:rPr lang="en-IN" sz="1100" b="0" i="0">
              <a:solidFill>
                <a:schemeClr val="dk1"/>
              </a:solidFill>
              <a:effectLst/>
              <a:latin typeface="+mn-lt"/>
              <a:ea typeface="+mn-ea"/>
              <a:cs typeface="+mn-cs"/>
            </a:rPr>
            <a:t>Net profit for the year declined by 45.7% YoY.</a:t>
          </a:r>
        </a:p>
        <a:p>
          <a:pPr fontAlgn="base"/>
          <a:endParaRPr lang="en-IN" sz="1100" b="0" i="0">
            <a:solidFill>
              <a:schemeClr val="dk1"/>
            </a:solidFill>
            <a:effectLst/>
            <a:latin typeface="+mn-lt"/>
            <a:ea typeface="+mn-ea"/>
            <a:cs typeface="+mn-cs"/>
          </a:endParaRPr>
        </a:p>
        <a:p>
          <a:pPr marL="171450" indent="-171450" fontAlgn="base">
            <a:buFont typeface="Arial" panose="020B0604020202020204" pitchFamily="34" charset="0"/>
            <a:buChar char="•"/>
          </a:pPr>
          <a:r>
            <a:rPr lang="en-IN" sz="1100" b="0" i="0">
              <a:solidFill>
                <a:schemeClr val="dk1"/>
              </a:solidFill>
              <a:effectLst/>
              <a:latin typeface="+mn-lt"/>
              <a:ea typeface="+mn-ea"/>
              <a:cs typeface="+mn-cs"/>
            </a:rPr>
            <a:t>Net profit margins during the year declined from 12.5% in FY22 to 5.7% in FY23.</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190500</xdr:colOff>
      <xdr:row>1</xdr:row>
      <xdr:rowOff>152400</xdr:rowOff>
    </xdr:from>
    <xdr:to>
      <xdr:col>11</xdr:col>
      <xdr:colOff>716679</xdr:colOff>
      <xdr:row>5</xdr:row>
      <xdr:rowOff>47625</xdr:rowOff>
    </xdr:to>
    <xdr:pic>
      <xdr:nvPicPr>
        <xdr:cNvPr id="2" name="Picture 1">
          <a:extLst>
            <a:ext uri="{FF2B5EF4-FFF2-40B4-BE49-F238E27FC236}">
              <a16:creationId xmlns:a16="http://schemas.microsoft.com/office/drawing/2014/main" id="{203F6327-BD8E-4FD9-8CD9-14135117E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24775" y="342900"/>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590550</xdr:colOff>
      <xdr:row>1</xdr:row>
      <xdr:rowOff>66675</xdr:rowOff>
    </xdr:from>
    <xdr:to>
      <xdr:col>13</xdr:col>
      <xdr:colOff>650004</xdr:colOff>
      <xdr:row>4</xdr:row>
      <xdr:rowOff>152400</xdr:rowOff>
    </xdr:to>
    <xdr:pic>
      <xdr:nvPicPr>
        <xdr:cNvPr id="2" name="Picture 1">
          <a:extLst>
            <a:ext uri="{FF2B5EF4-FFF2-40B4-BE49-F238E27FC236}">
              <a16:creationId xmlns:a16="http://schemas.microsoft.com/office/drawing/2014/main" id="{45BBB2D3-57ED-42DC-AB81-8EAC88EBA7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72700" y="257175"/>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371475</xdr:colOff>
      <xdr:row>1</xdr:row>
      <xdr:rowOff>66675</xdr:rowOff>
    </xdr:from>
    <xdr:to>
      <xdr:col>12</xdr:col>
      <xdr:colOff>21354</xdr:colOff>
      <xdr:row>4</xdr:row>
      <xdr:rowOff>152400</xdr:rowOff>
    </xdr:to>
    <xdr:pic>
      <xdr:nvPicPr>
        <xdr:cNvPr id="2" name="Picture 1">
          <a:extLst>
            <a:ext uri="{FF2B5EF4-FFF2-40B4-BE49-F238E27FC236}">
              <a16:creationId xmlns:a16="http://schemas.microsoft.com/office/drawing/2014/main" id="{E2D54C07-1223-404B-A5AA-C567DBFB0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81825" y="257175"/>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710045</xdr:colOff>
      <xdr:row>0</xdr:row>
      <xdr:rowOff>103909</xdr:rowOff>
    </xdr:from>
    <xdr:to>
      <xdr:col>15</xdr:col>
      <xdr:colOff>1437</xdr:colOff>
      <xdr:row>3</xdr:row>
      <xdr:rowOff>189634</xdr:rowOff>
    </xdr:to>
    <xdr:pic>
      <xdr:nvPicPr>
        <xdr:cNvPr id="2" name="Picture 1">
          <a:extLst>
            <a:ext uri="{FF2B5EF4-FFF2-40B4-BE49-F238E27FC236}">
              <a16:creationId xmlns:a16="http://schemas.microsoft.com/office/drawing/2014/main" id="{EAAF169E-B01F-4111-97D9-FA5079041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31181" y="103909"/>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103908</xdr:colOff>
      <xdr:row>21</xdr:row>
      <xdr:rowOff>148070</xdr:rowOff>
    </xdr:from>
    <xdr:to>
      <xdr:col>5</xdr:col>
      <xdr:colOff>25978</xdr:colOff>
      <xdr:row>36</xdr:row>
      <xdr:rowOff>33770</xdr:rowOff>
    </xdr:to>
    <xdr:graphicFrame macro="">
      <xdr:nvGraphicFramePr>
        <xdr:cNvPr id="4" name="Chart 3">
          <a:extLst>
            <a:ext uri="{FF2B5EF4-FFF2-40B4-BE49-F238E27FC236}">
              <a16:creationId xmlns:a16="http://schemas.microsoft.com/office/drawing/2014/main" id="{F90CB647-AED4-4BB1-8590-6DA620F40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151534</xdr:colOff>
      <xdr:row>21</xdr:row>
      <xdr:rowOff>156729</xdr:rowOff>
    </xdr:from>
    <xdr:to>
      <xdr:col>10</xdr:col>
      <xdr:colOff>43296</xdr:colOff>
      <xdr:row>36</xdr:row>
      <xdr:rowOff>42429</xdr:rowOff>
    </xdr:to>
    <xdr:graphicFrame macro="">
      <xdr:nvGraphicFramePr>
        <xdr:cNvPr id="5" name="Chart 4">
          <a:extLst>
            <a:ext uri="{FF2B5EF4-FFF2-40B4-BE49-F238E27FC236}">
              <a16:creationId xmlns:a16="http://schemas.microsoft.com/office/drawing/2014/main" id="{2513E018-3AD6-480C-974F-81A253F9D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160193</xdr:colOff>
      <xdr:row>21</xdr:row>
      <xdr:rowOff>148070</xdr:rowOff>
    </xdr:from>
    <xdr:to>
      <xdr:col>15</xdr:col>
      <xdr:colOff>25977</xdr:colOff>
      <xdr:row>36</xdr:row>
      <xdr:rowOff>33770</xdr:rowOff>
    </xdr:to>
    <xdr:graphicFrame macro="">
      <xdr:nvGraphicFramePr>
        <xdr:cNvPr id="6" name="Chart 5">
          <a:extLst>
            <a:ext uri="{FF2B5EF4-FFF2-40B4-BE49-F238E27FC236}">
              <a16:creationId xmlns:a16="http://schemas.microsoft.com/office/drawing/2014/main" id="{C3F327DB-EE8A-47B3-8AD3-FA5DD97D8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533400</xdr:colOff>
      <xdr:row>0</xdr:row>
      <xdr:rowOff>66675</xdr:rowOff>
    </xdr:from>
    <xdr:to>
      <xdr:col>8</xdr:col>
      <xdr:colOff>78504</xdr:colOff>
      <xdr:row>3</xdr:row>
      <xdr:rowOff>152400</xdr:rowOff>
    </xdr:to>
    <xdr:pic>
      <xdr:nvPicPr>
        <xdr:cNvPr id="2" name="Picture 1">
          <a:extLst>
            <a:ext uri="{FF2B5EF4-FFF2-40B4-BE49-F238E27FC236}">
              <a16:creationId xmlns:a16="http://schemas.microsoft.com/office/drawing/2014/main" id="{C9250D0F-5CBB-4F85-BDEB-12B98AFCA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53100" y="66675"/>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428625</xdr:colOff>
      <xdr:row>1</xdr:row>
      <xdr:rowOff>57150</xdr:rowOff>
    </xdr:from>
    <xdr:to>
      <xdr:col>10</xdr:col>
      <xdr:colOff>821454</xdr:colOff>
      <xdr:row>4</xdr:row>
      <xdr:rowOff>142875</xdr:rowOff>
    </xdr:to>
    <xdr:pic>
      <xdr:nvPicPr>
        <xdr:cNvPr id="2" name="Picture 1">
          <a:extLst>
            <a:ext uri="{FF2B5EF4-FFF2-40B4-BE49-F238E27FC236}">
              <a16:creationId xmlns:a16="http://schemas.microsoft.com/office/drawing/2014/main" id="{8FBA8CDE-FE35-49D3-80E2-89C9B2C359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3425" y="247650"/>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20</xdr:col>
      <xdr:colOff>552450</xdr:colOff>
      <xdr:row>1</xdr:row>
      <xdr:rowOff>76200</xdr:rowOff>
    </xdr:from>
    <xdr:to>
      <xdr:col>22</xdr:col>
      <xdr:colOff>21354</xdr:colOff>
      <xdr:row>4</xdr:row>
      <xdr:rowOff>161925</xdr:rowOff>
    </xdr:to>
    <xdr:pic>
      <xdr:nvPicPr>
        <xdr:cNvPr id="2" name="Picture 1">
          <a:extLst>
            <a:ext uri="{FF2B5EF4-FFF2-40B4-BE49-F238E27FC236}">
              <a16:creationId xmlns:a16="http://schemas.microsoft.com/office/drawing/2014/main" id="{8069FA1B-7B54-4B31-B223-D215939E4B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0" y="266700"/>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186419</xdr:colOff>
      <xdr:row>33</xdr:row>
      <xdr:rowOff>141514</xdr:rowOff>
    </xdr:from>
    <xdr:to>
      <xdr:col>29</xdr:col>
      <xdr:colOff>204108</xdr:colOff>
      <xdr:row>47</xdr:row>
      <xdr:rowOff>0</xdr:rowOff>
    </xdr:to>
    <xdr:graphicFrame macro="">
      <xdr:nvGraphicFramePr>
        <xdr:cNvPr id="5" name="Chart 4">
          <a:extLst>
            <a:ext uri="{FF2B5EF4-FFF2-40B4-BE49-F238E27FC236}">
              <a16:creationId xmlns:a16="http://schemas.microsoft.com/office/drawing/2014/main" id="{5DEEB9CA-B8D6-4246-BA4F-728E091C2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866775</xdr:colOff>
      <xdr:row>0</xdr:row>
      <xdr:rowOff>95250</xdr:rowOff>
    </xdr:from>
    <xdr:to>
      <xdr:col>8</xdr:col>
      <xdr:colOff>11829</xdr:colOff>
      <xdr:row>3</xdr:row>
      <xdr:rowOff>180975</xdr:rowOff>
    </xdr:to>
    <xdr:pic>
      <xdr:nvPicPr>
        <xdr:cNvPr id="2" name="Picture 1">
          <a:extLst>
            <a:ext uri="{FF2B5EF4-FFF2-40B4-BE49-F238E27FC236}">
              <a16:creationId xmlns:a16="http://schemas.microsoft.com/office/drawing/2014/main" id="{897C5ECD-78EA-48E8-8349-E1E853A1E3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29300" y="95250"/>
          <a:ext cx="2088279"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114299</xdr:colOff>
      <xdr:row>1</xdr:row>
      <xdr:rowOff>38100</xdr:rowOff>
    </xdr:from>
    <xdr:to>
      <xdr:col>14</xdr:col>
      <xdr:colOff>238124</xdr:colOff>
      <xdr:row>12</xdr:row>
      <xdr:rowOff>85725</xdr:rowOff>
    </xdr:to>
    <xdr:graphicFrame macro="">
      <xdr:nvGraphicFramePr>
        <xdr:cNvPr id="2" name="Chart 1">
          <a:extLst>
            <a:ext uri="{FF2B5EF4-FFF2-40B4-BE49-F238E27FC236}">
              <a16:creationId xmlns:a16="http://schemas.microsoft.com/office/drawing/2014/main" id="{DF78A2E3-396C-45A6-B573-A9419D8B6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 /></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Relationships>
</file>

<file path=xl/worksheets/_rels/sheet14.xml.rels><?xml version="1.0" encoding="UTF-8" standalone="yes"?>
<Relationships xmlns="http://schemas.openxmlformats.org/package/2006/relationships"><Relationship Id="rId1" Type="http://schemas.openxmlformats.org/officeDocument/2006/relationships/hyperlink" Target="https://www.screener.in/exce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1F57-3E36-4BEF-830D-F6500C14C7CD}">
  <dimension ref="B1:S64"/>
  <sheetViews>
    <sheetView showGridLines="0" tabSelected="1" topLeftCell="B3" zoomScaleNormal="100" workbookViewId="0">
      <selection activeCell="N62" sqref="N62"/>
    </sheetView>
  </sheetViews>
  <sheetFormatPr defaultRowHeight="15" x14ac:dyDescent="0.2"/>
  <cols>
    <col min="1" max="1" width="2.6875" customWidth="1"/>
    <col min="2" max="2" width="2.6875" style="46" customWidth="1"/>
    <col min="3" max="4" width="18.6953125" style="46" customWidth="1"/>
    <col min="5" max="5" width="2.6875" style="181" customWidth="1"/>
    <col min="6" max="11" width="9.14453125" style="46"/>
  </cols>
  <sheetData>
    <row r="1" spans="2:19" ht="15.75" thickBot="1" x14ac:dyDescent="0.25"/>
    <row r="2" spans="2:19" x14ac:dyDescent="0.2">
      <c r="B2" s="265"/>
      <c r="C2" s="258"/>
      <c r="D2" s="258"/>
      <c r="E2" s="262"/>
      <c r="F2" s="252"/>
      <c r="G2" s="252"/>
      <c r="H2" s="252"/>
      <c r="I2" s="252"/>
      <c r="J2" s="252"/>
      <c r="K2" s="253"/>
      <c r="L2" s="46"/>
      <c r="M2" s="46"/>
      <c r="N2" s="46"/>
      <c r="O2" s="46"/>
    </row>
    <row r="3" spans="2:19" ht="23.25" x14ac:dyDescent="0.3">
      <c r="B3" s="275"/>
      <c r="C3" s="276"/>
      <c r="D3" s="276"/>
      <c r="E3" s="277"/>
      <c r="F3" s="278" t="s">
        <v>372</v>
      </c>
      <c r="G3" s="278"/>
      <c r="H3" s="278"/>
      <c r="I3" s="278"/>
      <c r="J3" s="278"/>
      <c r="K3" s="279"/>
      <c r="L3" s="46"/>
      <c r="M3" s="266"/>
      <c r="N3" s="266"/>
      <c r="O3" s="266"/>
      <c r="P3" s="266"/>
      <c r="Q3" s="266"/>
      <c r="R3" s="266"/>
      <c r="S3" s="46"/>
    </row>
    <row r="4" spans="2:19" ht="23.25" x14ac:dyDescent="0.3">
      <c r="B4" s="259"/>
      <c r="C4" s="219"/>
      <c r="D4" s="219"/>
      <c r="E4" s="263"/>
      <c r="F4" s="278" t="s">
        <v>373</v>
      </c>
      <c r="G4" s="278"/>
      <c r="H4" s="278"/>
      <c r="I4" s="278"/>
      <c r="J4" s="278"/>
      <c r="K4" s="279"/>
      <c r="L4" s="46"/>
      <c r="M4" s="46"/>
      <c r="N4" s="46"/>
      <c r="O4" s="46"/>
    </row>
    <row r="5" spans="2:19" x14ac:dyDescent="0.2">
      <c r="B5" s="259"/>
      <c r="C5" s="219"/>
      <c r="D5" s="219"/>
      <c r="E5" s="263"/>
      <c r="F5" s="254"/>
      <c r="G5" s="254"/>
      <c r="H5" s="254"/>
      <c r="I5" s="254"/>
      <c r="J5" s="254"/>
      <c r="K5" s="255"/>
      <c r="L5" s="46"/>
      <c r="M5" s="46"/>
      <c r="N5" s="46"/>
      <c r="O5" s="46"/>
    </row>
    <row r="6" spans="2:19" x14ac:dyDescent="0.2">
      <c r="B6" s="259"/>
      <c r="C6" s="229" t="s">
        <v>376</v>
      </c>
      <c r="D6" s="232">
        <v>87819</v>
      </c>
      <c r="E6" s="263"/>
      <c r="F6" s="254"/>
      <c r="G6" s="254"/>
      <c r="H6" s="254"/>
      <c r="I6" s="254"/>
      <c r="J6" s="254"/>
      <c r="K6" s="255"/>
      <c r="N6" s="46"/>
      <c r="O6" s="46"/>
    </row>
    <row r="7" spans="2:19" ht="15.75" thickBot="1" x14ac:dyDescent="0.25">
      <c r="B7" s="259"/>
      <c r="C7" s="225" t="s">
        <v>375</v>
      </c>
      <c r="D7" s="247">
        <v>24259.85</v>
      </c>
      <c r="E7" s="263"/>
      <c r="F7" s="256"/>
      <c r="G7" s="256"/>
      <c r="H7" s="256"/>
      <c r="I7" s="256"/>
      <c r="J7" s="256"/>
      <c r="K7" s="257"/>
      <c r="L7" s="46"/>
      <c r="M7" s="46"/>
      <c r="O7" s="46"/>
      <c r="P7" s="1"/>
    </row>
    <row r="8" spans="2:19" ht="9" customHeight="1" x14ac:dyDescent="0.2">
      <c r="B8" s="259"/>
      <c r="C8" s="227"/>
      <c r="D8" s="228"/>
      <c r="E8" s="263"/>
      <c r="K8" s="234"/>
      <c r="L8" s="46"/>
      <c r="M8" s="46"/>
      <c r="N8" s="46"/>
      <c r="O8" s="46"/>
      <c r="Q8" s="1"/>
    </row>
    <row r="9" spans="2:19" ht="18.75" x14ac:dyDescent="0.25">
      <c r="B9" s="259"/>
      <c r="C9" s="237" t="s">
        <v>397</v>
      </c>
      <c r="D9" s="224"/>
      <c r="E9" s="263"/>
      <c r="F9" s="222" t="s">
        <v>374</v>
      </c>
      <c r="G9" s="222"/>
      <c r="K9" s="234"/>
      <c r="L9" s="46"/>
      <c r="M9" s="46"/>
      <c r="N9" s="46"/>
      <c r="O9" s="46"/>
    </row>
    <row r="10" spans="2:19" s="1" customFormat="1" x14ac:dyDescent="0.2">
      <c r="B10" s="259"/>
      <c r="C10" s="229" t="s">
        <v>377</v>
      </c>
      <c r="D10" s="246">
        <v>19711.45</v>
      </c>
      <c r="E10" s="263"/>
      <c r="F10" s="220"/>
      <c r="G10" s="46"/>
      <c r="H10" s="46"/>
      <c r="I10" s="46"/>
      <c r="J10" s="46"/>
      <c r="K10" s="234"/>
      <c r="L10" s="46"/>
      <c r="M10" s="46"/>
      <c r="N10" s="46"/>
      <c r="O10" s="46"/>
    </row>
    <row r="11" spans="2:19" x14ac:dyDescent="0.2">
      <c r="B11" s="259"/>
      <c r="C11" s="225" t="s">
        <v>378</v>
      </c>
      <c r="D11" s="243">
        <v>27409</v>
      </c>
      <c r="E11" s="263"/>
      <c r="K11" s="234"/>
      <c r="L11" s="46"/>
      <c r="M11" s="46"/>
      <c r="O11" s="46"/>
    </row>
    <row r="12" spans="2:19" x14ac:dyDescent="0.2">
      <c r="B12" s="259"/>
      <c r="C12" s="225" t="s">
        <v>379</v>
      </c>
      <c r="D12" s="243">
        <v>17865.2</v>
      </c>
      <c r="E12" s="263"/>
      <c r="K12" s="234"/>
      <c r="L12" s="46"/>
      <c r="M12" s="46"/>
      <c r="N12" s="46"/>
      <c r="O12" s="46"/>
    </row>
    <row r="13" spans="2:19" x14ac:dyDescent="0.2">
      <c r="B13" s="259"/>
      <c r="C13" s="225" t="s">
        <v>380</v>
      </c>
      <c r="D13" s="244">
        <v>4.1000000000000003E-3</v>
      </c>
      <c r="E13" s="263"/>
      <c r="K13" s="234"/>
      <c r="L13" s="46"/>
      <c r="M13" s="46"/>
      <c r="N13" s="46"/>
      <c r="O13" s="46"/>
    </row>
    <row r="14" spans="2:19" x14ac:dyDescent="0.2">
      <c r="B14" s="259"/>
      <c r="C14" s="225" t="s">
        <v>381</v>
      </c>
      <c r="D14" s="245" t="s">
        <v>393</v>
      </c>
      <c r="E14" s="263"/>
      <c r="K14" s="234"/>
      <c r="L14" s="46"/>
      <c r="M14" s="46"/>
      <c r="N14" s="46"/>
      <c r="O14" s="46"/>
    </row>
    <row r="15" spans="2:19" x14ac:dyDescent="0.2">
      <c r="B15" s="259"/>
      <c r="C15" s="219"/>
      <c r="D15" s="219"/>
      <c r="E15" s="263"/>
      <c r="K15" s="234"/>
      <c r="L15" s="46"/>
      <c r="M15" s="46"/>
      <c r="N15" s="46"/>
      <c r="O15" s="46"/>
    </row>
    <row r="16" spans="2:19" x14ac:dyDescent="0.2">
      <c r="B16" s="259"/>
      <c r="C16" s="219"/>
      <c r="D16" s="219"/>
      <c r="E16" s="263"/>
      <c r="K16" s="234"/>
      <c r="L16" s="46"/>
      <c r="M16" s="46"/>
      <c r="N16" s="46"/>
      <c r="O16" s="46"/>
    </row>
    <row r="17" spans="2:15" x14ac:dyDescent="0.2">
      <c r="B17" s="259"/>
      <c r="C17" s="219"/>
      <c r="D17" s="219"/>
      <c r="E17" s="263"/>
      <c r="K17" s="234"/>
      <c r="L17" s="46"/>
      <c r="M17" s="46"/>
      <c r="N17" s="46"/>
      <c r="O17" s="46"/>
    </row>
    <row r="18" spans="2:15" x14ac:dyDescent="0.2">
      <c r="B18" s="259"/>
      <c r="C18" s="219"/>
      <c r="D18" s="219"/>
      <c r="E18" s="263"/>
      <c r="K18" s="234"/>
      <c r="L18" s="46"/>
      <c r="M18" s="46"/>
      <c r="N18" s="46"/>
      <c r="O18" s="46"/>
    </row>
    <row r="19" spans="2:15" x14ac:dyDescent="0.2">
      <c r="B19" s="259"/>
      <c r="C19" s="219"/>
      <c r="D19" s="219"/>
      <c r="E19" s="263"/>
      <c r="K19" s="234"/>
      <c r="L19" s="46"/>
      <c r="M19" s="46"/>
      <c r="N19" s="46"/>
      <c r="O19" s="46"/>
    </row>
    <row r="20" spans="2:15" x14ac:dyDescent="0.2">
      <c r="B20" s="259"/>
      <c r="C20" s="219"/>
      <c r="D20" s="219"/>
      <c r="E20" s="263"/>
      <c r="K20" s="234"/>
      <c r="L20" s="46"/>
      <c r="M20" s="46"/>
      <c r="N20" s="46"/>
      <c r="O20" s="46"/>
    </row>
    <row r="21" spans="2:15" x14ac:dyDescent="0.2">
      <c r="B21" s="259"/>
      <c r="C21" s="219"/>
      <c r="D21" s="219"/>
      <c r="E21" s="263"/>
      <c r="K21" s="234"/>
      <c r="L21" s="46"/>
      <c r="M21" s="46"/>
      <c r="N21" s="46"/>
      <c r="O21" s="46"/>
    </row>
    <row r="22" spans="2:15" x14ac:dyDescent="0.2">
      <c r="B22" s="259"/>
      <c r="C22" s="219"/>
      <c r="D22" s="219"/>
      <c r="E22" s="263"/>
      <c r="K22" s="234"/>
      <c r="L22" s="46"/>
      <c r="M22" s="46"/>
      <c r="N22" s="46"/>
      <c r="O22" s="46"/>
    </row>
    <row r="23" spans="2:15" x14ac:dyDescent="0.2">
      <c r="B23" s="259"/>
      <c r="C23" s="219"/>
      <c r="D23" s="219"/>
      <c r="E23" s="263"/>
      <c r="K23" s="234"/>
      <c r="L23" s="46"/>
      <c r="M23" s="46"/>
      <c r="N23" s="46"/>
      <c r="O23" s="46"/>
    </row>
    <row r="24" spans="2:15" x14ac:dyDescent="0.2">
      <c r="B24" s="259"/>
      <c r="C24" s="219"/>
      <c r="D24" s="219"/>
      <c r="E24" s="263"/>
      <c r="K24" s="234"/>
      <c r="L24" s="46"/>
      <c r="M24" s="46"/>
      <c r="N24" s="46"/>
      <c r="O24" s="46"/>
    </row>
    <row r="25" spans="2:15" x14ac:dyDescent="0.2">
      <c r="B25" s="259"/>
      <c r="C25" s="219"/>
      <c r="D25" s="219"/>
      <c r="E25" s="263"/>
      <c r="K25" s="234"/>
      <c r="L25" s="46"/>
      <c r="M25" s="46"/>
      <c r="N25" s="46"/>
      <c r="O25" s="46"/>
    </row>
    <row r="26" spans="2:15" x14ac:dyDescent="0.2">
      <c r="B26" s="259"/>
      <c r="C26" s="219"/>
      <c r="D26" s="219"/>
      <c r="E26" s="263"/>
      <c r="K26" s="234"/>
      <c r="L26" s="46"/>
      <c r="M26" s="46"/>
      <c r="N26" s="46"/>
      <c r="O26" s="46"/>
    </row>
    <row r="27" spans="2:15" x14ac:dyDescent="0.2">
      <c r="B27" s="259"/>
      <c r="C27" s="219"/>
      <c r="D27" s="219"/>
      <c r="E27" s="263"/>
      <c r="K27" s="248" t="s">
        <v>395</v>
      </c>
      <c r="L27" s="233"/>
      <c r="M27" s="46"/>
      <c r="N27" s="46"/>
      <c r="O27" s="46"/>
    </row>
    <row r="28" spans="2:15" ht="18.75" x14ac:dyDescent="0.25">
      <c r="B28" s="259"/>
      <c r="C28" s="274" t="s">
        <v>383</v>
      </c>
      <c r="D28" s="274"/>
      <c r="E28" s="263"/>
      <c r="F28" s="249" t="s">
        <v>396</v>
      </c>
      <c r="G28" s="221"/>
      <c r="H28" s="221"/>
      <c r="K28" s="234"/>
      <c r="L28" s="46"/>
      <c r="M28" s="46"/>
      <c r="N28" s="46"/>
      <c r="O28" s="46"/>
    </row>
    <row r="29" spans="2:15" x14ac:dyDescent="0.2">
      <c r="B29" s="259"/>
      <c r="C29" s="230" t="s">
        <v>385</v>
      </c>
      <c r="D29" s="238">
        <v>0.626</v>
      </c>
      <c r="E29" s="263"/>
      <c r="K29" s="234"/>
      <c r="L29" s="46"/>
      <c r="M29" s="46"/>
      <c r="N29" s="46"/>
      <c r="O29" s="46"/>
    </row>
    <row r="30" spans="2:15" x14ac:dyDescent="0.2">
      <c r="B30" s="259"/>
      <c r="C30" s="230" t="s">
        <v>388</v>
      </c>
      <c r="D30" s="238">
        <v>7.1999999999999995E-2</v>
      </c>
      <c r="E30" s="263"/>
      <c r="K30" s="234"/>
      <c r="L30" s="46"/>
      <c r="M30" s="46"/>
      <c r="N30" s="46"/>
      <c r="O30" s="46"/>
    </row>
    <row r="31" spans="2:15" x14ac:dyDescent="0.2">
      <c r="B31" s="259"/>
      <c r="C31" s="230" t="s">
        <v>386</v>
      </c>
      <c r="D31" s="238">
        <v>0.126</v>
      </c>
      <c r="E31" s="263"/>
      <c r="K31" s="234"/>
      <c r="L31" s="46"/>
      <c r="M31" s="46"/>
      <c r="N31" s="46"/>
      <c r="O31" s="46"/>
    </row>
    <row r="32" spans="2:15" x14ac:dyDescent="0.2">
      <c r="B32" s="259"/>
      <c r="C32" s="230" t="s">
        <v>387</v>
      </c>
      <c r="D32" s="238">
        <v>0.246</v>
      </c>
      <c r="E32" s="263"/>
      <c r="K32" s="234"/>
      <c r="L32" s="46"/>
      <c r="M32" s="46"/>
      <c r="N32" s="46"/>
      <c r="O32" s="46"/>
    </row>
    <row r="33" spans="2:15" x14ac:dyDescent="0.2">
      <c r="B33" s="259"/>
      <c r="C33" s="219"/>
      <c r="D33" s="219"/>
      <c r="E33" s="263"/>
      <c r="K33" s="234"/>
      <c r="L33" s="46"/>
      <c r="M33" s="46"/>
      <c r="N33" s="46"/>
      <c r="O33" s="46"/>
    </row>
    <row r="34" spans="2:15" ht="12" customHeight="1" x14ac:dyDescent="0.2">
      <c r="B34" s="259"/>
      <c r="C34" s="226" t="s">
        <v>382</v>
      </c>
      <c r="D34" s="224"/>
      <c r="E34" s="263"/>
      <c r="K34" s="234"/>
      <c r="L34" s="46"/>
      <c r="M34" s="46"/>
      <c r="N34" s="46"/>
      <c r="O34" s="46"/>
    </row>
    <row r="35" spans="2:15" ht="12" customHeight="1" x14ac:dyDescent="0.2">
      <c r="B35" s="259"/>
      <c r="C35" s="219"/>
      <c r="D35" s="219"/>
      <c r="E35" s="263"/>
      <c r="K35" s="234"/>
      <c r="L35" s="46"/>
      <c r="M35" s="46"/>
      <c r="N35" s="46"/>
      <c r="O35" s="46"/>
    </row>
    <row r="36" spans="2:15" ht="12" customHeight="1" x14ac:dyDescent="0.2">
      <c r="B36" s="259"/>
      <c r="C36" s="239" t="s">
        <v>384</v>
      </c>
      <c r="D36" s="240" t="s">
        <v>391</v>
      </c>
      <c r="E36" s="263"/>
      <c r="K36" s="234"/>
      <c r="L36" s="46"/>
      <c r="M36" s="46"/>
      <c r="N36" s="46"/>
      <c r="O36" s="46"/>
    </row>
    <row r="37" spans="2:15" ht="12" customHeight="1" x14ac:dyDescent="0.2">
      <c r="B37" s="259"/>
      <c r="C37" s="231"/>
      <c r="D37" s="241"/>
      <c r="E37" s="263"/>
      <c r="K37" s="234"/>
      <c r="L37" s="46"/>
      <c r="M37" s="46"/>
      <c r="N37" s="46"/>
      <c r="O37" s="46"/>
    </row>
    <row r="38" spans="2:15" ht="12" customHeight="1" x14ac:dyDescent="0.2">
      <c r="B38" s="259"/>
      <c r="C38" s="267" t="s">
        <v>63</v>
      </c>
      <c r="D38" s="268">
        <f>'Historical data'!L17</f>
        <v>7798.4100000000035</v>
      </c>
      <c r="E38" s="263"/>
      <c r="K38" s="234"/>
      <c r="L38" s="46"/>
      <c r="M38" s="46"/>
      <c r="N38" s="46"/>
      <c r="O38" s="46"/>
    </row>
    <row r="39" spans="2:15" ht="12" customHeight="1" x14ac:dyDescent="0.2">
      <c r="B39" s="259"/>
      <c r="C39" s="267"/>
      <c r="D39" s="269"/>
      <c r="E39" s="263"/>
      <c r="K39" s="234"/>
      <c r="L39" s="46"/>
      <c r="M39" s="46"/>
      <c r="N39" s="46"/>
      <c r="O39" s="46"/>
    </row>
    <row r="40" spans="2:15" ht="12" customHeight="1" x14ac:dyDescent="0.2">
      <c r="B40" s="259"/>
      <c r="C40" s="267" t="s">
        <v>66</v>
      </c>
      <c r="D40" s="268">
        <f>'Historical data'!L23</f>
        <v>2942.2600000000039</v>
      </c>
      <c r="E40" s="263"/>
      <c r="K40" s="234"/>
      <c r="L40" s="46"/>
      <c r="M40" s="46"/>
      <c r="N40" s="46"/>
      <c r="O40" s="46"/>
    </row>
    <row r="41" spans="2:15" ht="12" customHeight="1" x14ac:dyDescent="0.2">
      <c r="B41" s="259"/>
      <c r="C41" s="267" t="s">
        <v>390</v>
      </c>
      <c r="D41" s="269"/>
      <c r="E41" s="263"/>
      <c r="K41" s="234"/>
      <c r="L41" s="46"/>
      <c r="M41" s="46"/>
      <c r="N41" s="46"/>
      <c r="O41" s="46"/>
    </row>
    <row r="42" spans="2:15" ht="12" customHeight="1" x14ac:dyDescent="0.2">
      <c r="B42" s="259"/>
      <c r="C42" s="267" t="s">
        <v>392</v>
      </c>
      <c r="D42" s="268">
        <f>'Historical data'!L32</f>
        <v>2769.2800000000038</v>
      </c>
      <c r="E42" s="263"/>
      <c r="K42" s="234"/>
      <c r="L42" s="46"/>
      <c r="M42" s="46"/>
      <c r="N42" s="46"/>
      <c r="O42" s="46"/>
    </row>
    <row r="43" spans="2:15" ht="12" customHeight="1" x14ac:dyDescent="0.2">
      <c r="B43" s="259"/>
      <c r="C43" s="270"/>
      <c r="D43" s="271"/>
      <c r="E43" s="263"/>
      <c r="K43" s="234"/>
      <c r="L43" s="46"/>
      <c r="M43" s="46"/>
      <c r="N43" s="46"/>
      <c r="O43" s="46"/>
    </row>
    <row r="44" spans="2:15" ht="12" customHeight="1" x14ac:dyDescent="0.2">
      <c r="B44" s="259"/>
      <c r="C44" s="230" t="s">
        <v>389</v>
      </c>
      <c r="D44" s="272">
        <f>'Historical data'!L38</f>
        <v>2538.7700000000041</v>
      </c>
      <c r="E44" s="263"/>
      <c r="K44" s="234"/>
      <c r="L44" s="46"/>
      <c r="M44" s="46"/>
      <c r="N44" s="46"/>
      <c r="O44" s="46"/>
    </row>
    <row r="45" spans="2:15" ht="12" customHeight="1" x14ac:dyDescent="0.2">
      <c r="B45" s="259"/>
      <c r="C45" s="230"/>
      <c r="D45" s="242"/>
      <c r="E45" s="263"/>
      <c r="K45" s="234"/>
      <c r="L45" s="46"/>
      <c r="M45" s="46"/>
      <c r="N45" s="46"/>
      <c r="O45" s="46"/>
    </row>
    <row r="46" spans="2:15" ht="12" customHeight="1" x14ac:dyDescent="0.2">
      <c r="B46" s="259"/>
      <c r="C46" s="229" t="s">
        <v>77</v>
      </c>
      <c r="D46" s="273">
        <f>'Historical data'!L43</f>
        <v>703.2603878116355</v>
      </c>
      <c r="E46" s="263"/>
      <c r="F46" s="250"/>
      <c r="K46" s="234"/>
      <c r="L46" s="46"/>
      <c r="M46" s="46"/>
      <c r="N46" s="46"/>
      <c r="O46" s="46"/>
    </row>
    <row r="47" spans="2:15" ht="15.75" thickBot="1" x14ac:dyDescent="0.25">
      <c r="B47" s="260"/>
      <c r="C47" s="261"/>
      <c r="D47" s="261"/>
      <c r="E47" s="264"/>
      <c r="F47" s="251" t="s">
        <v>394</v>
      </c>
      <c r="G47" s="235"/>
      <c r="H47" s="235"/>
      <c r="I47" s="235"/>
      <c r="J47" s="235"/>
      <c r="K47" s="236"/>
      <c r="L47" s="46"/>
      <c r="M47" s="46"/>
      <c r="N47" s="46"/>
      <c r="O47" s="46"/>
    </row>
    <row r="48" spans="2:15" x14ac:dyDescent="0.2">
      <c r="B48" s="188"/>
      <c r="C48" s="188"/>
      <c r="D48" s="188"/>
      <c r="E48" s="223"/>
      <c r="L48" s="46"/>
      <c r="M48" s="46"/>
      <c r="N48" s="46"/>
      <c r="O48" s="46"/>
    </row>
    <row r="49" spans="2:15" x14ac:dyDescent="0.2">
      <c r="B49" s="188"/>
      <c r="C49" s="188"/>
      <c r="D49" s="188"/>
      <c r="E49" s="223"/>
      <c r="L49" s="46"/>
      <c r="M49" s="46"/>
      <c r="N49" s="46"/>
      <c r="O49" s="46"/>
    </row>
    <row r="50" spans="2:15" x14ac:dyDescent="0.2">
      <c r="B50" s="188"/>
      <c r="C50" s="188"/>
      <c r="D50" s="188"/>
      <c r="E50" s="223"/>
      <c r="L50" s="46"/>
      <c r="M50" s="46"/>
      <c r="N50" s="46"/>
      <c r="O50" s="46"/>
    </row>
    <row r="51" spans="2:15" x14ac:dyDescent="0.2">
      <c r="B51" s="188"/>
      <c r="C51" s="188"/>
      <c r="D51" s="188"/>
      <c r="E51" s="223"/>
      <c r="L51" s="46"/>
      <c r="M51" s="46"/>
      <c r="N51" s="46"/>
      <c r="O51" s="46"/>
    </row>
    <row r="52" spans="2:15" x14ac:dyDescent="0.2">
      <c r="B52" s="188"/>
      <c r="C52" s="188"/>
      <c r="D52" s="188"/>
      <c r="E52" s="223"/>
      <c r="L52" s="46"/>
      <c r="M52" s="46"/>
      <c r="N52" s="46"/>
      <c r="O52" s="46"/>
    </row>
    <row r="53" spans="2:15" x14ac:dyDescent="0.2">
      <c r="B53" s="188"/>
      <c r="C53" s="188"/>
      <c r="D53" s="188"/>
      <c r="E53" s="223"/>
      <c r="L53" s="46"/>
      <c r="M53" s="46"/>
      <c r="N53" s="46"/>
      <c r="O53" s="46"/>
    </row>
    <row r="54" spans="2:15" x14ac:dyDescent="0.2">
      <c r="B54" s="188"/>
      <c r="C54" s="188"/>
      <c r="D54" s="188"/>
      <c r="E54" s="223"/>
      <c r="L54" s="46"/>
      <c r="M54" s="46"/>
      <c r="N54" s="46"/>
      <c r="O54" s="46"/>
    </row>
    <row r="55" spans="2:15" x14ac:dyDescent="0.2">
      <c r="B55" s="188"/>
      <c r="C55" s="188"/>
      <c r="D55" s="188"/>
      <c r="E55" s="223"/>
      <c r="L55" s="46"/>
      <c r="M55" s="46"/>
      <c r="N55" s="46"/>
      <c r="O55" s="46"/>
    </row>
    <row r="56" spans="2:15" x14ac:dyDescent="0.2">
      <c r="B56" s="188"/>
      <c r="C56" s="188"/>
      <c r="D56" s="188"/>
      <c r="E56" s="223"/>
      <c r="L56" s="46"/>
      <c r="M56" s="46"/>
      <c r="N56" s="46"/>
      <c r="O56" s="46"/>
    </row>
    <row r="57" spans="2:15" x14ac:dyDescent="0.2">
      <c r="B57" s="188"/>
      <c r="C57" s="188"/>
      <c r="D57" s="188"/>
      <c r="E57" s="223"/>
      <c r="L57" s="46"/>
      <c r="M57" s="46"/>
      <c r="N57" s="46"/>
      <c r="O57" s="46"/>
    </row>
    <row r="58" spans="2:15" x14ac:dyDescent="0.2">
      <c r="B58" s="188"/>
      <c r="C58" s="188"/>
      <c r="D58" s="188"/>
      <c r="E58" s="223"/>
      <c r="L58" s="46"/>
      <c r="M58" s="46"/>
      <c r="N58" s="46"/>
      <c r="O58" s="46"/>
    </row>
    <row r="59" spans="2:15" x14ac:dyDescent="0.2">
      <c r="B59" s="188"/>
      <c r="C59" s="188"/>
      <c r="D59" s="188"/>
      <c r="E59" s="223"/>
      <c r="L59" s="46"/>
      <c r="M59" s="46"/>
      <c r="N59" s="46"/>
      <c r="O59" s="46"/>
    </row>
    <row r="60" spans="2:15" x14ac:dyDescent="0.2">
      <c r="B60" s="188"/>
      <c r="C60" s="188"/>
      <c r="D60" s="188"/>
      <c r="E60" s="223"/>
      <c r="L60" s="46"/>
      <c r="M60" s="46"/>
      <c r="N60" s="46"/>
      <c r="O60" s="46"/>
    </row>
    <row r="61" spans="2:15" x14ac:dyDescent="0.2">
      <c r="B61" s="188"/>
      <c r="C61" s="188"/>
      <c r="D61" s="188"/>
      <c r="E61" s="223"/>
      <c r="L61" s="46"/>
      <c r="M61" s="46"/>
      <c r="N61" s="46"/>
      <c r="O61" s="46"/>
    </row>
    <row r="62" spans="2:15" x14ac:dyDescent="0.2">
      <c r="B62" s="188"/>
      <c r="C62" s="188"/>
      <c r="D62" s="188"/>
      <c r="E62" s="223"/>
      <c r="L62" s="46"/>
      <c r="M62" s="46"/>
      <c r="N62" s="46"/>
      <c r="O62" s="46"/>
    </row>
    <row r="63" spans="2:15" x14ac:dyDescent="0.2">
      <c r="B63" s="188"/>
      <c r="C63" s="188"/>
      <c r="D63" s="188"/>
      <c r="E63" s="223"/>
      <c r="L63" s="46"/>
      <c r="M63" s="46"/>
      <c r="N63" s="46"/>
      <c r="O63" s="46"/>
    </row>
    <row r="64" spans="2:15" x14ac:dyDescent="0.2">
      <c r="B64" s="188"/>
      <c r="C64" s="188"/>
      <c r="D64" s="188"/>
      <c r="E64" s="223"/>
      <c r="L64" s="46"/>
      <c r="M64" s="46"/>
      <c r="N64" s="46"/>
      <c r="O64" s="46"/>
    </row>
  </sheetData>
  <mergeCells count="4">
    <mergeCell ref="C28:D28"/>
    <mergeCell ref="B3:E3"/>
    <mergeCell ref="F3:K3"/>
    <mergeCell ref="F4:K4"/>
  </mergeCells>
  <pageMargins left="0.7" right="0.7" top="0.75" bottom="0.75" header="0.3" footer="0.3"/>
  <pageSetup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F1959-254D-486A-9224-41A4F1FD37A3}">
  <sheetPr codeName="Sheet1">
    <tabColor rgb="FF00B0F0"/>
  </sheetPr>
  <dimension ref="A1:N110"/>
  <sheetViews>
    <sheetView showGridLines="0" topLeftCell="A19" zoomScaleNormal="100" workbookViewId="0">
      <selection activeCell="N5" sqref="N5"/>
    </sheetView>
  </sheetViews>
  <sheetFormatPr defaultRowHeight="15" x14ac:dyDescent="0.2"/>
  <cols>
    <col min="1" max="1" width="1.8828125" style="1" customWidth="1"/>
    <col min="2" max="2" width="29.19140625" style="15" bestFit="1" customWidth="1"/>
    <col min="3" max="11" width="11.703125" style="8" customWidth="1"/>
    <col min="12" max="12" width="11.1640625" style="8" bestFit="1" customWidth="1"/>
    <col min="13" max="13" width="11.56640625" style="8" hidden="1" customWidth="1"/>
    <col min="14" max="14" width="9.68359375" bestFit="1" customWidth="1"/>
  </cols>
  <sheetData>
    <row r="1" spans="1:13" s="1" customFormat="1" x14ac:dyDescent="0.2">
      <c r="B1" s="15"/>
      <c r="C1" s="8"/>
      <c r="D1" s="8"/>
      <c r="E1" s="8"/>
      <c r="F1" s="8"/>
      <c r="G1" s="8"/>
      <c r="H1" s="8"/>
      <c r="I1" s="8"/>
      <c r="J1" s="8"/>
      <c r="K1" s="8"/>
      <c r="L1" s="8"/>
      <c r="M1" s="8"/>
    </row>
    <row r="2" spans="1:13" s="1" customFormat="1" x14ac:dyDescent="0.2">
      <c r="B2" s="15"/>
      <c r="C2" s="8"/>
      <c r="D2" s="8"/>
      <c r="E2" s="8"/>
      <c r="F2" s="8"/>
      <c r="G2" s="8"/>
      <c r="H2" s="8"/>
      <c r="I2" s="8"/>
      <c r="J2" s="8"/>
      <c r="K2" s="8"/>
      <c r="L2" s="8"/>
      <c r="M2" s="8"/>
    </row>
    <row r="3" spans="1:13" s="1" customFormat="1" x14ac:dyDescent="0.2">
      <c r="B3" s="135"/>
      <c r="C3" s="136"/>
      <c r="D3" s="137"/>
      <c r="E3" s="8"/>
      <c r="F3" s="8"/>
      <c r="G3" s="8"/>
      <c r="H3" s="8"/>
      <c r="I3" s="8"/>
      <c r="J3" s="8"/>
      <c r="K3" s="8"/>
      <c r="L3" s="8"/>
      <c r="M3" s="8"/>
    </row>
    <row r="4" spans="1:13" s="1" customFormat="1" x14ac:dyDescent="0.2">
      <c r="B4" s="135"/>
      <c r="C4" s="136"/>
      <c r="D4" s="137"/>
      <c r="E4" s="8"/>
      <c r="F4" s="8"/>
      <c r="G4" s="8"/>
      <c r="H4" s="8"/>
      <c r="I4" s="8"/>
      <c r="J4" s="8"/>
      <c r="K4" s="8"/>
      <c r="L4" s="8"/>
      <c r="M4" s="8"/>
    </row>
    <row r="5" spans="1:13" s="1" customFormat="1" x14ac:dyDescent="0.2">
      <c r="B5" s="135"/>
      <c r="C5" s="136"/>
      <c r="D5" s="136"/>
      <c r="E5" s="8"/>
      <c r="F5" s="8"/>
      <c r="G5" s="8"/>
      <c r="H5" s="8"/>
      <c r="I5" s="8"/>
      <c r="J5" s="8"/>
      <c r="K5" s="8"/>
      <c r="L5" s="8"/>
      <c r="M5" s="8"/>
    </row>
    <row r="6" spans="1:13" x14ac:dyDescent="0.2">
      <c r="B6"/>
    </row>
    <row r="7" spans="1:13" x14ac:dyDescent="0.2">
      <c r="B7" s="280" t="str">
        <f>"Historical Financial Statement"&amp;" -"&amp;'Data Sheet'!B1</f>
        <v>Historical Financial Statement -SHREE CEMENT LTD</v>
      </c>
      <c r="C7" s="280"/>
      <c r="D7" s="280"/>
      <c r="E7" s="280"/>
      <c r="F7" s="280"/>
      <c r="G7" s="280"/>
      <c r="H7" s="280"/>
      <c r="I7" s="280"/>
      <c r="J7" s="280"/>
      <c r="K7" s="280"/>
      <c r="L7" s="280"/>
      <c r="M7" s="280"/>
    </row>
    <row r="8" spans="1:13" x14ac:dyDescent="0.2">
      <c r="B8" s="14" t="s">
        <v>1</v>
      </c>
      <c r="C8" s="9">
        <f>'Data Sheet'!B16</f>
        <v>41820</v>
      </c>
      <c r="D8" s="9">
        <f>'Data Sheet'!C16</f>
        <v>42185</v>
      </c>
      <c r="E8" s="9">
        <f>'Data Sheet'!D16</f>
        <v>42460</v>
      </c>
      <c r="F8" s="9">
        <f>'Data Sheet'!E16</f>
        <v>42825</v>
      </c>
      <c r="G8" s="9">
        <f>'Data Sheet'!F16</f>
        <v>43190</v>
      </c>
      <c r="H8" s="9">
        <f>'Data Sheet'!G16</f>
        <v>43555</v>
      </c>
      <c r="I8" s="9">
        <f>'Data Sheet'!H16</f>
        <v>43921</v>
      </c>
      <c r="J8" s="9">
        <f>'Data Sheet'!I16</f>
        <v>44286</v>
      </c>
      <c r="K8" s="44">
        <f>'Data Sheet'!J16</f>
        <v>44651</v>
      </c>
      <c r="L8" s="9">
        <f>'Data Sheet'!K16</f>
        <v>45016</v>
      </c>
      <c r="M8" s="9" t="s">
        <v>245</v>
      </c>
    </row>
    <row r="9" spans="1:13" x14ac:dyDescent="0.2">
      <c r="B9"/>
      <c r="C9" s="22"/>
      <c r="D9"/>
      <c r="E9" s="1"/>
      <c r="F9"/>
      <c r="G9"/>
      <c r="H9"/>
      <c r="I9"/>
      <c r="J9"/>
      <c r="K9"/>
      <c r="L9"/>
      <c r="M9"/>
    </row>
    <row r="10" spans="1:13" x14ac:dyDescent="0.2">
      <c r="A10" t="s">
        <v>57</v>
      </c>
      <c r="B10" s="20" t="s">
        <v>58</v>
      </c>
      <c r="C10" s="18"/>
      <c r="D10" s="18"/>
      <c r="E10" s="18"/>
      <c r="F10" s="18"/>
      <c r="G10" s="18"/>
      <c r="H10" s="18"/>
      <c r="I10" s="18"/>
      <c r="J10" s="18"/>
      <c r="K10" s="18"/>
      <c r="L10" s="18"/>
      <c r="M10" s="18"/>
    </row>
    <row r="11" spans="1:13" x14ac:dyDescent="0.2">
      <c r="B11" s="15" t="s">
        <v>15</v>
      </c>
      <c r="C11" s="10">
        <f>IFERROR('Data Sheet'!B17,0)</f>
        <v>5714.53</v>
      </c>
      <c r="D11" s="10">
        <f>IFERROR('Data Sheet'!C17,0)</f>
        <v>6259.39</v>
      </c>
      <c r="E11" s="10">
        <f>IFERROR('Data Sheet'!D17,0)</f>
        <v>5513.64</v>
      </c>
      <c r="F11" s="10">
        <f>IFERROR('Data Sheet'!E17,0)</f>
        <v>8594.2999999999993</v>
      </c>
      <c r="G11" s="10">
        <f>IFERROR('Data Sheet'!F17,0)</f>
        <v>9826.35</v>
      </c>
      <c r="H11" s="10">
        <f>IFERROR('Data Sheet'!G17,0)</f>
        <v>11722</v>
      </c>
      <c r="I11" s="10">
        <f>IFERROR('Data Sheet'!H17,0)</f>
        <v>11904</v>
      </c>
      <c r="J11" s="10">
        <f>IFERROR('Data Sheet'!I17,0)</f>
        <v>12668.87</v>
      </c>
      <c r="K11" s="10">
        <f>IFERROR('Data Sheet'!J17,0)</f>
        <v>14305.88</v>
      </c>
      <c r="L11" s="10">
        <f>IFERROR('Data Sheet'!K17,0)</f>
        <v>16837.490000000002</v>
      </c>
      <c r="M11" s="8">
        <f>IFERROR(SUM('Data Sheet'!H42:K42),0)</f>
        <v>16837.490000000002</v>
      </c>
    </row>
    <row r="12" spans="1:13" x14ac:dyDescent="0.2">
      <c r="B12" s="16" t="s">
        <v>59</v>
      </c>
      <c r="C12" s="11" t="s">
        <v>60</v>
      </c>
      <c r="D12" s="12">
        <f>D11/C11-1</f>
        <v>9.5346423940376734E-2</v>
      </c>
      <c r="E12" s="12">
        <f t="shared" ref="E12:L12" si="0">E11/D11-1</f>
        <v>-0.11914100255775717</v>
      </c>
      <c r="F12" s="12">
        <f t="shared" si="0"/>
        <v>0.55873433883967727</v>
      </c>
      <c r="G12" s="12">
        <f t="shared" si="0"/>
        <v>0.14335664335664355</v>
      </c>
      <c r="H12" s="12">
        <f t="shared" si="0"/>
        <v>0.19291496842673017</v>
      </c>
      <c r="I12" s="12">
        <f t="shared" si="0"/>
        <v>1.5526360689302132E-2</v>
      </c>
      <c r="J12" s="12">
        <f t="shared" si="0"/>
        <v>6.4253192204301035E-2</v>
      </c>
      <c r="K12" s="12">
        <f t="shared" si="0"/>
        <v>0.1292151549427849</v>
      </c>
      <c r="L12" s="12">
        <f t="shared" si="0"/>
        <v>0.17696289917152974</v>
      </c>
      <c r="M12" s="12"/>
    </row>
    <row r="14" spans="1:13" x14ac:dyDescent="0.2">
      <c r="B14" s="15" t="s">
        <v>61</v>
      </c>
      <c r="C14" s="10">
        <f>IFERROR(SUM('Data Sheet'!B18,'Data Sheet'!B20:B22)-1*'Data Sheet'!B19,0)</f>
        <v>2825.8300000000004</v>
      </c>
      <c r="D14" s="10">
        <f>IFERROR(SUM('Data Sheet'!C18,'Data Sheet'!C20:C22)-1*'Data Sheet'!C19,0)</f>
        <v>3148.33</v>
      </c>
      <c r="E14" s="10">
        <f>IFERROR(SUM('Data Sheet'!D18,'Data Sheet'!D20:D22)-1*'Data Sheet'!D19,0)</f>
        <v>2486.06</v>
      </c>
      <c r="F14" s="10">
        <f>IFERROR(SUM('Data Sheet'!E18,'Data Sheet'!E20:E22)-1*'Data Sheet'!E19,0)</f>
        <v>3433.33</v>
      </c>
      <c r="G14" s="10">
        <f>IFERROR(SUM('Data Sheet'!F18,'Data Sheet'!F20:F22)-1*'Data Sheet'!F19,0)</f>
        <v>4124.7</v>
      </c>
      <c r="H14" s="10">
        <f>IFERROR(SUM('Data Sheet'!G18,'Data Sheet'!G20:G22)-1*'Data Sheet'!G19,0)</f>
        <v>5218.55</v>
      </c>
      <c r="I14" s="10">
        <f>IFERROR(SUM('Data Sheet'!H18,'Data Sheet'!H20:H22)-1*'Data Sheet'!H19,0)</f>
        <v>4771.38</v>
      </c>
      <c r="J14" s="10">
        <f>IFERROR(SUM('Data Sheet'!I18,'Data Sheet'!I20:I22)-1*'Data Sheet'!I19,0)</f>
        <v>4698.0000000000009</v>
      </c>
      <c r="K14" s="10">
        <f>IFERROR(SUM('Data Sheet'!J18,'Data Sheet'!J20:J22)-1*'Data Sheet'!J19,0)</f>
        <v>6406.1200000000008</v>
      </c>
      <c r="L14" s="10">
        <f>IFERROR(SUM('Data Sheet'!K18,'Data Sheet'!K20:K22)-1*'Data Sheet'!K19,0)</f>
        <v>9039.0799999999981</v>
      </c>
      <c r="M14" s="10"/>
    </row>
    <row r="15" spans="1:13" x14ac:dyDescent="0.2">
      <c r="B15" s="16" t="s">
        <v>62</v>
      </c>
      <c r="C15" s="12">
        <f>C14/C11</f>
        <v>0.4944991101630406</v>
      </c>
      <c r="D15" s="12">
        <f t="shared" ref="D15:L15" si="1">D14/D11</f>
        <v>0.50297712716414855</v>
      </c>
      <c r="E15" s="12">
        <f t="shared" si="1"/>
        <v>0.4508926952067962</v>
      </c>
      <c r="F15" s="12">
        <f t="shared" si="1"/>
        <v>0.39948919632779867</v>
      </c>
      <c r="G15" s="12">
        <f t="shared" si="1"/>
        <v>0.41975911706788377</v>
      </c>
      <c r="H15" s="12">
        <f t="shared" si="1"/>
        <v>0.44519279986350452</v>
      </c>
      <c r="I15" s="12">
        <f t="shared" si="1"/>
        <v>0.40082157258064516</v>
      </c>
      <c r="J15" s="12">
        <f t="shared" si="1"/>
        <v>0.3708302318991355</v>
      </c>
      <c r="K15" s="12">
        <f t="shared" si="1"/>
        <v>0.44779629075596894</v>
      </c>
      <c r="L15" s="12">
        <f t="shared" si="1"/>
        <v>0.53684248661766076</v>
      </c>
    </row>
    <row r="17" spans="2:13" x14ac:dyDescent="0.2">
      <c r="B17" s="67" t="s">
        <v>63</v>
      </c>
      <c r="C17" s="68">
        <f>C11-C14</f>
        <v>2888.6999999999994</v>
      </c>
      <c r="D17" s="68">
        <f t="shared" ref="D17:L17" si="2">D11-D14</f>
        <v>3111.0600000000004</v>
      </c>
      <c r="E17" s="68">
        <f t="shared" si="2"/>
        <v>3027.5800000000004</v>
      </c>
      <c r="F17" s="68">
        <f t="shared" si="2"/>
        <v>5160.9699999999993</v>
      </c>
      <c r="G17" s="68">
        <f t="shared" si="2"/>
        <v>5701.6500000000005</v>
      </c>
      <c r="H17" s="68">
        <f t="shared" si="2"/>
        <v>6503.45</v>
      </c>
      <c r="I17" s="68">
        <f t="shared" si="2"/>
        <v>7132.62</v>
      </c>
      <c r="J17" s="68">
        <f t="shared" si="2"/>
        <v>7970.87</v>
      </c>
      <c r="K17" s="68">
        <f t="shared" si="2"/>
        <v>7899.7599999999984</v>
      </c>
      <c r="L17" s="68">
        <f t="shared" si="2"/>
        <v>7798.4100000000035</v>
      </c>
    </row>
    <row r="18" spans="2:13" s="1" customFormat="1" x14ac:dyDescent="0.2">
      <c r="B18" s="16" t="s">
        <v>71</v>
      </c>
      <c r="C18" s="12">
        <f>C17/C11</f>
        <v>0.5055008898369594</v>
      </c>
      <c r="D18" s="12">
        <f t="shared" ref="D18:L18" si="3">D17/D11</f>
        <v>0.49702287283585145</v>
      </c>
      <c r="E18" s="12">
        <f t="shared" si="3"/>
        <v>0.5491073047932038</v>
      </c>
      <c r="F18" s="12">
        <f t="shared" si="3"/>
        <v>0.60051080367220133</v>
      </c>
      <c r="G18" s="12">
        <f t="shared" si="3"/>
        <v>0.58024088293211629</v>
      </c>
      <c r="H18" s="12">
        <f t="shared" si="3"/>
        <v>0.55480720013649543</v>
      </c>
      <c r="I18" s="12">
        <f t="shared" si="3"/>
        <v>0.59917842741935479</v>
      </c>
      <c r="J18" s="12">
        <f t="shared" si="3"/>
        <v>0.62916976810086456</v>
      </c>
      <c r="K18" s="12">
        <f t="shared" si="3"/>
        <v>0.55220370924403106</v>
      </c>
      <c r="L18" s="12">
        <f t="shared" si="3"/>
        <v>0.46315751338233924</v>
      </c>
      <c r="M18" s="8"/>
    </row>
    <row r="20" spans="2:13" x14ac:dyDescent="0.2">
      <c r="B20" s="15" t="s">
        <v>64</v>
      </c>
      <c r="C20" s="13">
        <f>IFERROR(SUM('Data Sheet'!B23:B24),0)</f>
        <v>1498.8999999999999</v>
      </c>
      <c r="D20" s="13">
        <f>IFERROR(SUM('Data Sheet'!C23:C24),0)</f>
        <v>1767.2099999999998</v>
      </c>
      <c r="E20" s="13">
        <f>IFERROR(SUM('Data Sheet'!D23:D24),0)</f>
        <v>1620.67</v>
      </c>
      <c r="F20" s="13">
        <f>IFERROR(SUM('Data Sheet'!E23:E24),0)</f>
        <v>2647.8</v>
      </c>
      <c r="G20" s="13">
        <f>IFERROR(SUM('Data Sheet'!F23:F24),0)</f>
        <v>3228.87</v>
      </c>
      <c r="H20" s="13">
        <f>IFERROR(SUM('Data Sheet'!G23:G24),0)</f>
        <v>3847.63</v>
      </c>
      <c r="I20" s="13">
        <f>IFERROR(SUM('Data Sheet'!H23:H24),0)</f>
        <v>3446.59</v>
      </c>
      <c r="J20" s="13">
        <f>IFERROR(SUM('Data Sheet'!I23:I24),0)</f>
        <v>3979.04</v>
      </c>
      <c r="K20" s="13">
        <f>IFERROR(SUM('Data Sheet'!J23:J24),0)</f>
        <v>4249.92</v>
      </c>
      <c r="L20" s="13">
        <f>IFERROR(SUM('Data Sheet'!K23:K24),0)</f>
        <v>4856.1499999999996</v>
      </c>
    </row>
    <row r="21" spans="2:13" x14ac:dyDescent="0.2">
      <c r="B21" s="16" t="s">
        <v>65</v>
      </c>
      <c r="C21" s="12">
        <f>C20/C11</f>
        <v>0.26229628683373785</v>
      </c>
      <c r="D21" s="12">
        <f t="shared" ref="D21:L21" si="4">D20/D11</f>
        <v>0.28232942826697166</v>
      </c>
      <c r="E21" s="12">
        <f t="shared" si="4"/>
        <v>0.29393830572906465</v>
      </c>
      <c r="F21" s="12">
        <f t="shared" si="4"/>
        <v>0.30808791873683727</v>
      </c>
      <c r="G21" s="12">
        <f t="shared" si="4"/>
        <v>0.32859301775328581</v>
      </c>
      <c r="H21" s="12">
        <f t="shared" si="4"/>
        <v>0.32824006142296536</v>
      </c>
      <c r="I21" s="12">
        <f t="shared" si="4"/>
        <v>0.28953209005376346</v>
      </c>
      <c r="J21" s="12">
        <f t="shared" si="4"/>
        <v>0.31408010343463938</v>
      </c>
      <c r="K21" s="12">
        <f t="shared" si="4"/>
        <v>0.29707504886102781</v>
      </c>
      <c r="L21" s="12">
        <f t="shared" si="4"/>
        <v>0.28841294040857629</v>
      </c>
    </row>
    <row r="22" spans="2:13" x14ac:dyDescent="0.2">
      <c r="B22" s="17"/>
      <c r="C22" s="13"/>
    </row>
    <row r="23" spans="2:13" x14ac:dyDescent="0.2">
      <c r="B23" s="67" t="s">
        <v>66</v>
      </c>
      <c r="C23" s="68">
        <f>C17-C20</f>
        <v>1389.7999999999995</v>
      </c>
      <c r="D23" s="68">
        <f t="shared" ref="D23:L23" si="5">D17-D20</f>
        <v>1343.8500000000006</v>
      </c>
      <c r="E23" s="68">
        <f t="shared" si="5"/>
        <v>1406.9100000000003</v>
      </c>
      <c r="F23" s="68">
        <f t="shared" si="5"/>
        <v>2513.1699999999992</v>
      </c>
      <c r="G23" s="68">
        <f t="shared" si="5"/>
        <v>2472.7800000000007</v>
      </c>
      <c r="H23" s="68">
        <f t="shared" si="5"/>
        <v>2655.8199999999997</v>
      </c>
      <c r="I23" s="68">
        <f t="shared" si="5"/>
        <v>3686.0299999999997</v>
      </c>
      <c r="J23" s="68">
        <f t="shared" si="5"/>
        <v>3991.83</v>
      </c>
      <c r="K23" s="68">
        <f t="shared" si="5"/>
        <v>3649.8399999999983</v>
      </c>
      <c r="L23" s="68">
        <f t="shared" si="5"/>
        <v>2942.2600000000039</v>
      </c>
    </row>
    <row r="24" spans="2:13" x14ac:dyDescent="0.2">
      <c r="B24" s="16" t="s">
        <v>67</v>
      </c>
      <c r="C24" s="12">
        <f>C23/C11</f>
        <v>0.24320460300322153</v>
      </c>
      <c r="D24" s="12">
        <f t="shared" ref="D24:L24" si="6">D23/D11</f>
        <v>0.21469344456887979</v>
      </c>
      <c r="E24" s="12">
        <f t="shared" si="6"/>
        <v>0.25516899906413915</v>
      </c>
      <c r="F24" s="12">
        <f t="shared" si="6"/>
        <v>0.29242288493536406</v>
      </c>
      <c r="G24" s="12">
        <f t="shared" si="6"/>
        <v>0.25164786517883042</v>
      </c>
      <c r="H24" s="12">
        <f t="shared" si="6"/>
        <v>0.2265671387135301</v>
      </c>
      <c r="I24" s="12">
        <f t="shared" si="6"/>
        <v>0.30964633736559138</v>
      </c>
      <c r="J24" s="12">
        <f t="shared" si="6"/>
        <v>0.31508966466622512</v>
      </c>
      <c r="K24" s="12">
        <f t="shared" si="6"/>
        <v>0.25512866038300325</v>
      </c>
      <c r="L24" s="12">
        <f t="shared" si="6"/>
        <v>0.17474457297376292</v>
      </c>
    </row>
    <row r="26" spans="2:13" x14ac:dyDescent="0.2">
      <c r="B26" s="15" t="s">
        <v>25</v>
      </c>
      <c r="C26" s="13">
        <f>IFERROR(('Data Sheet'!B27),0)</f>
        <v>129.19</v>
      </c>
      <c r="D26" s="13">
        <f>IFERROR(('Data Sheet'!C27),0)</f>
        <v>120.63</v>
      </c>
      <c r="E26" s="13">
        <f>IFERROR(('Data Sheet'!D27),0)</f>
        <v>75.77</v>
      </c>
      <c r="F26" s="13">
        <f>IFERROR(('Data Sheet'!E27),0)</f>
        <v>129.41999999999999</v>
      </c>
      <c r="G26" s="13">
        <f>IFERROR(('Data Sheet'!F27),0)</f>
        <v>135.27000000000001</v>
      </c>
      <c r="H26" s="13">
        <f>IFERROR(('Data Sheet'!G27),0)</f>
        <v>246.98</v>
      </c>
      <c r="I26" s="13">
        <f>IFERROR(('Data Sheet'!H27),0)</f>
        <v>286.52</v>
      </c>
      <c r="J26" s="13">
        <f>IFERROR(('Data Sheet'!I27),0)</f>
        <v>247.1</v>
      </c>
      <c r="K26" s="13">
        <f>IFERROR(('Data Sheet'!J27),0)</f>
        <v>217.78</v>
      </c>
      <c r="L26" s="13">
        <f>IFERROR(('Data Sheet'!K27),0)</f>
        <v>268.93</v>
      </c>
    </row>
    <row r="27" spans="2:13" x14ac:dyDescent="0.2">
      <c r="B27" s="16" t="s">
        <v>68</v>
      </c>
      <c r="C27" s="12">
        <f>C26/C11</f>
        <v>2.2607283538628724E-2</v>
      </c>
      <c r="D27" s="12">
        <f t="shared" ref="D27:L27" si="7">D26/D11</f>
        <v>1.9271845978601748E-2</v>
      </c>
      <c r="E27" s="12">
        <f t="shared" si="7"/>
        <v>1.3742282775081433E-2</v>
      </c>
      <c r="F27" s="12">
        <f t="shared" si="7"/>
        <v>1.5058818053826374E-2</v>
      </c>
      <c r="G27" s="12">
        <f t="shared" si="7"/>
        <v>1.3766047413332519E-2</v>
      </c>
      <c r="H27" s="12">
        <f t="shared" si="7"/>
        <v>2.106978331342774E-2</v>
      </c>
      <c r="I27" s="12">
        <f t="shared" si="7"/>
        <v>2.4069220430107525E-2</v>
      </c>
      <c r="J27" s="12">
        <f t="shared" si="7"/>
        <v>1.9504501980050312E-2</v>
      </c>
      <c r="K27" s="12">
        <f t="shared" si="7"/>
        <v>1.522311105643274E-2</v>
      </c>
      <c r="L27" s="12">
        <f t="shared" si="7"/>
        <v>1.5972095603323296E-2</v>
      </c>
    </row>
    <row r="29" spans="2:13" x14ac:dyDescent="0.2">
      <c r="B29" s="15" t="s">
        <v>24</v>
      </c>
      <c r="C29" s="13">
        <f>IFERROR('Data Sheet'!B45,0)</f>
        <v>290.62</v>
      </c>
      <c r="D29" s="13">
        <f>IFERROR('Data Sheet'!C45,0)</f>
        <v>299.29000000000002</v>
      </c>
      <c r="E29" s="13">
        <f>IFERROR('Data Sheet'!D45,0)</f>
        <v>232.5</v>
      </c>
      <c r="F29" s="13">
        <f>IFERROR('Data Sheet'!E45,0)</f>
        <v>250.54</v>
      </c>
      <c r="G29" s="13">
        <f>IFERROR('Data Sheet'!F45,0)</f>
        <v>252.1</v>
      </c>
      <c r="H29" s="13">
        <f>IFERROR('Data Sheet'!G45,0)</f>
        <v>301.33999999999997</v>
      </c>
      <c r="I29" s="13">
        <f>IFERROR('Data Sheet'!H45,0)</f>
        <v>327.94</v>
      </c>
      <c r="J29" s="13">
        <f>IFERROR('Data Sheet'!I45,0)</f>
        <v>362.79</v>
      </c>
      <c r="K29" s="13">
        <f>IFERROR('Data Sheet'!J45,0)</f>
        <v>413.56</v>
      </c>
      <c r="L29" s="13">
        <f>IFERROR('Data Sheet'!K45,0)</f>
        <v>441.91</v>
      </c>
    </row>
    <row r="30" spans="2:13" x14ac:dyDescent="0.2">
      <c r="B30" s="16" t="s">
        <v>69</v>
      </c>
      <c r="C30" s="12">
        <f>C29/C11</f>
        <v>5.0856325892068115E-2</v>
      </c>
      <c r="D30" s="12">
        <f t="shared" ref="D30:L30" si="8">D29/D11</f>
        <v>4.7814563399947919E-2</v>
      </c>
      <c r="E30" s="12">
        <f t="shared" si="8"/>
        <v>4.2168150260082263E-2</v>
      </c>
      <c r="F30" s="12">
        <f t="shared" si="8"/>
        <v>2.9151879734242464E-2</v>
      </c>
      <c r="G30" s="12">
        <f t="shared" si="8"/>
        <v>2.5655507894589546E-2</v>
      </c>
      <c r="H30" s="12">
        <f t="shared" si="8"/>
        <v>2.5707217198430301E-2</v>
      </c>
      <c r="I30" s="12">
        <f t="shared" si="8"/>
        <v>2.7548723118279571E-2</v>
      </c>
      <c r="J30" s="12">
        <f t="shared" si="8"/>
        <v>2.8636334574433236E-2</v>
      </c>
      <c r="K30" s="12">
        <f t="shared" si="8"/>
        <v>2.8908392912564626E-2</v>
      </c>
      <c r="L30" s="12">
        <f t="shared" si="8"/>
        <v>2.624559836412672E-2</v>
      </c>
    </row>
    <row r="32" spans="2:13" x14ac:dyDescent="0.2">
      <c r="B32" s="67" t="s">
        <v>70</v>
      </c>
      <c r="C32" s="68">
        <f>IFERROR(C23-SUM(C29-C26),0)</f>
        <v>1228.3699999999994</v>
      </c>
      <c r="D32" s="68">
        <f t="shared" ref="D32:L32" si="9">IFERROR(D23-SUM(D29-D26),0)</f>
        <v>1165.1900000000005</v>
      </c>
      <c r="E32" s="68">
        <f t="shared" si="9"/>
        <v>1250.1800000000003</v>
      </c>
      <c r="F32" s="68">
        <f t="shared" si="9"/>
        <v>2392.0499999999993</v>
      </c>
      <c r="G32" s="68">
        <f t="shared" si="9"/>
        <v>2355.9500000000007</v>
      </c>
      <c r="H32" s="68">
        <f t="shared" si="9"/>
        <v>2601.4599999999996</v>
      </c>
      <c r="I32" s="68">
        <f t="shared" si="9"/>
        <v>3644.6099999999997</v>
      </c>
      <c r="J32" s="68">
        <f t="shared" si="9"/>
        <v>3876.14</v>
      </c>
      <c r="K32" s="68">
        <f t="shared" si="9"/>
        <v>3454.0599999999981</v>
      </c>
      <c r="L32" s="68">
        <f t="shared" si="9"/>
        <v>2769.2800000000038</v>
      </c>
    </row>
    <row r="33" spans="2:13" x14ac:dyDescent="0.2">
      <c r="B33" s="16" t="s">
        <v>72</v>
      </c>
      <c r="C33" s="12">
        <f>C32/C11</f>
        <v>0.21495556064978213</v>
      </c>
      <c r="D33" s="12">
        <f t="shared" ref="D33:L33" si="10">D32/D11</f>
        <v>0.18615072714753361</v>
      </c>
      <c r="E33" s="12">
        <f t="shared" si="10"/>
        <v>0.22674313157913834</v>
      </c>
      <c r="F33" s="12">
        <f t="shared" si="10"/>
        <v>0.27832982325494798</v>
      </c>
      <c r="G33" s="12">
        <f t="shared" si="10"/>
        <v>0.23975840469757342</v>
      </c>
      <c r="H33" s="12">
        <f t="shared" si="10"/>
        <v>0.22192970482852753</v>
      </c>
      <c r="I33" s="12">
        <f t="shared" si="10"/>
        <v>0.30616683467741934</v>
      </c>
      <c r="J33" s="12">
        <f t="shared" si="10"/>
        <v>0.30595783207184218</v>
      </c>
      <c r="K33" s="12">
        <f t="shared" si="10"/>
        <v>0.24144337852687134</v>
      </c>
      <c r="L33" s="12">
        <f t="shared" si="10"/>
        <v>0.16447107021295951</v>
      </c>
    </row>
    <row r="35" spans="2:13" x14ac:dyDescent="0.2">
      <c r="B35" s="15" t="s">
        <v>27</v>
      </c>
      <c r="C35" s="13">
        <f>IFERROR('Data Sheet'!B29,0)</f>
        <v>27.91</v>
      </c>
      <c r="D35" s="13">
        <f>IFERROR('Data Sheet'!C29,0)</f>
        <v>-25.5</v>
      </c>
      <c r="E35" s="13">
        <f>IFERROR('Data Sheet'!D29,0)</f>
        <v>33.119999999999997</v>
      </c>
      <c r="F35" s="13">
        <f>IFERROR('Data Sheet'!E29,0)</f>
        <v>191.7</v>
      </c>
      <c r="G35" s="13">
        <f>IFERROR('Data Sheet'!F29,0)</f>
        <v>442.98</v>
      </c>
      <c r="H35" s="13">
        <f>IFERROR('Data Sheet'!G29,0)</f>
        <v>130.38</v>
      </c>
      <c r="I35" s="13">
        <f>IFERROR('Data Sheet'!H29,0)</f>
        <v>390.03</v>
      </c>
      <c r="J35" s="13">
        <f>IFERROR('Data Sheet'!I29,0)</f>
        <v>713.79</v>
      </c>
      <c r="K35" s="13">
        <f>IFERROR('Data Sheet'!J29,0)</f>
        <v>554.29999999999995</v>
      </c>
      <c r="L35" s="13">
        <f>IFERROR('Data Sheet'!K29,0)</f>
        <v>230.51</v>
      </c>
    </row>
    <row r="36" spans="2:13" x14ac:dyDescent="0.2">
      <c r="B36" s="16" t="s">
        <v>73</v>
      </c>
      <c r="C36" s="12">
        <f>C35/C32</f>
        <v>2.272116707506697E-2</v>
      </c>
      <c r="D36" s="12">
        <f t="shared" ref="D36:L36" si="11">D35/D32</f>
        <v>-2.1884842815334829E-2</v>
      </c>
      <c r="E36" s="12">
        <f t="shared" si="11"/>
        <v>2.6492185125341943E-2</v>
      </c>
      <c r="F36" s="12">
        <f t="shared" si="11"/>
        <v>8.0140465291277371E-2</v>
      </c>
      <c r="G36" s="12">
        <f t="shared" si="11"/>
        <v>0.18802606167363478</v>
      </c>
      <c r="H36" s="12">
        <f t="shared" si="11"/>
        <v>5.0118010655554962E-2</v>
      </c>
      <c r="I36" s="12">
        <f t="shared" si="11"/>
        <v>0.10701556545144748</v>
      </c>
      <c r="J36" s="12">
        <f t="shared" si="11"/>
        <v>0.18414969531544267</v>
      </c>
      <c r="K36" s="12">
        <f t="shared" si="11"/>
        <v>0.16047781451393439</v>
      </c>
      <c r="L36" s="12">
        <f t="shared" si="11"/>
        <v>8.3238242431245543E-2</v>
      </c>
    </row>
    <row r="38" spans="2:13" x14ac:dyDescent="0.2">
      <c r="B38" s="67" t="s">
        <v>74</v>
      </c>
      <c r="C38" s="68">
        <f>IFERROR((C32-C35),0)</f>
        <v>1200.4599999999994</v>
      </c>
      <c r="D38" s="68">
        <f t="shared" ref="D38:L38" si="12">IFERROR((D32-D35),0)</f>
        <v>1190.6900000000005</v>
      </c>
      <c r="E38" s="68">
        <f t="shared" si="12"/>
        <v>1217.0600000000004</v>
      </c>
      <c r="F38" s="68">
        <f t="shared" si="12"/>
        <v>2200.3499999999995</v>
      </c>
      <c r="G38" s="68">
        <f t="shared" si="12"/>
        <v>1912.9700000000007</v>
      </c>
      <c r="H38" s="68">
        <f t="shared" si="12"/>
        <v>2471.0799999999995</v>
      </c>
      <c r="I38" s="68">
        <f t="shared" si="12"/>
        <v>3254.58</v>
      </c>
      <c r="J38" s="68">
        <f t="shared" si="12"/>
        <v>3162.35</v>
      </c>
      <c r="K38" s="68">
        <f t="shared" si="12"/>
        <v>2899.7599999999984</v>
      </c>
      <c r="L38" s="68">
        <f t="shared" si="12"/>
        <v>2538.7700000000041</v>
      </c>
    </row>
    <row r="39" spans="2:13" x14ac:dyDescent="0.2">
      <c r="B39" s="16" t="s">
        <v>75</v>
      </c>
      <c r="C39" s="12">
        <f>C38/C11</f>
        <v>0.21007151944254374</v>
      </c>
      <c r="D39" s="12">
        <f t="shared" ref="D39:L39" si="13">D38/D11</f>
        <v>0.19022460655111767</v>
      </c>
      <c r="E39" s="12">
        <f t="shared" si="13"/>
        <v>0.22073621056144405</v>
      </c>
      <c r="F39" s="12">
        <f t="shared" si="13"/>
        <v>0.2560243417148575</v>
      </c>
      <c r="G39" s="12">
        <f t="shared" si="13"/>
        <v>0.19467757610913519</v>
      </c>
      <c r="H39" s="12">
        <f t="shared" si="13"/>
        <v>0.21080702951714719</v>
      </c>
      <c r="I39" s="12">
        <f t="shared" si="13"/>
        <v>0.27340221774193546</v>
      </c>
      <c r="J39" s="12">
        <f t="shared" si="13"/>
        <v>0.24961579051643909</v>
      </c>
      <c r="K39" s="12">
        <f t="shared" si="13"/>
        <v>0.20269707281201846</v>
      </c>
      <c r="L39" s="12">
        <f t="shared" si="13"/>
        <v>0.15078078739764678</v>
      </c>
    </row>
    <row r="41" spans="2:13" x14ac:dyDescent="0.2">
      <c r="B41" s="15" t="s">
        <v>76</v>
      </c>
      <c r="C41" s="218">
        <f>IFERROR('Data Sheet'!B93,0)</f>
        <v>3.48</v>
      </c>
      <c r="D41" s="218">
        <f>IFERROR('Data Sheet'!C93,0)</f>
        <v>3.48</v>
      </c>
      <c r="E41" s="218">
        <f>IFERROR('Data Sheet'!D93,0)</f>
        <v>3.48</v>
      </c>
      <c r="F41" s="218">
        <f>IFERROR('Data Sheet'!E93,0)</f>
        <v>3.48</v>
      </c>
      <c r="G41" s="218">
        <f>IFERROR('Data Sheet'!F93,0)</f>
        <v>3.48</v>
      </c>
      <c r="H41" s="218">
        <f>IFERROR('Data Sheet'!G93,0)</f>
        <v>3.48</v>
      </c>
      <c r="I41" s="218">
        <f>IFERROR('Data Sheet'!H93,0)</f>
        <v>3.61</v>
      </c>
      <c r="J41" s="218">
        <f>IFERROR('Data Sheet'!I93,0)</f>
        <v>3.61</v>
      </c>
      <c r="K41" s="218">
        <f>IFERROR('Data Sheet'!J93,0)</f>
        <v>3.61</v>
      </c>
      <c r="L41" s="218">
        <f>IFERROR('Data Sheet'!K93,0)</f>
        <v>3.61</v>
      </c>
    </row>
    <row r="43" spans="2:13" x14ac:dyDescent="0.2">
      <c r="B43" s="15" t="s">
        <v>77</v>
      </c>
      <c r="C43" s="13">
        <f>IFERROR(C38/C41,0)</f>
        <v>344.95977011494233</v>
      </c>
      <c r="D43" s="13">
        <f t="shared" ref="D43:L43" si="14">IFERROR(D38/D41,0)</f>
        <v>342.15229885057488</v>
      </c>
      <c r="E43" s="13">
        <f t="shared" si="14"/>
        <v>349.72988505747139</v>
      </c>
      <c r="F43" s="13">
        <f t="shared" si="14"/>
        <v>632.28448275862058</v>
      </c>
      <c r="G43" s="13">
        <f t="shared" si="14"/>
        <v>549.70402298850593</v>
      </c>
      <c r="H43" s="13">
        <f t="shared" si="14"/>
        <v>710.08045977011477</v>
      </c>
      <c r="I43" s="13">
        <f t="shared" si="14"/>
        <v>901.54570637119116</v>
      </c>
      <c r="J43" s="13">
        <f t="shared" si="14"/>
        <v>875.99722991689748</v>
      </c>
      <c r="K43" s="13">
        <f t="shared" si="14"/>
        <v>803.25761772853139</v>
      </c>
      <c r="L43" s="13">
        <f t="shared" si="14"/>
        <v>703.2603878116355</v>
      </c>
    </row>
    <row r="44" spans="2:13" s="1" customFormat="1" x14ac:dyDescent="0.2">
      <c r="B44" s="16" t="s">
        <v>79</v>
      </c>
      <c r="C44" s="12"/>
      <c r="D44" s="12">
        <f>D43/C43-1</f>
        <v>-8.1385468903576452E-3</v>
      </c>
      <c r="E44" s="12">
        <f t="shared" ref="E44:L44" si="15">E43/D43-1</f>
        <v>2.2146822430691326E-2</v>
      </c>
      <c r="F44" s="12">
        <f t="shared" si="15"/>
        <v>0.80792237030220271</v>
      </c>
      <c r="G44" s="12">
        <f t="shared" si="15"/>
        <v>-0.13060649442134165</v>
      </c>
      <c r="H44" s="12">
        <f t="shared" si="15"/>
        <v>0.29175052405421864</v>
      </c>
      <c r="I44" s="12">
        <f t="shared" si="15"/>
        <v>0.26963880496452797</v>
      </c>
      <c r="J44" s="12">
        <f t="shared" si="15"/>
        <v>-2.8338526015645682E-2</v>
      </c>
      <c r="K44" s="12">
        <f t="shared" si="15"/>
        <v>-8.3036349550176802E-2</v>
      </c>
      <c r="L44" s="12">
        <f t="shared" si="15"/>
        <v>-0.12448961293348226</v>
      </c>
      <c r="M44" s="8"/>
    </row>
    <row r="46" spans="2:13" x14ac:dyDescent="0.2">
      <c r="B46" s="15" t="s">
        <v>78</v>
      </c>
      <c r="C46" s="13">
        <f>IFERROR('Data Sheet'!B31/'Historical data'!C41,0)</f>
        <v>22.02586206896552</v>
      </c>
      <c r="D46" s="13">
        <f>IFERROR('Data Sheet'!C31/'Historical data'!D41,0)</f>
        <v>24.02873563218391</v>
      </c>
      <c r="E46" s="13">
        <f>IFERROR('Data Sheet'!D31/'Historical data'!E41,0)</f>
        <v>24.02873563218391</v>
      </c>
      <c r="F46" s="13">
        <f>IFERROR('Data Sheet'!E31/'Historical data'!F41,0)</f>
        <v>140.16091954022988</v>
      </c>
      <c r="G46" s="13">
        <f>IFERROR('Data Sheet'!F31/'Historical data'!G41,0)</f>
        <v>50.057471264367813</v>
      </c>
      <c r="H46" s="13">
        <f>IFERROR('Data Sheet'!G31/'Historical data'!H41,0)</f>
        <v>60.068965517241381</v>
      </c>
      <c r="I46" s="13">
        <f>IFERROR('Data Sheet'!H31/'Historical data'!I41,0)</f>
        <v>109.93905817174516</v>
      </c>
      <c r="J46" s="13">
        <f>IFERROR('Data Sheet'!I31/'Historical data'!J41,0)</f>
        <v>59.966759002770083</v>
      </c>
      <c r="K46" s="13">
        <f>IFERROR('Data Sheet'!J31/'Historical data'!K41,0)</f>
        <v>89.950138504155134</v>
      </c>
      <c r="L46" s="13">
        <f>IFERROR('Data Sheet'!K31/'Historical data'!L41,0)</f>
        <v>99.94459833795014</v>
      </c>
    </row>
    <row r="47" spans="2:13" x14ac:dyDescent="0.2">
      <c r="B47" s="16" t="s">
        <v>80</v>
      </c>
      <c r="C47" s="12">
        <f>C46/C43</f>
        <v>6.3850523965813144E-2</v>
      </c>
      <c r="D47" s="12">
        <f t="shared" ref="D47:L47" si="16">D46/D43</f>
        <v>7.0228187017611604E-2</v>
      </c>
      <c r="E47" s="12">
        <f t="shared" si="16"/>
        <v>6.8706555141077652E-2</v>
      </c>
      <c r="F47" s="12">
        <f t="shared" si="16"/>
        <v>0.22167382461881069</v>
      </c>
      <c r="G47" s="12">
        <f t="shared" si="16"/>
        <v>9.1062588540332542E-2</v>
      </c>
      <c r="H47" s="12">
        <f t="shared" si="16"/>
        <v>8.4594590219661064E-2</v>
      </c>
      <c r="I47" s="12">
        <f t="shared" si="16"/>
        <v>0.12194507432602671</v>
      </c>
      <c r="J47" s="12">
        <f t="shared" si="16"/>
        <v>6.8455420810473219E-2</v>
      </c>
      <c r="K47" s="12">
        <f t="shared" si="16"/>
        <v>0.11198168124258567</v>
      </c>
      <c r="L47" s="12">
        <f t="shared" si="16"/>
        <v>0.1421160640782739</v>
      </c>
    </row>
    <row r="49" spans="1:14" x14ac:dyDescent="0.2">
      <c r="B49" s="15" t="s">
        <v>81</v>
      </c>
      <c r="C49" s="19">
        <f>IFERROR(1-C47,0)</f>
        <v>0.93614947603418686</v>
      </c>
      <c r="D49" s="19">
        <f t="shared" ref="D49:L49" si="17">IFERROR(1-D47,0)</f>
        <v>0.92977181298238842</v>
      </c>
      <c r="E49" s="19">
        <f t="shared" si="17"/>
        <v>0.93129344485892229</v>
      </c>
      <c r="F49" s="19">
        <f t="shared" si="17"/>
        <v>0.77832617538118931</v>
      </c>
      <c r="G49" s="19">
        <f t="shared" si="17"/>
        <v>0.90893741145966744</v>
      </c>
      <c r="H49" s="19">
        <f t="shared" si="17"/>
        <v>0.91540540978033891</v>
      </c>
      <c r="I49" s="19">
        <f t="shared" si="17"/>
        <v>0.87805492567397325</v>
      </c>
      <c r="J49" s="19">
        <f t="shared" si="17"/>
        <v>0.93154457918952682</v>
      </c>
      <c r="K49" s="19">
        <f t="shared" si="17"/>
        <v>0.88801831875741433</v>
      </c>
      <c r="L49" s="19">
        <f t="shared" si="17"/>
        <v>0.85788393592172607</v>
      </c>
    </row>
    <row r="51" spans="1:14" x14ac:dyDescent="0.2">
      <c r="A51" s="1" t="s">
        <v>57</v>
      </c>
      <c r="B51" s="20" t="s">
        <v>82</v>
      </c>
      <c r="C51" s="20"/>
      <c r="D51" s="20"/>
      <c r="E51" s="20"/>
      <c r="F51" s="20"/>
      <c r="G51" s="20"/>
      <c r="H51" s="20"/>
      <c r="I51" s="20"/>
      <c r="J51" s="20"/>
      <c r="K51" s="20"/>
      <c r="L51" s="20"/>
      <c r="M51" s="20"/>
      <c r="N51" s="1"/>
    </row>
    <row r="52" spans="1:14" ht="15" customHeight="1" x14ac:dyDescent="0.2">
      <c r="B52" s="15" t="s">
        <v>34</v>
      </c>
      <c r="C52" s="13">
        <f>IFERROR('Data Sheet'!B57,0)</f>
        <v>34.840000000000003</v>
      </c>
      <c r="D52" s="13">
        <f>IFERROR('Data Sheet'!C57,0)</f>
        <v>34.840000000000003</v>
      </c>
      <c r="E52" s="13">
        <f>IFERROR('Data Sheet'!D57,0)</f>
        <v>34.840000000000003</v>
      </c>
      <c r="F52" s="13">
        <f>IFERROR('Data Sheet'!E57,0)</f>
        <v>34.840000000000003</v>
      </c>
      <c r="G52" s="13">
        <f>IFERROR('Data Sheet'!F57,0)</f>
        <v>34.840000000000003</v>
      </c>
      <c r="H52" s="13">
        <f>IFERROR('Data Sheet'!G57,0)</f>
        <v>34.840000000000003</v>
      </c>
      <c r="I52" s="13">
        <f>IFERROR('Data Sheet'!H57,0)</f>
        <v>36.08</v>
      </c>
      <c r="J52" s="13">
        <f>IFERROR('Data Sheet'!I57,0)</f>
        <v>36.08</v>
      </c>
      <c r="K52" s="13">
        <f>IFERROR('Data Sheet'!J57,0)</f>
        <v>36.08</v>
      </c>
      <c r="L52" s="13">
        <f>IFERROR('Data Sheet'!K57,0)</f>
        <v>36.08</v>
      </c>
    </row>
    <row r="53" spans="1:14" x14ac:dyDescent="0.2">
      <c r="B53" s="15" t="s">
        <v>35</v>
      </c>
      <c r="C53" s="13">
        <f>IFERROR('Data Sheet'!B58,0)</f>
        <v>4676.03</v>
      </c>
      <c r="D53" s="13">
        <f>IFERROR('Data Sheet'!C58,0)</f>
        <v>5241.5600000000004</v>
      </c>
      <c r="E53" s="13">
        <f>IFERROR('Data Sheet'!D58,0)</f>
        <v>6810.69</v>
      </c>
      <c r="F53" s="13">
        <f>IFERROR('Data Sheet'!E58,0)</f>
        <v>7663.3</v>
      </c>
      <c r="G53" s="13">
        <f>IFERROR('Data Sheet'!F58,0)</f>
        <v>8861.99</v>
      </c>
      <c r="H53" s="13">
        <f>IFERROR('Data Sheet'!G58,0)</f>
        <v>9562.5499999999993</v>
      </c>
      <c r="I53" s="13">
        <f>IFERROR('Data Sheet'!H58,0)</f>
        <v>12900.34</v>
      </c>
      <c r="J53" s="13">
        <f>IFERROR('Data Sheet'!I58,0)</f>
        <v>15213.99</v>
      </c>
      <c r="K53" s="13">
        <f>IFERROR('Data Sheet'!J58,0)</f>
        <v>17234.79</v>
      </c>
      <c r="L53" s="13">
        <f>IFERROR('Data Sheet'!K58,0)</f>
        <v>18252.36</v>
      </c>
    </row>
    <row r="54" spans="1:14" x14ac:dyDescent="0.2">
      <c r="B54" s="15" t="s">
        <v>36</v>
      </c>
      <c r="C54" s="13">
        <f>IFERROR('Data Sheet'!B59,0)</f>
        <v>1199.8699999999999</v>
      </c>
      <c r="D54" s="13">
        <f>IFERROR('Data Sheet'!C59,0)</f>
        <v>916.64</v>
      </c>
      <c r="E54" s="13">
        <f>IFERROR('Data Sheet'!D59,0)</f>
        <v>880.51</v>
      </c>
      <c r="F54" s="13">
        <f>IFERROR('Data Sheet'!E59,0)</f>
        <v>1292.53</v>
      </c>
      <c r="G54" s="13">
        <f>IFERROR('Data Sheet'!F59,0)</f>
        <v>3402.98</v>
      </c>
      <c r="H54" s="13">
        <f>IFERROR('Data Sheet'!G59,0)</f>
        <v>2797.95</v>
      </c>
      <c r="I54" s="13">
        <f>IFERROR('Data Sheet'!H59,0)</f>
        <v>3144.19</v>
      </c>
      <c r="J54" s="13">
        <f>IFERROR('Data Sheet'!I59,0)</f>
        <v>2155.98</v>
      </c>
      <c r="K54" s="13">
        <f>IFERROR('Data Sheet'!J59,0)</f>
        <v>2209.0700000000002</v>
      </c>
      <c r="L54" s="13">
        <f>IFERROR('Data Sheet'!K59,0)</f>
        <v>2811.13</v>
      </c>
    </row>
    <row r="55" spans="1:14" x14ac:dyDescent="0.2">
      <c r="B55" s="15" t="s">
        <v>37</v>
      </c>
      <c r="C55" s="13">
        <f>IFERROR('Data Sheet'!B60,0)</f>
        <v>1417.97</v>
      </c>
      <c r="D55" s="13">
        <f>IFERROR('Data Sheet'!C60,0)</f>
        <v>1804.81</v>
      </c>
      <c r="E55" s="13">
        <f>IFERROR('Data Sheet'!D60,0)</f>
        <v>1737.24</v>
      </c>
      <c r="F55" s="13">
        <f>IFERROR('Data Sheet'!E60,0)</f>
        <v>2175.44</v>
      </c>
      <c r="G55" s="13">
        <f>IFERROR('Data Sheet'!F60,0)</f>
        <v>2842.02</v>
      </c>
      <c r="H55" s="13">
        <f>IFERROR('Data Sheet'!G60,0)</f>
        <v>2797.91</v>
      </c>
      <c r="I55" s="13">
        <f>IFERROR('Data Sheet'!H60,0)</f>
        <v>3257.26</v>
      </c>
      <c r="J55" s="13">
        <f>IFERROR('Data Sheet'!I60,0)</f>
        <v>3632.72</v>
      </c>
      <c r="K55" s="13">
        <f>IFERROR('Data Sheet'!J60,0)</f>
        <v>3935.49</v>
      </c>
      <c r="L55" s="13">
        <f>IFERROR('Data Sheet'!K60,0)</f>
        <v>4719.1099999999997</v>
      </c>
    </row>
    <row r="56" spans="1:14" x14ac:dyDescent="0.2">
      <c r="B56" s="67" t="s">
        <v>83</v>
      </c>
      <c r="C56" s="68">
        <f>IFERROR('Data Sheet'!B61,0)</f>
        <v>7328.71</v>
      </c>
      <c r="D56" s="68">
        <f>IFERROR('Data Sheet'!C61,0)</f>
        <v>7997.85</v>
      </c>
      <c r="E56" s="68">
        <f>IFERROR('Data Sheet'!D61,0)</f>
        <v>9463.2800000000007</v>
      </c>
      <c r="F56" s="68">
        <f>IFERROR('Data Sheet'!E61,0)</f>
        <v>11166.11</v>
      </c>
      <c r="G56" s="68">
        <f>IFERROR('Data Sheet'!F61,0)</f>
        <v>15141.83</v>
      </c>
      <c r="H56" s="68">
        <f>IFERROR('Data Sheet'!G61,0)</f>
        <v>15193.25</v>
      </c>
      <c r="I56" s="68">
        <f>IFERROR('Data Sheet'!H61,0)</f>
        <v>19337.87</v>
      </c>
      <c r="J56" s="68">
        <f>IFERROR('Data Sheet'!I61,0)</f>
        <v>21038.77</v>
      </c>
      <c r="K56" s="68">
        <f>IFERROR('Data Sheet'!J61,0)</f>
        <v>23415.43</v>
      </c>
      <c r="L56" s="68">
        <f>IFERROR('Data Sheet'!K61,0)</f>
        <v>25818.68</v>
      </c>
    </row>
    <row r="57" spans="1:14" s="1" customFormat="1" x14ac:dyDescent="0.2">
      <c r="B57" s="2"/>
      <c r="C57" s="8"/>
      <c r="D57" s="8"/>
      <c r="E57" s="8"/>
      <c r="F57" s="8"/>
      <c r="G57" s="8"/>
      <c r="H57" s="8"/>
      <c r="I57" s="8"/>
      <c r="J57" s="8"/>
      <c r="K57" s="8"/>
      <c r="L57" s="8"/>
      <c r="M57" s="8"/>
    </row>
    <row r="58" spans="1:14" x14ac:dyDescent="0.2">
      <c r="B58" s="15" t="s">
        <v>87</v>
      </c>
      <c r="C58" s="13">
        <f>IFERROR('Data Sheet'!B62,0)</f>
        <v>2193.77</v>
      </c>
      <c r="D58" s="13">
        <f>IFERROR('Data Sheet'!C62,0)</f>
        <v>3004.33</v>
      </c>
      <c r="E58" s="13">
        <f>IFERROR('Data Sheet'!D62,0)</f>
        <v>3050.17</v>
      </c>
      <c r="F58" s="13">
        <f>IFERROR('Data Sheet'!E62,0)</f>
        <v>2599.12</v>
      </c>
      <c r="G58" s="13">
        <f>IFERROR('Data Sheet'!F62,0)</f>
        <v>3589.18</v>
      </c>
      <c r="H58" s="13">
        <f>IFERROR('Data Sheet'!G62,0)</f>
        <v>4475.67</v>
      </c>
      <c r="I58" s="13">
        <f>IFERROR('Data Sheet'!H62,0)</f>
        <v>4318.92</v>
      </c>
      <c r="J58" s="13">
        <f>IFERROR('Data Sheet'!I62,0)</f>
        <v>4191.55</v>
      </c>
      <c r="K58" s="13">
        <f>IFERROR('Data Sheet'!J62,0)</f>
        <v>5321.49</v>
      </c>
      <c r="L58" s="13">
        <f>IFERROR('Data Sheet'!K62,0)</f>
        <v>5332.69</v>
      </c>
    </row>
    <row r="59" spans="1:14" x14ac:dyDescent="0.2">
      <c r="B59" s="15" t="s">
        <v>40</v>
      </c>
      <c r="C59" s="13">
        <f>IFERROR('Data Sheet'!B63,0)</f>
        <v>758.5</v>
      </c>
      <c r="D59" s="13">
        <f>IFERROR('Data Sheet'!C63,0)</f>
        <v>511.1</v>
      </c>
      <c r="E59" s="13">
        <f>IFERROR('Data Sheet'!D63,0)</f>
        <v>264.5</v>
      </c>
      <c r="F59" s="13">
        <f>IFERROR('Data Sheet'!E63,0)</f>
        <v>710.44</v>
      </c>
      <c r="G59" s="13">
        <f>IFERROR('Data Sheet'!F63,0)</f>
        <v>1427.15</v>
      </c>
      <c r="H59" s="13">
        <f>IFERROR('Data Sheet'!G63,0)</f>
        <v>1121.1099999999999</v>
      </c>
      <c r="I59" s="13">
        <f>IFERROR('Data Sheet'!H63,0)</f>
        <v>962.11</v>
      </c>
      <c r="J59" s="13">
        <f>IFERROR('Data Sheet'!I63,0)</f>
        <v>970.96</v>
      </c>
      <c r="K59" s="13">
        <f>IFERROR('Data Sheet'!J63,0)</f>
        <v>972.91</v>
      </c>
      <c r="L59" s="13">
        <f>IFERROR('Data Sheet'!K63,0)</f>
        <v>2320.25</v>
      </c>
    </row>
    <row r="60" spans="1:14" x14ac:dyDescent="0.2">
      <c r="B60" s="15" t="s">
        <v>41</v>
      </c>
      <c r="C60" s="13">
        <f>IFERROR('Data Sheet'!B64,0)</f>
        <v>2244.39</v>
      </c>
      <c r="D60" s="13">
        <f>IFERROR('Data Sheet'!C64,0)</f>
        <v>1662.61</v>
      </c>
      <c r="E60" s="13">
        <f>IFERROR('Data Sheet'!D64,0)</f>
        <v>3030.47</v>
      </c>
      <c r="F60" s="13">
        <f>IFERROR('Data Sheet'!E64,0)</f>
        <v>4042.6</v>
      </c>
      <c r="G60" s="13">
        <f>IFERROR('Data Sheet'!F64,0)</f>
        <v>5434.33</v>
      </c>
      <c r="H60" s="13">
        <f>IFERROR('Data Sheet'!G64,0)</f>
        <v>4443.88</v>
      </c>
      <c r="I60" s="13">
        <f>IFERROR('Data Sheet'!H64,0)</f>
        <v>8915.43</v>
      </c>
      <c r="J60" s="13">
        <f>IFERROR('Data Sheet'!I64,0)</f>
        <v>11050.61</v>
      </c>
      <c r="K60" s="13">
        <f>IFERROR('Data Sheet'!J64,0)</f>
        <v>11545.95</v>
      </c>
      <c r="L60" s="13">
        <f>IFERROR('Data Sheet'!K64,0)</f>
        <v>11650.53</v>
      </c>
    </row>
    <row r="61" spans="1:14" x14ac:dyDescent="0.2">
      <c r="B61" s="15" t="s">
        <v>42</v>
      </c>
      <c r="C61" s="13">
        <f>IFERROR('Data Sheet'!B65-SUM('Data Sheet'!B67:B69),0)</f>
        <v>866.41000000000031</v>
      </c>
      <c r="D61" s="13">
        <f>IFERROR('Data Sheet'!C65-SUM('Data Sheet'!C67:C69),0)</f>
        <v>1117.06</v>
      </c>
      <c r="E61" s="13">
        <f>IFERROR('Data Sheet'!D65-SUM('Data Sheet'!D67:D69),0)</f>
        <v>1891.29</v>
      </c>
      <c r="F61" s="13">
        <f>IFERROR('Data Sheet'!E65-SUM('Data Sheet'!E67:E69),0)</f>
        <v>2053.33</v>
      </c>
      <c r="G61" s="13">
        <f>IFERROR('Data Sheet'!F65-SUM('Data Sheet'!F67:F69),0)</f>
        <v>2542</v>
      </c>
      <c r="H61" s="13">
        <f>IFERROR('Data Sheet'!G65-SUM('Data Sheet'!G67:G69),0)</f>
        <v>2523.3600000000006</v>
      </c>
      <c r="I61" s="13">
        <f>IFERROR('Data Sheet'!H65-SUM('Data Sheet'!H67:H69),0)</f>
        <v>2776.95</v>
      </c>
      <c r="J61" s="13">
        <f>IFERROR('Data Sheet'!I65-SUM('Data Sheet'!I67:I69),0)</f>
        <v>2659.2999999999993</v>
      </c>
      <c r="K61" s="13">
        <f>IFERROR('Data Sheet'!J65-SUM('Data Sheet'!J67:J69),0)</f>
        <v>2699.7699999999995</v>
      </c>
      <c r="L61" s="13">
        <f>IFERROR('Data Sheet'!K65-SUM('Data Sheet'!K67:K69),0)</f>
        <v>3067.26</v>
      </c>
    </row>
    <row r="62" spans="1:14" x14ac:dyDescent="0.2">
      <c r="B62" s="67" t="s">
        <v>85</v>
      </c>
      <c r="C62" s="68">
        <f>IFERROR(SUM(C58:C61),0)</f>
        <v>6063.07</v>
      </c>
      <c r="D62" s="68">
        <f t="shared" ref="D62:L62" si="18">IFERROR(SUM(D58:D61),0)</f>
        <v>6295.1</v>
      </c>
      <c r="E62" s="68">
        <f t="shared" si="18"/>
        <v>8236.43</v>
      </c>
      <c r="F62" s="68">
        <f t="shared" si="18"/>
        <v>9405.49</v>
      </c>
      <c r="G62" s="68">
        <f t="shared" si="18"/>
        <v>12992.66</v>
      </c>
      <c r="H62" s="68">
        <f t="shared" si="18"/>
        <v>12564.02</v>
      </c>
      <c r="I62" s="68">
        <f t="shared" si="18"/>
        <v>16973.41</v>
      </c>
      <c r="J62" s="68">
        <f t="shared" si="18"/>
        <v>18872.419999999998</v>
      </c>
      <c r="K62" s="68">
        <f t="shared" si="18"/>
        <v>20540.12</v>
      </c>
      <c r="L62" s="68">
        <f t="shared" si="18"/>
        <v>22370.730000000003</v>
      </c>
      <c r="N62" s="45">
        <f>SUM(C58:C61)+C67</f>
        <v>7328.7099999999991</v>
      </c>
    </row>
    <row r="63" spans="1:14" s="1" customFormat="1" x14ac:dyDescent="0.2">
      <c r="B63" s="2"/>
      <c r="C63" s="8"/>
      <c r="D63" s="8"/>
      <c r="E63" s="8"/>
      <c r="F63" s="8"/>
      <c r="G63" s="8"/>
      <c r="H63" s="8"/>
      <c r="I63" s="8"/>
      <c r="J63" s="8"/>
      <c r="K63" s="8"/>
      <c r="L63" s="8"/>
      <c r="M63" s="8"/>
    </row>
    <row r="64" spans="1:14" x14ac:dyDescent="0.2">
      <c r="B64" s="15" t="s">
        <v>43</v>
      </c>
      <c r="C64" s="13">
        <f>IFERROR('Data Sheet'!B67,0)</f>
        <v>296.58999999999997</v>
      </c>
      <c r="D64" s="13">
        <f>IFERROR('Data Sheet'!C67,0)</f>
        <v>476.39</v>
      </c>
      <c r="E64" s="13">
        <f>IFERROR('Data Sheet'!D67,0)</f>
        <v>328.62</v>
      </c>
      <c r="F64" s="13">
        <f>IFERROR('Data Sheet'!E67,0)</f>
        <v>335.12</v>
      </c>
      <c r="G64" s="13">
        <f>IFERROR('Data Sheet'!F67,0)</f>
        <v>459.25</v>
      </c>
      <c r="H64" s="13">
        <f>IFERROR('Data Sheet'!G67,0)</f>
        <v>732.4</v>
      </c>
      <c r="I64" s="13">
        <f>IFERROR('Data Sheet'!H67,0)</f>
        <v>828.45</v>
      </c>
      <c r="J64" s="13">
        <f>IFERROR('Data Sheet'!I67,0)</f>
        <v>479.42</v>
      </c>
      <c r="K64" s="13">
        <f>IFERROR('Data Sheet'!J67,0)</f>
        <v>595.65</v>
      </c>
      <c r="L64" s="13">
        <f>IFERROR('Data Sheet'!K67,0)</f>
        <v>906.05</v>
      </c>
    </row>
    <row r="65" spans="1:13" x14ac:dyDescent="0.2">
      <c r="B65" s="15" t="s">
        <v>44</v>
      </c>
      <c r="C65" s="13">
        <f>IFERROR('Data Sheet'!B68,0)</f>
        <v>809.78</v>
      </c>
      <c r="D65" s="13">
        <f>IFERROR('Data Sheet'!C68,0)</f>
        <v>918.86</v>
      </c>
      <c r="E65" s="13">
        <f>IFERROR('Data Sheet'!D68,0)</f>
        <v>815.19</v>
      </c>
      <c r="F65" s="13">
        <f>IFERROR('Data Sheet'!E68,0)</f>
        <v>1314.5</v>
      </c>
      <c r="G65" s="13">
        <f>IFERROR('Data Sheet'!F68,0)</f>
        <v>1569.02</v>
      </c>
      <c r="H65" s="13">
        <f>IFERROR('Data Sheet'!G68,0)</f>
        <v>1589.05</v>
      </c>
      <c r="I65" s="13">
        <f>IFERROR('Data Sheet'!H68,0)</f>
        <v>1427.85</v>
      </c>
      <c r="J65" s="13">
        <f>IFERROR('Data Sheet'!I68,0)</f>
        <v>1477.17</v>
      </c>
      <c r="K65" s="13">
        <f>IFERROR('Data Sheet'!J68,0)</f>
        <v>2161.4</v>
      </c>
      <c r="L65" s="13">
        <f>IFERROR('Data Sheet'!K68,0)</f>
        <v>2422.61</v>
      </c>
    </row>
    <row r="66" spans="1:13" x14ac:dyDescent="0.2">
      <c r="B66" s="15" t="s">
        <v>45</v>
      </c>
      <c r="C66" s="13">
        <f>IFERROR('Data Sheet'!B69,0)</f>
        <v>159.27000000000001</v>
      </c>
      <c r="D66" s="13">
        <f>IFERROR('Data Sheet'!C69,0)</f>
        <v>307.5</v>
      </c>
      <c r="E66" s="13">
        <f>IFERROR('Data Sheet'!D69,0)</f>
        <v>83.04</v>
      </c>
      <c r="F66" s="13">
        <f>IFERROR('Data Sheet'!E69,0)</f>
        <v>111</v>
      </c>
      <c r="G66" s="13">
        <f>IFERROR('Data Sheet'!F69,0)</f>
        <v>120.9</v>
      </c>
      <c r="H66" s="13">
        <f>IFERROR('Data Sheet'!G69,0)</f>
        <v>307.77999999999997</v>
      </c>
      <c r="I66" s="13">
        <f>IFERROR('Data Sheet'!H69,0)</f>
        <v>108.16</v>
      </c>
      <c r="J66" s="13">
        <f>IFERROR('Data Sheet'!I69,0)</f>
        <v>209.76</v>
      </c>
      <c r="K66" s="13">
        <f>IFERROR('Data Sheet'!J69,0)</f>
        <v>118.26</v>
      </c>
      <c r="L66" s="13">
        <f>IFERROR('Data Sheet'!K69,0)</f>
        <v>119.29</v>
      </c>
    </row>
    <row r="67" spans="1:13" x14ac:dyDescent="0.2">
      <c r="B67" s="67" t="s">
        <v>86</v>
      </c>
      <c r="C67" s="68">
        <f t="shared" ref="C67:D67" si="19">IFERROR(SUM(C64:C66),0)</f>
        <v>1265.6399999999999</v>
      </c>
      <c r="D67" s="68">
        <f t="shared" si="19"/>
        <v>1702.75</v>
      </c>
      <c r="E67" s="68">
        <f>IFERROR(SUM(E64:E66),0)</f>
        <v>1226.8499999999999</v>
      </c>
      <c r="F67" s="68">
        <f t="shared" ref="F67:L67" si="20">IFERROR(SUM(F64:F66),0)</f>
        <v>1760.62</v>
      </c>
      <c r="G67" s="68">
        <f t="shared" si="20"/>
        <v>2149.17</v>
      </c>
      <c r="H67" s="68">
        <f t="shared" si="20"/>
        <v>2629.2299999999996</v>
      </c>
      <c r="I67" s="68">
        <f t="shared" si="20"/>
        <v>2364.46</v>
      </c>
      <c r="J67" s="68">
        <f t="shared" si="20"/>
        <v>2166.3500000000004</v>
      </c>
      <c r="K67" s="68">
        <f t="shared" si="20"/>
        <v>2875.3100000000004</v>
      </c>
      <c r="L67" s="68">
        <f t="shared" si="20"/>
        <v>3447.95</v>
      </c>
    </row>
    <row r="69" spans="1:13" x14ac:dyDescent="0.2">
      <c r="B69" s="67" t="s">
        <v>84</v>
      </c>
      <c r="C69" s="68">
        <f>IFERROR(C62+C67,0)</f>
        <v>7328.7099999999991</v>
      </c>
      <c r="D69" s="68">
        <f t="shared" ref="D69:L69" si="21">IFERROR(D62+D67,0)</f>
        <v>7997.85</v>
      </c>
      <c r="E69" s="68">
        <f t="shared" si="21"/>
        <v>9463.2800000000007</v>
      </c>
      <c r="F69" s="68">
        <f t="shared" si="21"/>
        <v>11166.11</v>
      </c>
      <c r="G69" s="68">
        <f t="shared" si="21"/>
        <v>15141.83</v>
      </c>
      <c r="H69" s="68">
        <f t="shared" si="21"/>
        <v>15193.25</v>
      </c>
      <c r="I69" s="68">
        <f t="shared" si="21"/>
        <v>19337.87</v>
      </c>
      <c r="J69" s="68">
        <f t="shared" si="21"/>
        <v>21038.769999999997</v>
      </c>
      <c r="K69" s="68">
        <f t="shared" si="21"/>
        <v>23415.43</v>
      </c>
      <c r="L69" s="68">
        <f t="shared" si="21"/>
        <v>25818.680000000004</v>
      </c>
    </row>
    <row r="71" spans="1:13" s="23" customFormat="1" x14ac:dyDescent="0.2">
      <c r="B71" s="16" t="s">
        <v>88</v>
      </c>
      <c r="C71" s="11" t="b">
        <f>C69=C56</f>
        <v>1</v>
      </c>
      <c r="D71" s="11" t="b">
        <f t="shared" ref="D71:L71" si="22">D69=D56</f>
        <v>1</v>
      </c>
      <c r="E71" s="11" t="b">
        <f t="shared" si="22"/>
        <v>1</v>
      </c>
      <c r="F71" s="11" t="b">
        <f t="shared" si="22"/>
        <v>1</v>
      </c>
      <c r="G71" s="11" t="b">
        <f t="shared" si="22"/>
        <v>1</v>
      </c>
      <c r="H71" s="11" t="b">
        <f t="shared" si="22"/>
        <v>1</v>
      </c>
      <c r="I71" s="11" t="b">
        <f t="shared" si="22"/>
        <v>1</v>
      </c>
      <c r="J71" s="11" t="b">
        <f t="shared" si="22"/>
        <v>1</v>
      </c>
      <c r="K71" s="11" t="b">
        <f t="shared" si="22"/>
        <v>1</v>
      </c>
      <c r="L71" s="11" t="b">
        <f t="shared" si="22"/>
        <v>1</v>
      </c>
    </row>
    <row r="73" spans="1:13" x14ac:dyDescent="0.2">
      <c r="A73" s="1" t="s">
        <v>57</v>
      </c>
      <c r="B73" s="20" t="s">
        <v>117</v>
      </c>
      <c r="C73" s="18"/>
      <c r="D73" s="18"/>
      <c r="E73" s="18"/>
      <c r="F73" s="18"/>
      <c r="G73" s="18"/>
      <c r="H73" s="18"/>
      <c r="I73" s="18"/>
      <c r="J73" s="18"/>
      <c r="K73" s="18"/>
      <c r="L73" s="18"/>
      <c r="M73" s="18"/>
    </row>
    <row r="74" spans="1:13" x14ac:dyDescent="0.2">
      <c r="B74" s="21" t="s">
        <v>120</v>
      </c>
    </row>
    <row r="75" spans="1:13" x14ac:dyDescent="0.2">
      <c r="B75" s="15" t="s">
        <v>90</v>
      </c>
      <c r="C75" s="37">
        <f>IFERROR('raw CFS'!C4,0)</f>
        <v>1338</v>
      </c>
      <c r="D75" s="37">
        <f>IFERROR('raw CFS'!D4,0)</f>
        <v>1351</v>
      </c>
      <c r="E75" s="37">
        <f>IFERROR('raw CFS'!E4,0)</f>
        <v>1884</v>
      </c>
      <c r="F75" s="37">
        <f>IFERROR('raw CFS'!F4,0)</f>
        <v>2542</v>
      </c>
      <c r="G75" s="37">
        <f>IFERROR('raw CFS'!G4,0)</f>
        <v>2499</v>
      </c>
      <c r="H75" s="37">
        <f>IFERROR('raw CFS'!H4,0)</f>
        <v>2820</v>
      </c>
      <c r="I75" s="37">
        <f>IFERROR('raw CFS'!I4,0)</f>
        <v>3678</v>
      </c>
      <c r="J75" s="37">
        <f>IFERROR('raw CFS'!J4,0)</f>
        <v>3986</v>
      </c>
      <c r="K75" s="37">
        <f>IFERROR('raw CFS'!K4,0)</f>
        <v>3651</v>
      </c>
      <c r="L75" s="37">
        <f>IFERROR('raw CFS'!L4,0)</f>
        <v>2936</v>
      </c>
    </row>
    <row r="76" spans="1:13" x14ac:dyDescent="0.2">
      <c r="B76" s="15" t="s">
        <v>43</v>
      </c>
      <c r="C76" s="37">
        <f>IFERROR('raw CFS'!C5,0)</f>
        <v>9</v>
      </c>
      <c r="D76" s="37">
        <f>IFERROR('raw CFS'!D5,0)</f>
        <v>-333</v>
      </c>
      <c r="E76" s="37">
        <f>IFERROR('raw CFS'!E5,0)</f>
        <v>-281</v>
      </c>
      <c r="F76" s="37">
        <f>IFERROR('raw CFS'!F5,0)</f>
        <v>17</v>
      </c>
      <c r="G76" s="37">
        <f>IFERROR('raw CFS'!G5,0)</f>
        <v>-510</v>
      </c>
      <c r="H76" s="37">
        <f>IFERROR('raw CFS'!H5,0)</f>
        <v>-401</v>
      </c>
      <c r="I76" s="37">
        <f>IFERROR('raw CFS'!I5,0)</f>
        <v>-3</v>
      </c>
      <c r="J76" s="37">
        <f>IFERROR('raw CFS'!J5,0)</f>
        <v>394</v>
      </c>
      <c r="K76" s="37">
        <f>IFERROR('raw CFS'!K5,0)</f>
        <v>-101</v>
      </c>
      <c r="L76" s="37">
        <f>IFERROR('raw CFS'!L5,0)</f>
        <v>-453</v>
      </c>
    </row>
    <row r="77" spans="1:13" x14ac:dyDescent="0.2">
      <c r="B77" s="15" t="s">
        <v>44</v>
      </c>
      <c r="C77" s="37">
        <f>IFERROR('raw CFS'!C6,0)</f>
        <v>-279</v>
      </c>
      <c r="D77" s="37">
        <f>IFERROR('raw CFS'!D6,0)</f>
        <v>-104</v>
      </c>
      <c r="E77" s="37">
        <f>IFERROR('raw CFS'!E6,0)</f>
        <v>104</v>
      </c>
      <c r="F77" s="37">
        <f>IFERROR('raw CFS'!F6,0)</f>
        <v>-499</v>
      </c>
      <c r="G77" s="37">
        <f>IFERROR('raw CFS'!G6,0)</f>
        <v>-255</v>
      </c>
      <c r="H77" s="37">
        <f>IFERROR('raw CFS'!H6,0)</f>
        <v>-20</v>
      </c>
      <c r="I77" s="37">
        <f>IFERROR('raw CFS'!I6,0)</f>
        <v>161</v>
      </c>
      <c r="J77" s="37">
        <f>IFERROR('raw CFS'!J6,0)</f>
        <v>-49</v>
      </c>
      <c r="K77" s="37">
        <f>IFERROR('raw CFS'!K6,0)</f>
        <v>-684</v>
      </c>
      <c r="L77" s="37">
        <f>IFERROR('raw CFS'!L6,0)</f>
        <v>-261</v>
      </c>
    </row>
    <row r="78" spans="1:13" x14ac:dyDescent="0.2">
      <c r="B78" s="15" t="s">
        <v>91</v>
      </c>
      <c r="C78" s="37">
        <f>IFERROR('raw CFS'!C7,0)</f>
        <v>389</v>
      </c>
      <c r="D78" s="37">
        <f>IFERROR('raw CFS'!D7,0)</f>
        <v>415</v>
      </c>
      <c r="E78" s="37">
        <f>IFERROR('raw CFS'!E7,0)</f>
        <v>3</v>
      </c>
      <c r="F78" s="37">
        <f>IFERROR('raw CFS'!F7,0)</f>
        <v>432</v>
      </c>
      <c r="G78" s="37">
        <f>IFERROR('raw CFS'!G7,0)</f>
        <v>651</v>
      </c>
      <c r="H78" s="37">
        <f>IFERROR('raw CFS'!H7,0)</f>
        <v>-109</v>
      </c>
      <c r="I78" s="37">
        <f>IFERROR('raw CFS'!I7,0)</f>
        <v>401</v>
      </c>
      <c r="J78" s="37">
        <f>IFERROR('raw CFS'!J7,0)</f>
        <v>507</v>
      </c>
      <c r="K78" s="37">
        <f>IFERROR('raw CFS'!K7,0)</f>
        <v>53</v>
      </c>
      <c r="L78" s="37">
        <f>IFERROR('raw CFS'!L7,0)</f>
        <v>810</v>
      </c>
    </row>
    <row r="79" spans="1:13" x14ac:dyDescent="0.2">
      <c r="B79" s="15" t="s">
        <v>92</v>
      </c>
      <c r="C79" s="37">
        <f>IFERROR('raw CFS'!C8,0)</f>
        <v>0</v>
      </c>
      <c r="D79" s="37">
        <f>IFERROR('raw CFS'!D8,0)</f>
        <v>0</v>
      </c>
      <c r="E79" s="37">
        <f>IFERROR('raw CFS'!E8,0)</f>
        <v>0</v>
      </c>
      <c r="F79" s="37">
        <f>IFERROR('raw CFS'!F8,0)</f>
        <v>0</v>
      </c>
      <c r="G79" s="37">
        <f>IFERROR('raw CFS'!G8,0)</f>
        <v>0</v>
      </c>
      <c r="H79" s="37">
        <f>IFERROR('raw CFS'!H8,0)</f>
        <v>0</v>
      </c>
      <c r="I79" s="37">
        <f>IFERROR('raw CFS'!I8,0)</f>
        <v>0</v>
      </c>
      <c r="J79" s="37">
        <f>IFERROR('raw CFS'!J8,0)</f>
        <v>0</v>
      </c>
      <c r="K79" s="37">
        <f>IFERROR('raw CFS'!K8,0)</f>
        <v>0</v>
      </c>
      <c r="L79" s="37">
        <f>IFERROR('raw CFS'!L8,0)</f>
        <v>0</v>
      </c>
    </row>
    <row r="80" spans="1:13" x14ac:dyDescent="0.2">
      <c r="B80" s="15" t="s">
        <v>93</v>
      </c>
      <c r="C80" s="37">
        <f>IFERROR('raw CFS'!C9,0)</f>
        <v>119</v>
      </c>
      <c r="D80" s="37">
        <f>IFERROR('raw CFS'!D9,0)</f>
        <v>-22</v>
      </c>
      <c r="E80" s="37">
        <f>IFERROR('raw CFS'!E9,0)</f>
        <v>-175</v>
      </c>
      <c r="F80" s="37">
        <f>IFERROR('raw CFS'!F9,0)</f>
        <v>-51</v>
      </c>
      <c r="G80" s="37">
        <f>IFERROR('raw CFS'!G9,0)</f>
        <v>-113</v>
      </c>
      <c r="H80" s="37">
        <f>IFERROR('raw CFS'!H9,0)</f>
        <v>-530</v>
      </c>
      <c r="I80" s="37">
        <f>IFERROR('raw CFS'!I9,0)</f>
        <v>559</v>
      </c>
      <c r="J80" s="37">
        <f>IFERROR('raw CFS'!J9,0)</f>
        <v>851</v>
      </c>
      <c r="K80" s="37">
        <f>IFERROR('raw CFS'!K9,0)</f>
        <v>-732</v>
      </c>
      <c r="L80" s="37">
        <f>IFERROR('raw CFS'!L9,0)</f>
        <v>97</v>
      </c>
    </row>
    <row r="81" spans="2:14" x14ac:dyDescent="0.2">
      <c r="B81" s="15" t="s">
        <v>94</v>
      </c>
      <c r="C81" s="37">
        <f>IFERROR('raw CFS'!C10,0)</f>
        <v>-56</v>
      </c>
      <c r="D81" s="37">
        <f>IFERROR('raw CFS'!D10,0)</f>
        <v>-91</v>
      </c>
      <c r="E81" s="37">
        <f>IFERROR('raw CFS'!E10,0)</f>
        <v>-143</v>
      </c>
      <c r="F81" s="37">
        <f>IFERROR('raw CFS'!F10,0)</f>
        <v>-289</v>
      </c>
      <c r="G81" s="37">
        <f>IFERROR('raw CFS'!G10,0)</f>
        <v>-507</v>
      </c>
      <c r="H81" s="37">
        <f>IFERROR('raw CFS'!H10,0)</f>
        <v>-230</v>
      </c>
      <c r="I81" s="37">
        <f>IFERROR('raw CFS'!I10,0)</f>
        <v>-486</v>
      </c>
      <c r="J81" s="37">
        <f>IFERROR('raw CFS'!J10,0)</f>
        <v>-744</v>
      </c>
      <c r="K81" s="37">
        <f>IFERROR('raw CFS'!K10,0)</f>
        <v>-196</v>
      </c>
      <c r="L81" s="37">
        <f>IFERROR('raw CFS'!L10,0)</f>
        <v>-329</v>
      </c>
    </row>
    <row r="82" spans="2:14" x14ac:dyDescent="0.2">
      <c r="B82" s="15" t="s">
        <v>95</v>
      </c>
      <c r="C82" s="37">
        <f>IFERROR('raw CFS'!#REF!,0)</f>
        <v>0</v>
      </c>
      <c r="D82" s="37">
        <f>IFERROR('raw CFS'!#REF!,0)</f>
        <v>0</v>
      </c>
      <c r="E82" s="37">
        <f>IFERROR('raw CFS'!C11,0)</f>
        <v>0</v>
      </c>
      <c r="F82" s="37">
        <f>IFERROR('raw CFS'!D11,0)</f>
        <v>0</v>
      </c>
      <c r="G82" s="37">
        <f>IFERROR('raw CFS'!E11,0)</f>
        <v>0</v>
      </c>
      <c r="H82" s="37">
        <f>IFERROR('raw CFS'!F11,0)</f>
        <v>0</v>
      </c>
      <c r="I82" s="37">
        <f>IFERROR('raw CFS'!G11,0)</f>
        <v>0</v>
      </c>
      <c r="J82" s="37">
        <f>IFERROR('raw CFS'!H11,0)</f>
        <v>0</v>
      </c>
      <c r="K82" s="37">
        <f>IFERROR('raw CFS'!I11,0)</f>
        <v>0</v>
      </c>
      <c r="L82" s="37">
        <f>IFERROR('raw CFS'!J11,0)</f>
        <v>0</v>
      </c>
    </row>
    <row r="83" spans="2:14" x14ac:dyDescent="0.2">
      <c r="B83" s="67" t="s">
        <v>118</v>
      </c>
      <c r="C83" s="69">
        <f>IFERROR(SUM(C75:C78)+C81,0)</f>
        <v>1401</v>
      </c>
      <c r="D83" s="69">
        <f t="shared" ref="D83:L83" si="23">IFERROR(SUM(D75:D78)+D81,0)</f>
        <v>1238</v>
      </c>
      <c r="E83" s="69">
        <f t="shared" si="23"/>
        <v>1567</v>
      </c>
      <c r="F83" s="69">
        <f t="shared" si="23"/>
        <v>2203</v>
      </c>
      <c r="G83" s="69">
        <f t="shared" si="23"/>
        <v>1878</v>
      </c>
      <c r="H83" s="69">
        <f t="shared" si="23"/>
        <v>2060</v>
      </c>
      <c r="I83" s="69">
        <f t="shared" si="23"/>
        <v>3751</v>
      </c>
      <c r="J83" s="69">
        <f t="shared" si="23"/>
        <v>4094</v>
      </c>
      <c r="K83" s="69">
        <f t="shared" si="23"/>
        <v>2723</v>
      </c>
      <c r="L83" s="69">
        <f t="shared" si="23"/>
        <v>2703</v>
      </c>
    </row>
    <row r="84" spans="2:14" x14ac:dyDescent="0.2">
      <c r="C84" s="32"/>
      <c r="D84" s="32"/>
      <c r="E84" s="32"/>
      <c r="F84" s="32"/>
      <c r="G84" s="32"/>
      <c r="H84" s="32"/>
      <c r="I84" s="32"/>
      <c r="J84" s="32"/>
      <c r="K84" s="32"/>
      <c r="L84" s="32"/>
    </row>
    <row r="85" spans="2:14" x14ac:dyDescent="0.2">
      <c r="B85" s="21" t="s">
        <v>121</v>
      </c>
      <c r="C85" s="32"/>
      <c r="D85" s="32"/>
      <c r="E85" s="32"/>
      <c r="F85" s="32"/>
      <c r="G85" s="32"/>
      <c r="H85" s="32"/>
      <c r="I85" s="32"/>
      <c r="J85" s="32"/>
      <c r="K85" s="32"/>
      <c r="L85" s="32"/>
      <c r="N85" s="213"/>
    </row>
    <row r="86" spans="2:14" x14ac:dyDescent="0.2">
      <c r="B86" s="194" t="s">
        <v>97</v>
      </c>
      <c r="C86" s="37">
        <f>IFERROR('raw CFS'!C13,0)</f>
        <v>-1585</v>
      </c>
      <c r="D86" s="37">
        <f>IFERROR('raw CFS'!D13,0)</f>
        <v>-1125</v>
      </c>
      <c r="E86" s="37">
        <f>IFERROR('raw CFS'!E13,0)</f>
        <v>-736</v>
      </c>
      <c r="F86" s="37">
        <f>IFERROR('raw CFS'!F13,0)</f>
        <v>-1281</v>
      </c>
      <c r="G86" s="37">
        <f>IFERROR('raw CFS'!G13,0)</f>
        <v>-2528</v>
      </c>
      <c r="H86" s="37">
        <f>IFERROR('raw CFS'!H13,0)</f>
        <v>-1899</v>
      </c>
      <c r="I86" s="37">
        <f>IFERROR('raw CFS'!I13,0)</f>
        <v>-1298</v>
      </c>
      <c r="J86" s="37">
        <f>IFERROR('raw CFS'!J13,0)</f>
        <v>-1003</v>
      </c>
      <c r="K86" s="37">
        <f>IFERROR('raw CFS'!K13,0)</f>
        <v>-1972</v>
      </c>
      <c r="L86" s="37">
        <f>IFERROR('raw CFS'!L13,0)</f>
        <v>-2828</v>
      </c>
    </row>
    <row r="87" spans="2:14" x14ac:dyDescent="0.2">
      <c r="B87" s="194" t="s">
        <v>98</v>
      </c>
      <c r="C87" s="37">
        <f>IFERROR('raw CFS'!C14,0)</f>
        <v>2</v>
      </c>
      <c r="D87" s="37">
        <f>IFERROR('raw CFS'!D14,0)</f>
        <v>1</v>
      </c>
      <c r="E87" s="37">
        <f>IFERROR('raw CFS'!E14,0)</f>
        <v>2</v>
      </c>
      <c r="F87" s="37">
        <f>IFERROR('raw CFS'!F14,0)</f>
        <v>2</v>
      </c>
      <c r="G87" s="37">
        <f>IFERROR('raw CFS'!G14,0)</f>
        <v>2</v>
      </c>
      <c r="H87" s="37">
        <f>IFERROR('raw CFS'!H14,0)</f>
        <v>14</v>
      </c>
      <c r="I87" s="37">
        <f>IFERROR('raw CFS'!I14,0)</f>
        <v>4</v>
      </c>
      <c r="J87" s="37">
        <f>IFERROR('raw CFS'!J14,0)</f>
        <v>5</v>
      </c>
      <c r="K87" s="37">
        <f>IFERROR('raw CFS'!K14,0)</f>
        <v>23</v>
      </c>
      <c r="L87" s="37">
        <f>IFERROR('raw CFS'!L14,0)</f>
        <v>66</v>
      </c>
    </row>
    <row r="88" spans="2:14" x14ac:dyDescent="0.2">
      <c r="B88" s="194" t="s">
        <v>99</v>
      </c>
      <c r="C88" s="37">
        <f>IFERROR('raw CFS'!C15,0)</f>
        <v>-1714</v>
      </c>
      <c r="D88" s="37">
        <f>IFERROR('raw CFS'!D15,0)</f>
        <v>0</v>
      </c>
      <c r="E88" s="37">
        <f>IFERROR('raw CFS'!E15,0)</f>
        <v>-926</v>
      </c>
      <c r="F88" s="37">
        <f>IFERROR('raw CFS'!F15,0)</f>
        <v>-1494</v>
      </c>
      <c r="G88" s="37">
        <f>IFERROR('raw CFS'!G15,0)</f>
        <v>-2747</v>
      </c>
      <c r="H88" s="37">
        <f>IFERROR('raw CFS'!H15,0)</f>
        <v>0</v>
      </c>
      <c r="I88" s="37">
        <f>IFERROR('raw CFS'!I15,0)</f>
        <v>-4190</v>
      </c>
      <c r="J88" s="37">
        <f>IFERROR('raw CFS'!J15,0)</f>
        <v>-2734</v>
      </c>
      <c r="K88" s="37">
        <f>IFERROR('raw CFS'!K15,0)</f>
        <v>-841</v>
      </c>
      <c r="L88" s="37">
        <f>IFERROR('raw CFS'!L15,0)</f>
        <v>0</v>
      </c>
    </row>
    <row r="89" spans="2:14" x14ac:dyDescent="0.2">
      <c r="B89" s="194" t="s">
        <v>100</v>
      </c>
      <c r="C89" s="37">
        <f>IFERROR('raw CFS'!C16,0)</f>
        <v>1723</v>
      </c>
      <c r="D89" s="37">
        <f>IFERROR('raw CFS'!D16,0)</f>
        <v>572</v>
      </c>
      <c r="E89" s="37">
        <f>IFERROR('raw CFS'!E16,0)</f>
        <v>267</v>
      </c>
      <c r="F89" s="37">
        <f>IFERROR('raw CFS'!F16,0)</f>
        <v>370</v>
      </c>
      <c r="G89" s="37">
        <f>IFERROR('raw CFS'!G16,0)</f>
        <v>914</v>
      </c>
      <c r="H89" s="37">
        <f>IFERROR('raw CFS'!H16,0)</f>
        <v>2985</v>
      </c>
      <c r="I89" s="37">
        <f>IFERROR('raw CFS'!I16,0)</f>
        <v>157</v>
      </c>
      <c r="J89" s="37">
        <f>IFERROR('raw CFS'!J16,0)</f>
        <v>890</v>
      </c>
      <c r="K89" s="37">
        <f>IFERROR('raw CFS'!K16,0)</f>
        <v>810</v>
      </c>
      <c r="L89" s="37">
        <f>IFERROR('raw CFS'!L16,0)</f>
        <v>528</v>
      </c>
    </row>
    <row r="90" spans="2:14" x14ac:dyDescent="0.2">
      <c r="B90" s="194" t="s">
        <v>101</v>
      </c>
      <c r="C90" s="37">
        <f>IFERROR('raw CFS'!C17,0)</f>
        <v>83</v>
      </c>
      <c r="D90" s="37">
        <f>IFERROR('raw CFS'!D17,0)</f>
        <v>58</v>
      </c>
      <c r="E90" s="37">
        <f>IFERROR('raw CFS'!E17,0)</f>
        <v>47</v>
      </c>
      <c r="F90" s="37">
        <f>IFERROR('raw CFS'!F17,0)</f>
        <v>367</v>
      </c>
      <c r="G90" s="37">
        <f>IFERROR('raw CFS'!G17,0)</f>
        <v>672</v>
      </c>
      <c r="H90" s="37">
        <f>IFERROR('raw CFS'!H17,0)</f>
        <v>190</v>
      </c>
      <c r="I90" s="37">
        <f>IFERROR('raw CFS'!I17,0)</f>
        <v>146</v>
      </c>
      <c r="J90" s="37">
        <f>IFERROR('raw CFS'!J17,0)</f>
        <v>205</v>
      </c>
      <c r="K90" s="37">
        <f>IFERROR('raw CFS'!K17,0)</f>
        <v>285</v>
      </c>
      <c r="L90" s="37">
        <f>IFERROR('raw CFS'!L17,0)</f>
        <v>335</v>
      </c>
    </row>
    <row r="91" spans="2:14" x14ac:dyDescent="0.2">
      <c r="B91" s="194" t="s">
        <v>102</v>
      </c>
      <c r="C91" s="37">
        <f>IFERROR('raw CFS'!C18,0)</f>
        <v>26</v>
      </c>
      <c r="D91" s="37">
        <f>IFERROR('raw CFS'!D18,0)</f>
        <v>19</v>
      </c>
      <c r="E91" s="37">
        <f>IFERROR('raw CFS'!E18,0)</f>
        <v>41</v>
      </c>
      <c r="F91" s="37">
        <f>IFERROR('raw CFS'!F18,0)</f>
        <v>38</v>
      </c>
      <c r="G91" s="37">
        <f>IFERROR('raw CFS'!G18,0)</f>
        <v>96</v>
      </c>
      <c r="H91" s="37">
        <f>IFERROR('raw CFS'!H18,0)</f>
        <v>59</v>
      </c>
      <c r="I91" s="37">
        <f>IFERROR('raw CFS'!I18,0)</f>
        <v>44</v>
      </c>
      <c r="J91" s="37">
        <f>IFERROR('raw CFS'!J18,0)</f>
        <v>9</v>
      </c>
      <c r="K91" s="37">
        <f>IFERROR('raw CFS'!K18,0)</f>
        <v>6</v>
      </c>
      <c r="L91" s="37">
        <f>IFERROR('raw CFS'!L18,0)</f>
        <v>6</v>
      </c>
    </row>
    <row r="92" spans="2:14" x14ac:dyDescent="0.2">
      <c r="B92" s="194" t="s">
        <v>103</v>
      </c>
      <c r="C92" s="37">
        <f>IFERROR('raw CFS'!C19,0)</f>
        <v>0</v>
      </c>
      <c r="D92" s="37">
        <f>IFERROR('raw CFS'!D19,0)</f>
        <v>0</v>
      </c>
      <c r="E92" s="37">
        <f>IFERROR('raw CFS'!E19,0)</f>
        <v>0</v>
      </c>
      <c r="F92" s="37">
        <f>IFERROR('raw CFS'!F19,0)</f>
        <v>0</v>
      </c>
      <c r="G92" s="37">
        <f>IFERROR('raw CFS'!G19,0)</f>
        <v>0</v>
      </c>
      <c r="H92" s="37">
        <f>IFERROR('raw CFS'!H19,0)</f>
        <v>-2099</v>
      </c>
      <c r="I92" s="37">
        <f>IFERROR('raw CFS'!I19,0)</f>
        <v>-400</v>
      </c>
      <c r="J92" s="37">
        <f>IFERROR('raw CFS'!J19,0)</f>
        <v>-122</v>
      </c>
      <c r="K92" s="37">
        <f>IFERROR('raw CFS'!K19,0)</f>
        <v>-265</v>
      </c>
      <c r="L92" s="37">
        <f>IFERROR('raw CFS'!L19,0)</f>
        <v>-525</v>
      </c>
    </row>
    <row r="93" spans="2:14" x14ac:dyDescent="0.2">
      <c r="B93" s="194" t="s">
        <v>104</v>
      </c>
      <c r="C93" s="37">
        <f>IFERROR('raw CFS'!C20,0)</f>
        <v>0</v>
      </c>
      <c r="D93" s="37">
        <f>IFERROR('raw CFS'!D20,0)</f>
        <v>0</v>
      </c>
      <c r="E93" s="37">
        <f>IFERROR('raw CFS'!E20,0)</f>
        <v>0</v>
      </c>
      <c r="F93" s="37">
        <f>IFERROR('raw CFS'!F20,0)</f>
        <v>0</v>
      </c>
      <c r="G93" s="37">
        <f>IFERROR('raw CFS'!G20,0)</f>
        <v>0</v>
      </c>
      <c r="H93" s="37">
        <f>IFERROR('raw CFS'!H20,0)</f>
        <v>0</v>
      </c>
      <c r="I93" s="37">
        <f>IFERROR('raw CFS'!I20,0)</f>
        <v>0</v>
      </c>
      <c r="J93" s="37">
        <f>IFERROR('raw CFS'!J20,0)</f>
        <v>-17</v>
      </c>
      <c r="K93" s="37">
        <f>IFERROR('raw CFS'!K20,0)</f>
        <v>-21</v>
      </c>
      <c r="L93" s="37">
        <f>IFERROR('raw CFS'!L20,0)</f>
        <v>-37</v>
      </c>
    </row>
    <row r="94" spans="2:14" x14ac:dyDescent="0.2">
      <c r="B94" s="194" t="s">
        <v>105</v>
      </c>
      <c r="C94" s="37">
        <f>IFERROR('raw CFS'!C21,0)</f>
        <v>0</v>
      </c>
      <c r="D94" s="37">
        <f>IFERROR('raw CFS'!D21,0)</f>
        <v>0</v>
      </c>
      <c r="E94" s="37">
        <f>IFERROR('raw CFS'!E21,0)</f>
        <v>0</v>
      </c>
      <c r="F94" s="37">
        <f>IFERROR('raw CFS'!F21,0)</f>
        <v>0</v>
      </c>
      <c r="G94" s="37">
        <f>IFERROR('raw CFS'!G21,0)</f>
        <v>0</v>
      </c>
      <c r="H94" s="37">
        <f>IFERROR('raw CFS'!H21,0)</f>
        <v>0</v>
      </c>
      <c r="I94" s="37">
        <f>IFERROR('raw CFS'!I21,0)</f>
        <v>0</v>
      </c>
      <c r="J94" s="37">
        <f>IFERROR('raw CFS'!J21,0)</f>
        <v>0</v>
      </c>
      <c r="K94" s="37">
        <f>IFERROR('raw CFS'!K21,0)</f>
        <v>0</v>
      </c>
      <c r="L94" s="37">
        <f>IFERROR('raw CFS'!L21,0)</f>
        <v>0</v>
      </c>
    </row>
    <row r="95" spans="2:14" x14ac:dyDescent="0.2">
      <c r="B95" s="194" t="s">
        <v>106</v>
      </c>
      <c r="C95" s="37">
        <f>IFERROR('raw CFS'!C22,0)</f>
        <v>0</v>
      </c>
      <c r="D95" s="37">
        <f>IFERROR('raw CFS'!D22,0)</f>
        <v>0</v>
      </c>
      <c r="E95" s="37">
        <f>IFERROR('raw CFS'!E22,0)</f>
        <v>0</v>
      </c>
      <c r="F95" s="37">
        <f>IFERROR('raw CFS'!F22,0)</f>
        <v>0</v>
      </c>
      <c r="G95" s="37">
        <f>IFERROR('raw CFS'!G22,0)</f>
        <v>0</v>
      </c>
      <c r="H95" s="37">
        <f>IFERROR('raw CFS'!H22,0)</f>
        <v>0</v>
      </c>
      <c r="I95" s="37">
        <f>IFERROR('raw CFS'!I22,0)</f>
        <v>0</v>
      </c>
      <c r="J95" s="37">
        <f>IFERROR('raw CFS'!J22,0)</f>
        <v>0</v>
      </c>
      <c r="K95" s="37">
        <f>IFERROR('raw CFS'!K22,0)</f>
        <v>0</v>
      </c>
      <c r="L95" s="37">
        <f>IFERROR('raw CFS'!L22,0)</f>
        <v>0</v>
      </c>
    </row>
    <row r="96" spans="2:14" x14ac:dyDescent="0.2">
      <c r="B96" s="194" t="s">
        <v>107</v>
      </c>
      <c r="C96" s="37">
        <f>IFERROR('raw CFS'!C23,0)</f>
        <v>231</v>
      </c>
      <c r="D96" s="37">
        <f>IFERROR('raw CFS'!D23,0)</f>
        <v>-517</v>
      </c>
      <c r="E96" s="37">
        <f>IFERROR('raw CFS'!E23,0)</f>
        <v>41</v>
      </c>
      <c r="F96" s="37">
        <f>IFERROR('raw CFS'!F23,0)</f>
        <v>-48</v>
      </c>
      <c r="G96" s="37">
        <f>IFERROR('raw CFS'!G23,0)</f>
        <v>-4</v>
      </c>
      <c r="H96" s="37">
        <f>IFERROR('raw CFS'!H23,0)</f>
        <v>-63</v>
      </c>
      <c r="I96" s="37">
        <f>IFERROR('raw CFS'!I23,0)</f>
        <v>162</v>
      </c>
      <c r="J96" s="37">
        <f>IFERROR('raw CFS'!J23,0)</f>
        <v>-103</v>
      </c>
      <c r="K96" s="37">
        <f>IFERROR('raw CFS'!K23,0)</f>
        <v>109</v>
      </c>
      <c r="L96" s="37">
        <f>IFERROR('raw CFS'!L23,0)</f>
        <v>46</v>
      </c>
    </row>
    <row r="97" spans="2:13" x14ac:dyDescent="0.2">
      <c r="B97" s="67" t="s">
        <v>122</v>
      </c>
      <c r="C97" s="69">
        <f>IFERROR(SUM(C86:C96),0)</f>
        <v>-1234</v>
      </c>
      <c r="D97" s="69">
        <f t="shared" ref="D97:L97" si="24">IFERROR(SUM(D86:D96),0)</f>
        <v>-992</v>
      </c>
      <c r="E97" s="69">
        <f t="shared" si="24"/>
        <v>-1264</v>
      </c>
      <c r="F97" s="69">
        <f t="shared" si="24"/>
        <v>-2046</v>
      </c>
      <c r="G97" s="69">
        <f t="shared" si="24"/>
        <v>-3595</v>
      </c>
      <c r="H97" s="69">
        <f t="shared" si="24"/>
        <v>-813</v>
      </c>
      <c r="I97" s="69">
        <f t="shared" si="24"/>
        <v>-5375</v>
      </c>
      <c r="J97" s="69">
        <f t="shared" si="24"/>
        <v>-2870</v>
      </c>
      <c r="K97" s="69">
        <f t="shared" si="24"/>
        <v>-1866</v>
      </c>
      <c r="L97" s="69">
        <f t="shared" si="24"/>
        <v>-2409</v>
      </c>
      <c r="M97" s="69"/>
    </row>
    <row r="98" spans="2:13" x14ac:dyDescent="0.2">
      <c r="C98" s="32"/>
      <c r="D98" s="32"/>
      <c r="E98" s="32"/>
      <c r="F98" s="32"/>
      <c r="G98" s="32"/>
      <c r="H98" s="32"/>
      <c r="I98" s="32"/>
      <c r="J98" s="32"/>
      <c r="K98" s="32"/>
      <c r="L98" s="32"/>
    </row>
    <row r="99" spans="2:13" s="35" customFormat="1" x14ac:dyDescent="0.2">
      <c r="B99" s="21" t="s">
        <v>123</v>
      </c>
      <c r="C99" s="36"/>
      <c r="D99" s="36"/>
      <c r="E99" s="36"/>
      <c r="F99" s="36"/>
      <c r="G99" s="36"/>
      <c r="H99" s="36"/>
      <c r="I99" s="36"/>
      <c r="J99" s="36"/>
      <c r="K99" s="36"/>
      <c r="L99" s="36"/>
      <c r="M99" s="34"/>
    </row>
    <row r="100" spans="2:13" x14ac:dyDescent="0.2">
      <c r="B100" s="194" t="s">
        <v>109</v>
      </c>
      <c r="C100" s="37">
        <f>IFERROR('raw CFS'!C25,0)</f>
        <v>0</v>
      </c>
      <c r="D100" s="37">
        <f>IFERROR('raw CFS'!D25,0)</f>
        <v>0</v>
      </c>
      <c r="E100" s="37">
        <f>IFERROR('raw CFS'!E25,0)</f>
        <v>0</v>
      </c>
      <c r="F100" s="37">
        <f>IFERROR('raw CFS'!F25,0)</f>
        <v>0</v>
      </c>
      <c r="G100" s="37">
        <f>IFERROR('raw CFS'!G25,0)</f>
        <v>0</v>
      </c>
      <c r="H100" s="37">
        <f>IFERROR('raw CFS'!H25,0)</f>
        <v>0</v>
      </c>
      <c r="I100" s="37">
        <f>IFERROR('raw CFS'!I25,0)</f>
        <v>2383</v>
      </c>
      <c r="J100" s="37">
        <f>IFERROR('raw CFS'!J25,0)</f>
        <v>0</v>
      </c>
      <c r="K100" s="37">
        <f>IFERROR('raw CFS'!K25,0)</f>
        <v>0</v>
      </c>
      <c r="L100" s="37">
        <f>IFERROR('raw CFS'!L25,0)</f>
        <v>0</v>
      </c>
    </row>
    <row r="101" spans="2:13" x14ac:dyDescent="0.2">
      <c r="B101" s="194" t="s">
        <v>110</v>
      </c>
      <c r="C101" s="37">
        <f>IFERROR('raw CFS'!C26,0)</f>
        <v>692</v>
      </c>
      <c r="D101" s="37">
        <f>IFERROR('raw CFS'!D26,0)</f>
        <v>255</v>
      </c>
      <c r="E101" s="37">
        <f>IFERROR('raw CFS'!E26,0)</f>
        <v>278</v>
      </c>
      <c r="F101" s="37">
        <f>IFERROR('raw CFS'!F26,0)</f>
        <v>638</v>
      </c>
      <c r="G101" s="37">
        <f>IFERROR('raw CFS'!G26,0)</f>
        <v>2699</v>
      </c>
      <c r="H101" s="37">
        <f>IFERROR('raw CFS'!H26,0)</f>
        <v>298</v>
      </c>
      <c r="I101" s="37">
        <f>IFERROR('raw CFS'!I26,0)</f>
        <v>305</v>
      </c>
      <c r="J101" s="37">
        <f>IFERROR('raw CFS'!J26,0)</f>
        <v>0</v>
      </c>
      <c r="K101" s="37">
        <f>IFERROR('raw CFS'!K26,0)</f>
        <v>322</v>
      </c>
      <c r="L101" s="37">
        <f>IFERROR('raw CFS'!L26,0)</f>
        <v>834</v>
      </c>
    </row>
    <row r="102" spans="2:13" x14ac:dyDescent="0.2">
      <c r="B102" s="194" t="s">
        <v>111</v>
      </c>
      <c r="C102" s="37">
        <f>IFERROR('raw CFS'!C27,0)</f>
        <v>-781</v>
      </c>
      <c r="D102" s="37">
        <f>IFERROR('raw CFS'!D27,0)</f>
        <v>-538</v>
      </c>
      <c r="E102" s="37">
        <f>IFERROR('raw CFS'!E27,0)</f>
        <v>-300</v>
      </c>
      <c r="F102" s="37">
        <f>IFERROR('raw CFS'!F27,0)</f>
        <v>-192</v>
      </c>
      <c r="G102" s="37">
        <f>IFERROR('raw CFS'!G27,0)</f>
        <v>-660</v>
      </c>
      <c r="H102" s="37">
        <f>IFERROR('raw CFS'!H27,0)</f>
        <v>-1056</v>
      </c>
      <c r="I102" s="37">
        <f>IFERROR('raw CFS'!I27,0)</f>
        <v>-142</v>
      </c>
      <c r="J102" s="37">
        <f>IFERROR('raw CFS'!J27,0)</f>
        <v>-899</v>
      </c>
      <c r="K102" s="37">
        <f>IFERROR('raw CFS'!K27,0)</f>
        <v>-479</v>
      </c>
      <c r="L102" s="37">
        <f>IFERROR('raw CFS'!L27,0)</f>
        <v>-379</v>
      </c>
    </row>
    <row r="103" spans="2:13" x14ac:dyDescent="0.2">
      <c r="B103" s="194" t="s">
        <v>112</v>
      </c>
      <c r="C103" s="37">
        <f>IFERROR('raw CFS'!C28,0)</f>
        <v>170</v>
      </c>
      <c r="D103" s="37">
        <f>IFERROR('raw CFS'!D28,0)</f>
        <v>239</v>
      </c>
      <c r="E103" s="37">
        <f>IFERROR('raw CFS'!E28,0)</f>
        <v>0</v>
      </c>
      <c r="F103" s="37">
        <f>IFERROR('raw CFS'!F28,0)</f>
        <v>0</v>
      </c>
      <c r="G103" s="37">
        <f>IFERROR('raw CFS'!G28,0)</f>
        <v>0</v>
      </c>
      <c r="H103" s="37">
        <f>IFERROR('raw CFS'!H28,0)</f>
        <v>0</v>
      </c>
      <c r="I103" s="37">
        <f>IFERROR('raw CFS'!I28,0)</f>
        <v>0</v>
      </c>
      <c r="J103" s="37">
        <f>IFERROR('raw CFS'!J28,0)</f>
        <v>0</v>
      </c>
      <c r="K103" s="37">
        <f>IFERROR('raw CFS'!K28,0)</f>
        <v>0</v>
      </c>
      <c r="L103" s="37">
        <f>IFERROR('raw CFS'!L28,0)</f>
        <v>0</v>
      </c>
    </row>
    <row r="104" spans="2:13" x14ac:dyDescent="0.2">
      <c r="B104" s="194" t="s">
        <v>113</v>
      </c>
      <c r="C104" s="37">
        <f>IFERROR('raw CFS'!C29,0)</f>
        <v>-147</v>
      </c>
      <c r="D104" s="37">
        <f>IFERROR('raw CFS'!D29,0)</f>
        <v>-125</v>
      </c>
      <c r="E104" s="37">
        <f>IFERROR('raw CFS'!E29,0)</f>
        <v>-89</v>
      </c>
      <c r="F104" s="37">
        <f>IFERROR('raw CFS'!F29,0)</f>
        <v>-128</v>
      </c>
      <c r="G104" s="37">
        <f>IFERROR('raw CFS'!G29,0)</f>
        <v>-125</v>
      </c>
      <c r="H104" s="37">
        <f>IFERROR('raw CFS'!H29,0)</f>
        <v>-275</v>
      </c>
      <c r="I104" s="37">
        <f>IFERROR('raw CFS'!I29,0)</f>
        <v>-287</v>
      </c>
      <c r="J104" s="37">
        <f>IFERROR('raw CFS'!J29,0)</f>
        <v>-251</v>
      </c>
      <c r="K104" s="37">
        <f>IFERROR('raw CFS'!K29,0)</f>
        <v>-209</v>
      </c>
      <c r="L104" s="37">
        <f>IFERROR('raw CFS'!L29,0)</f>
        <v>-257</v>
      </c>
    </row>
    <row r="105" spans="2:13" x14ac:dyDescent="0.2">
      <c r="B105" s="194" t="s">
        <v>114</v>
      </c>
      <c r="C105" s="37">
        <f>IFERROR('raw CFS'!C30,0)</f>
        <v>-89</v>
      </c>
      <c r="D105" s="37">
        <f>IFERROR('raw CFS'!D30,0)</f>
        <v>-89</v>
      </c>
      <c r="E105" s="37">
        <f>IFERROR('raw CFS'!E30,0)</f>
        <v>-159</v>
      </c>
      <c r="F105" s="37">
        <f>IFERROR('raw CFS'!F30,0)</f>
        <v>0</v>
      </c>
      <c r="G105" s="37">
        <f>IFERROR('raw CFS'!G30,0)</f>
        <v>0</v>
      </c>
      <c r="H105" s="37">
        <f>IFERROR('raw CFS'!H30,0)</f>
        <v>-231</v>
      </c>
      <c r="I105" s="37">
        <f>IFERROR('raw CFS'!I30,0)</f>
        <v>-623</v>
      </c>
      <c r="J105" s="37">
        <f>IFERROR('raw CFS'!J30,0)</f>
        <v>-2</v>
      </c>
      <c r="K105" s="37">
        <f>IFERROR('raw CFS'!K30,0)</f>
        <v>-379</v>
      </c>
      <c r="L105" s="37">
        <f>IFERROR('raw CFS'!L30,0)</f>
        <v>-324</v>
      </c>
    </row>
    <row r="106" spans="2:13" x14ac:dyDescent="0.2">
      <c r="B106" s="194" t="s">
        <v>115</v>
      </c>
      <c r="C106" s="37">
        <f>IFERROR('raw CFS'!C31,0)</f>
        <v>0</v>
      </c>
      <c r="D106" s="37">
        <f>IFERROR('raw CFS'!D31,0)</f>
        <v>0</v>
      </c>
      <c r="E106" s="37">
        <f>IFERROR('raw CFS'!E31,0)</f>
        <v>0</v>
      </c>
      <c r="F106" s="37">
        <f>IFERROR('raw CFS'!F31,0)</f>
        <v>0</v>
      </c>
      <c r="G106" s="37">
        <f>IFERROR('raw CFS'!G31,0)</f>
        <v>-4</v>
      </c>
      <c r="H106" s="37">
        <f>IFERROR('raw CFS'!H31,0)</f>
        <v>-2</v>
      </c>
      <c r="I106" s="37">
        <f>IFERROR('raw CFS'!I31,0)</f>
        <v>-44</v>
      </c>
      <c r="J106" s="37">
        <f>IFERROR('raw CFS'!J31,0)</f>
        <v>-62</v>
      </c>
      <c r="K106" s="37">
        <f>IFERROR('raw CFS'!K31,0)</f>
        <v>-114</v>
      </c>
      <c r="L106" s="37">
        <f>IFERROR('raw CFS'!L31,0)</f>
        <v>-188</v>
      </c>
    </row>
    <row r="107" spans="2:13" x14ac:dyDescent="0.2">
      <c r="B107" s="194" t="s">
        <v>116</v>
      </c>
      <c r="C107" s="37">
        <f>IFERROR('raw CFS'!C32,0)</f>
        <v>0</v>
      </c>
      <c r="D107" s="37">
        <f>IFERROR('raw CFS'!D32,0)</f>
        <v>0</v>
      </c>
      <c r="E107" s="37">
        <f>IFERROR('raw CFS'!E32,0)</f>
        <v>0</v>
      </c>
      <c r="F107" s="37">
        <f>IFERROR('raw CFS'!F32,0)</f>
        <v>-485</v>
      </c>
      <c r="G107" s="37">
        <f>IFERROR('raw CFS'!G32,0)</f>
        <v>-184</v>
      </c>
      <c r="H107" s="37">
        <f>IFERROR('raw CFS'!H32,0)</f>
        <v>0</v>
      </c>
      <c r="I107" s="37">
        <f>IFERROR('raw CFS'!I32,0)</f>
        <v>0</v>
      </c>
      <c r="J107" s="37">
        <f>IFERROR('raw CFS'!J32,0)</f>
        <v>0</v>
      </c>
      <c r="K107" s="37">
        <f>IFERROR('raw CFS'!K32,0)</f>
        <v>0</v>
      </c>
      <c r="L107" s="37">
        <f>IFERROR('raw CFS'!L32,0)</f>
        <v>0</v>
      </c>
    </row>
    <row r="108" spans="2:13" s="35" customFormat="1" x14ac:dyDescent="0.2">
      <c r="B108" s="67" t="s">
        <v>154</v>
      </c>
      <c r="C108" s="69">
        <f>IFERROR(SUM(C100:C107),0)</f>
        <v>-155</v>
      </c>
      <c r="D108" s="69">
        <f t="shared" ref="D108:L108" si="25">IFERROR(SUM(D100:D107),0)</f>
        <v>-258</v>
      </c>
      <c r="E108" s="69">
        <f t="shared" si="25"/>
        <v>-270</v>
      </c>
      <c r="F108" s="69">
        <f t="shared" si="25"/>
        <v>-167</v>
      </c>
      <c r="G108" s="69">
        <f t="shared" si="25"/>
        <v>1726</v>
      </c>
      <c r="H108" s="69">
        <f t="shared" si="25"/>
        <v>-1266</v>
      </c>
      <c r="I108" s="69">
        <f t="shared" si="25"/>
        <v>1592</v>
      </c>
      <c r="J108" s="69">
        <f t="shared" si="25"/>
        <v>-1214</v>
      </c>
      <c r="K108" s="69">
        <f t="shared" si="25"/>
        <v>-859</v>
      </c>
      <c r="L108" s="69">
        <f t="shared" si="25"/>
        <v>-314</v>
      </c>
      <c r="M108" s="34"/>
    </row>
    <row r="110" spans="2:13" x14ac:dyDescent="0.2">
      <c r="B110" s="67" t="s">
        <v>53</v>
      </c>
      <c r="C110" s="69">
        <f>IFERROR(SUM(C83,C97,C108),0)</f>
        <v>12</v>
      </c>
      <c r="D110" s="69">
        <f t="shared" ref="D110:L110" si="26">IFERROR(SUM(D83,D97,D108),0)</f>
        <v>-12</v>
      </c>
      <c r="E110" s="69">
        <f t="shared" si="26"/>
        <v>33</v>
      </c>
      <c r="F110" s="69">
        <f t="shared" si="26"/>
        <v>-10</v>
      </c>
      <c r="G110" s="69">
        <f t="shared" si="26"/>
        <v>9</v>
      </c>
      <c r="H110" s="69">
        <f t="shared" si="26"/>
        <v>-19</v>
      </c>
      <c r="I110" s="69">
        <f t="shared" si="26"/>
        <v>-32</v>
      </c>
      <c r="J110" s="69">
        <f t="shared" si="26"/>
        <v>10</v>
      </c>
      <c r="K110" s="69">
        <f t="shared" si="26"/>
        <v>-2</v>
      </c>
      <c r="L110" s="69">
        <f t="shared" si="26"/>
        <v>-20</v>
      </c>
    </row>
  </sheetData>
  <mergeCells count="1">
    <mergeCell ref="B7:M7"/>
  </mergeCells>
  <pageMargins left="0.7" right="0.7" top="0.75" bottom="0.75" header="0.3" footer="0.3"/>
  <pageSetup orientation="portrait" horizontalDpi="200" verticalDpi="200" r:id="rId1"/>
  <ignoredErrors>
    <ignoredError sqref="C20:L20 M11"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664E1-487E-4160-8D91-A6DE14254443}">
  <sheetPr>
    <tabColor rgb="FFFFFF00"/>
  </sheetPr>
  <dimension ref="B1:N44"/>
  <sheetViews>
    <sheetView showGridLines="0" workbookViewId="0">
      <selection activeCell="K1" sqref="K1"/>
    </sheetView>
  </sheetViews>
  <sheetFormatPr defaultRowHeight="15" x14ac:dyDescent="0.2"/>
  <cols>
    <col min="1" max="1" width="1.8828125" customWidth="1"/>
    <col min="2" max="2" width="27.44140625" customWidth="1"/>
    <col min="3" max="11" width="12.64453125" customWidth="1"/>
    <col min="12" max="12" width="21.25390625" customWidth="1"/>
    <col min="14" max="14" width="10.0859375" style="39" bestFit="1" customWidth="1"/>
  </cols>
  <sheetData>
    <row r="1" spans="2:14" s="1" customFormat="1" x14ac:dyDescent="0.2">
      <c r="N1" s="39"/>
    </row>
    <row r="2" spans="2:14" s="1" customFormat="1" x14ac:dyDescent="0.2">
      <c r="N2" s="39"/>
    </row>
    <row r="3" spans="2:14" s="1" customFormat="1" x14ac:dyDescent="0.2">
      <c r="N3" s="39"/>
    </row>
    <row r="4" spans="2:14" s="1" customFormat="1" x14ac:dyDescent="0.2">
      <c r="N4" s="39"/>
    </row>
    <row r="6" spans="2:14" x14ac:dyDescent="0.2">
      <c r="B6" s="280" t="str">
        <f>"Ratio Analysis"&amp;" -"&amp;'Data Sheet'!B1</f>
        <v>Ratio Analysis -SHREE CEMENT LTD</v>
      </c>
      <c r="C6" s="280"/>
      <c r="D6" s="280"/>
      <c r="E6" s="280"/>
      <c r="F6" s="280"/>
      <c r="G6" s="280"/>
      <c r="H6" s="280"/>
      <c r="I6" s="280"/>
      <c r="J6" s="280"/>
      <c r="K6" s="280"/>
      <c r="L6" s="280"/>
      <c r="M6" s="280"/>
      <c r="N6" s="280"/>
    </row>
    <row r="7" spans="2:14" x14ac:dyDescent="0.2">
      <c r="B7" s="14" t="s">
        <v>1</v>
      </c>
      <c r="C7" s="44">
        <f>'Data Sheet'!B16</f>
        <v>41820</v>
      </c>
      <c r="D7" s="9">
        <f>'Data Sheet'!C16</f>
        <v>42185</v>
      </c>
      <c r="E7" s="9">
        <f>'Data Sheet'!D16</f>
        <v>42460</v>
      </c>
      <c r="F7" s="9">
        <f>'Data Sheet'!E16</f>
        <v>42825</v>
      </c>
      <c r="G7" s="9">
        <f>'Data Sheet'!F16</f>
        <v>43190</v>
      </c>
      <c r="H7" s="9">
        <f>'Data Sheet'!G16</f>
        <v>43555</v>
      </c>
      <c r="I7" s="9">
        <f>'Data Sheet'!H16</f>
        <v>43921</v>
      </c>
      <c r="J7" s="9">
        <f>'Data Sheet'!I16</f>
        <v>44286</v>
      </c>
      <c r="K7" s="42">
        <f>'Data Sheet'!J16</f>
        <v>44651</v>
      </c>
      <c r="L7" s="62" t="s">
        <v>153</v>
      </c>
      <c r="M7" s="42" t="s">
        <v>151</v>
      </c>
      <c r="N7" s="60" t="s">
        <v>152</v>
      </c>
    </row>
    <row r="9" spans="2:14" x14ac:dyDescent="0.2">
      <c r="B9" s="49" t="s">
        <v>59</v>
      </c>
      <c r="C9" s="63">
        <v>0</v>
      </c>
      <c r="D9" s="50">
        <f>IFERROR('Historical data'!D12,0)</f>
        <v>9.5346423940376734E-2</v>
      </c>
      <c r="E9" s="50">
        <f>IFERROR('Historical data'!E12,0)</f>
        <v>-0.11914100255775717</v>
      </c>
      <c r="F9" s="50">
        <f>IFERROR('Historical data'!F12,0)</f>
        <v>0.55873433883967727</v>
      </c>
      <c r="G9" s="50">
        <f>IFERROR('Historical data'!G12,0)</f>
        <v>0.14335664335664355</v>
      </c>
      <c r="H9" s="50">
        <f>IFERROR('Historical data'!H12,0)</f>
        <v>0.19291496842673017</v>
      </c>
      <c r="I9" s="50">
        <f>IFERROR('Historical data'!I12,0)</f>
        <v>1.5526360689302132E-2</v>
      </c>
      <c r="J9" s="50">
        <f>IFERROR('Historical data'!J12,0)</f>
        <v>6.4253192204301035E-2</v>
      </c>
      <c r="K9" s="50">
        <f>IFERROR('Historical data'!K12,0)</f>
        <v>0.1292151549427849</v>
      </c>
      <c r="L9" s="49"/>
      <c r="M9" s="57">
        <f>IFERROR(AVERAGE(D9:K9),0)</f>
        <v>0.13502575998025734</v>
      </c>
      <c r="N9" s="57">
        <f>IFERROR(MEDIAN(C9:K9),0)</f>
        <v>9.5346423940376734E-2</v>
      </c>
    </row>
    <row r="10" spans="2:14" x14ac:dyDescent="0.2">
      <c r="B10" s="46" t="s">
        <v>124</v>
      </c>
      <c r="C10" s="64">
        <v>0</v>
      </c>
      <c r="D10" s="47">
        <f>IFERROR('Historical data'!D23/'Historical data'!C23-1,0)</f>
        <v>-3.30623111239019E-2</v>
      </c>
      <c r="E10" s="47">
        <f>IFERROR('Historical data'!E23/'Historical data'!D23-1,0)</f>
        <v>4.6924880008929248E-2</v>
      </c>
      <c r="F10" s="47">
        <f>IFERROR('Historical data'!F23/'Historical data'!E23-1,0)</f>
        <v>0.78630473875372164</v>
      </c>
      <c r="G10" s="47">
        <f>IFERROR('Historical data'!G23/'Historical data'!F23-1,0)</f>
        <v>-1.6071336200893072E-2</v>
      </c>
      <c r="H10" s="47">
        <f>IFERROR('Historical data'!H23/'Historical data'!G23-1,0)</f>
        <v>7.4021951002515074E-2</v>
      </c>
      <c r="I10" s="47">
        <f>IFERROR('Historical data'!I23/'Historical data'!H23-1,0)</f>
        <v>0.38790655993252554</v>
      </c>
      <c r="J10" s="47">
        <f>IFERROR('Historical data'!J23/'Historical data'!I23-1,0)</f>
        <v>8.2961885822958603E-2</v>
      </c>
      <c r="K10" s="47">
        <f>IFERROR('Historical data'!K23/'Historical data'!J23-1,0)</f>
        <v>-8.5672486052763119E-2</v>
      </c>
      <c r="L10" s="46"/>
      <c r="M10" s="58">
        <f t="shared" ref="M10:M13" si="0">IFERROR(AVERAGE(D10:K10),0)</f>
        <v>0.1554142352678865</v>
      </c>
      <c r="N10" s="58">
        <f t="shared" ref="N10:N44" si="1">IFERROR(MEDIAN(C10:K10),0)</f>
        <v>4.6924880008929248E-2</v>
      </c>
    </row>
    <row r="11" spans="2:14" x14ac:dyDescent="0.2">
      <c r="B11" s="46" t="s">
        <v>125</v>
      </c>
      <c r="C11" s="64">
        <v>0</v>
      </c>
      <c r="D11" s="47">
        <v>-5.1434014181394039E-2</v>
      </c>
      <c r="E11" s="47">
        <v>7.2940893759815717E-2</v>
      </c>
      <c r="F11" s="47">
        <v>0.9133644755155248</v>
      </c>
      <c r="G11" s="47">
        <v>-1.5091657783072532E-2</v>
      </c>
      <c r="H11" s="47">
        <v>0.10420849338907812</v>
      </c>
      <c r="I11" s="47">
        <v>0.40098636919268427</v>
      </c>
      <c r="J11" s="47">
        <v>6.352668735475131E-2</v>
      </c>
      <c r="K11" s="47">
        <v>-0.10889183569220973</v>
      </c>
      <c r="L11" s="46"/>
      <c r="M11" s="58">
        <f t="shared" si="0"/>
        <v>0.17245117644439723</v>
      </c>
      <c r="N11" s="58">
        <f t="shared" si="1"/>
        <v>6.352668735475131E-2</v>
      </c>
    </row>
    <row r="12" spans="2:14" x14ac:dyDescent="0.2">
      <c r="B12" s="46" t="s">
        <v>126</v>
      </c>
      <c r="C12" s="64">
        <v>0</v>
      </c>
      <c r="D12" s="47">
        <v>-8.1385468903577562E-3</v>
      </c>
      <c r="E12" s="47">
        <v>2.2146822430691326E-2</v>
      </c>
      <c r="F12" s="47">
        <v>0.80792237030220271</v>
      </c>
      <c r="G12" s="47">
        <v>-0.13060649442134153</v>
      </c>
      <c r="H12" s="47">
        <v>0.29175052405421864</v>
      </c>
      <c r="I12" s="47">
        <v>0.31706784078216832</v>
      </c>
      <c r="J12" s="47">
        <v>-2.8338526015645682E-2</v>
      </c>
      <c r="K12" s="47">
        <v>-8.3036349550176802E-2</v>
      </c>
      <c r="L12" s="46"/>
      <c r="M12" s="58">
        <f t="shared" si="0"/>
        <v>0.14859595508646989</v>
      </c>
      <c r="N12" s="58">
        <f t="shared" si="1"/>
        <v>0</v>
      </c>
    </row>
    <row r="13" spans="2:14" x14ac:dyDescent="0.2">
      <c r="B13" s="51" t="s">
        <v>127</v>
      </c>
      <c r="C13" s="65">
        <f>-C10</f>
        <v>0</v>
      </c>
      <c r="D13" s="52">
        <v>9.0932811480756603E-2</v>
      </c>
      <c r="E13" s="52">
        <v>0</v>
      </c>
      <c r="F13" s="52">
        <v>4.8330542932312843</v>
      </c>
      <c r="G13" s="52">
        <v>-0.6428571428571429</v>
      </c>
      <c r="H13" s="52">
        <v>0.20000000000000018</v>
      </c>
      <c r="I13" s="52">
        <v>0.83021394200953469</v>
      </c>
      <c r="J13" s="52">
        <v>-0.45454545454545459</v>
      </c>
      <c r="K13" s="52">
        <v>0.50000000000000022</v>
      </c>
      <c r="L13" s="51"/>
      <c r="M13" s="59">
        <f t="shared" si="0"/>
        <v>0.66959980616487225</v>
      </c>
      <c r="N13" s="59">
        <f t="shared" si="1"/>
        <v>9.0932811480756603E-2</v>
      </c>
    </row>
    <row r="14" spans="2:14" x14ac:dyDescent="0.2">
      <c r="C14" s="41"/>
      <c r="D14" s="41"/>
      <c r="E14" s="41"/>
      <c r="F14" s="41"/>
      <c r="G14" s="41"/>
      <c r="H14" s="41"/>
      <c r="I14" s="41"/>
      <c r="J14" s="41"/>
      <c r="K14" s="41"/>
    </row>
    <row r="15" spans="2:14" x14ac:dyDescent="0.2">
      <c r="B15" s="49" t="s">
        <v>71</v>
      </c>
      <c r="C15" s="50">
        <f>IFERROR('Historical data'!C18,0)</f>
        <v>0.5055008898369594</v>
      </c>
      <c r="D15" s="50">
        <f>IFERROR('Historical data'!D18,0)</f>
        <v>0.49702287283585145</v>
      </c>
      <c r="E15" s="50">
        <f>IFERROR('Historical data'!E18,0)</f>
        <v>0.5491073047932038</v>
      </c>
      <c r="F15" s="50">
        <f>IFERROR('Historical data'!F18,0)</f>
        <v>0.60051080367220133</v>
      </c>
      <c r="G15" s="50">
        <f>IFERROR('Historical data'!G18,0)</f>
        <v>0.58024088293211629</v>
      </c>
      <c r="H15" s="50">
        <f>IFERROR('Historical data'!H18,0)</f>
        <v>0.55480720013649543</v>
      </c>
      <c r="I15" s="50">
        <f>IFERROR('Historical data'!I18,0)</f>
        <v>0.59917842741935479</v>
      </c>
      <c r="J15" s="50">
        <f>IFERROR('Historical data'!J18,0)</f>
        <v>0.62916976810086456</v>
      </c>
      <c r="K15" s="50">
        <f>IFERROR('Historical data'!K18,0)</f>
        <v>0.55220370924403106</v>
      </c>
      <c r="L15" s="49"/>
      <c r="M15" s="57">
        <f>IFERROR(AVERAGE(C15:K15),0)</f>
        <v>0.56308242877456427</v>
      </c>
      <c r="N15" s="57">
        <f t="shared" si="1"/>
        <v>0.55480720013649543</v>
      </c>
    </row>
    <row r="16" spans="2:14" x14ac:dyDescent="0.2">
      <c r="B16" s="46" t="s">
        <v>128</v>
      </c>
      <c r="C16" s="47">
        <f>IFERROR('Historical data'!C24,0)</f>
        <v>0.24320460300322153</v>
      </c>
      <c r="D16" s="47">
        <f>IFERROR('Historical data'!D24,0)</f>
        <v>0.21469344456887979</v>
      </c>
      <c r="E16" s="47">
        <f>IFERROR('Historical data'!E24,0)</f>
        <v>0.25516899906413915</v>
      </c>
      <c r="F16" s="47">
        <f>IFERROR('Historical data'!F24,0)</f>
        <v>0.29242288493536406</v>
      </c>
      <c r="G16" s="47">
        <f>IFERROR('Historical data'!G24,0)</f>
        <v>0.25164786517883042</v>
      </c>
      <c r="H16" s="47">
        <f>IFERROR('Historical data'!H24,0)</f>
        <v>0.2265671387135301</v>
      </c>
      <c r="I16" s="47">
        <f>IFERROR('Historical data'!I24,0)</f>
        <v>0.30964633736559138</v>
      </c>
      <c r="J16" s="47">
        <f>IFERROR('Historical data'!J24,0)</f>
        <v>0.31508966466622512</v>
      </c>
      <c r="K16" s="47">
        <f>IFERROR('Historical data'!K24,0)</f>
        <v>0.25512866038300325</v>
      </c>
      <c r="L16" s="46"/>
      <c r="M16" s="58">
        <f t="shared" ref="M16:M44" si="2">IFERROR(AVERAGE(C16:K16),0)</f>
        <v>0.26261884420875392</v>
      </c>
      <c r="N16" s="58">
        <f t="shared" si="1"/>
        <v>0.25512866038300325</v>
      </c>
    </row>
    <row r="17" spans="2:14" x14ac:dyDescent="0.2">
      <c r="B17" s="46" t="s">
        <v>130</v>
      </c>
      <c r="C17" s="47">
        <f>IFERROR(('Historical data'!C23-'Historical data'!C29)/'Historical data'!C11,0)</f>
        <v>0.1923482771111534</v>
      </c>
      <c r="D17" s="47">
        <f>IFERROR(('Historical data'!D23-'Historical data'!D29)/'Historical data'!D11,0)</f>
        <v>0.16687888116893188</v>
      </c>
      <c r="E17" s="47">
        <f>IFERROR(('Historical data'!E23-'Historical data'!E29)/'Historical data'!E11,0)</f>
        <v>0.2130008488040569</v>
      </c>
      <c r="F17" s="47">
        <f>IFERROR(('Historical data'!F23-'Historical data'!F29)/'Historical data'!F11,0)</f>
        <v>0.26327100520112162</v>
      </c>
      <c r="G17" s="47">
        <f>IFERROR(('Historical data'!G23-'Historical data'!G29)/'Historical data'!G11,0)</f>
        <v>0.22599235728424091</v>
      </c>
      <c r="H17" s="47">
        <f>IFERROR(('Historical data'!H23-'Historical data'!H29)/'Historical data'!H11,0)</f>
        <v>0.20085992151509977</v>
      </c>
      <c r="I17" s="47">
        <f>IFERROR(('Historical data'!I23-'Historical data'!I29)/'Historical data'!I11,0)</f>
        <v>0.28209761424731178</v>
      </c>
      <c r="J17" s="47">
        <f>IFERROR(('Historical data'!J23-'Historical data'!J29)/'Historical data'!J11,0)</f>
        <v>0.28645333009179191</v>
      </c>
      <c r="K17" s="47">
        <f>IFERROR(('Historical data'!K23-'Historical data'!K29)/'Historical data'!K11,0)</f>
        <v>0.22622026747043864</v>
      </c>
      <c r="L17" s="46"/>
      <c r="M17" s="58">
        <f t="shared" si="2"/>
        <v>0.22856916698823848</v>
      </c>
      <c r="N17" s="58">
        <f t="shared" si="1"/>
        <v>0.22599235728424091</v>
      </c>
    </row>
    <row r="18" spans="2:14" x14ac:dyDescent="0.2">
      <c r="B18" s="46" t="s">
        <v>129</v>
      </c>
      <c r="C18" s="47">
        <f>IFERROR('Historical data'!C33,0)</f>
        <v>0.21495556064978213</v>
      </c>
      <c r="D18" s="47">
        <f>IFERROR('Historical data'!D33,0)</f>
        <v>0.18615072714753361</v>
      </c>
      <c r="E18" s="47">
        <f>IFERROR('Historical data'!E33,0)</f>
        <v>0.22674313157913834</v>
      </c>
      <c r="F18" s="47">
        <f>IFERROR('Historical data'!F33,0)</f>
        <v>0.27832982325494798</v>
      </c>
      <c r="G18" s="47">
        <f>IFERROR('Historical data'!G33,0)</f>
        <v>0.23975840469757342</v>
      </c>
      <c r="H18" s="47">
        <f>IFERROR('Historical data'!H33,0)</f>
        <v>0.22192970482852753</v>
      </c>
      <c r="I18" s="47">
        <f>IFERROR('Historical data'!I33,0)</f>
        <v>0.30616683467741934</v>
      </c>
      <c r="J18" s="47">
        <f>IFERROR('Historical data'!J33,0)</f>
        <v>0.30595783207184218</v>
      </c>
      <c r="K18" s="47">
        <f>IFERROR('Historical data'!K33,0)</f>
        <v>0.24144337852687134</v>
      </c>
      <c r="L18" s="46"/>
      <c r="M18" s="58">
        <f t="shared" si="2"/>
        <v>0.24682615527040397</v>
      </c>
      <c r="N18" s="58">
        <f t="shared" si="1"/>
        <v>0.23975840469757342</v>
      </c>
    </row>
    <row r="19" spans="2:14" x14ac:dyDescent="0.2">
      <c r="B19" s="51" t="s">
        <v>131</v>
      </c>
      <c r="C19" s="52">
        <f>IFERROR('Historical data'!C39,0)</f>
        <v>0.21007151944254374</v>
      </c>
      <c r="D19" s="52">
        <f>IFERROR('Historical data'!D39,0)</f>
        <v>0.19022460655111767</v>
      </c>
      <c r="E19" s="52">
        <f>IFERROR('Historical data'!E39,0)</f>
        <v>0.22073621056144405</v>
      </c>
      <c r="F19" s="52">
        <f>IFERROR('Historical data'!F39,0)</f>
        <v>0.2560243417148575</v>
      </c>
      <c r="G19" s="52">
        <f>IFERROR('Historical data'!G39,0)</f>
        <v>0.19467757610913519</v>
      </c>
      <c r="H19" s="52">
        <f>IFERROR('Historical data'!H39,0)</f>
        <v>0.21080702951714719</v>
      </c>
      <c r="I19" s="52">
        <f>IFERROR('Historical data'!I39,0)</f>
        <v>0.27340221774193546</v>
      </c>
      <c r="J19" s="52">
        <f>IFERROR('Historical data'!J39,0)</f>
        <v>0.24961579051643909</v>
      </c>
      <c r="K19" s="52">
        <f>IFERROR('Historical data'!K39,0)</f>
        <v>0.20269707281201846</v>
      </c>
      <c r="L19" s="51"/>
      <c r="M19" s="59">
        <f t="shared" si="2"/>
        <v>0.22313959610740428</v>
      </c>
      <c r="N19" s="59">
        <f t="shared" si="1"/>
        <v>0.21080702951714719</v>
      </c>
    </row>
    <row r="20" spans="2:14" x14ac:dyDescent="0.2">
      <c r="C20" s="41"/>
      <c r="D20" s="41"/>
      <c r="E20" s="41"/>
      <c r="F20" s="41"/>
      <c r="G20" s="41"/>
      <c r="H20" s="41"/>
      <c r="I20" s="41"/>
      <c r="J20" s="41"/>
      <c r="K20" s="41"/>
      <c r="L20" s="1"/>
      <c r="M20" s="39"/>
    </row>
    <row r="21" spans="2:14" x14ac:dyDescent="0.2">
      <c r="B21" s="49" t="s">
        <v>132</v>
      </c>
      <c r="C21" s="50">
        <f>IFERROR('Historical data'!C21,0)</f>
        <v>0.26229628683373785</v>
      </c>
      <c r="D21" s="50">
        <f>IFERROR('Historical data'!D21,0)</f>
        <v>0.28232942826697166</v>
      </c>
      <c r="E21" s="50">
        <f>IFERROR('Historical data'!E21,0)</f>
        <v>0.29393830572906465</v>
      </c>
      <c r="F21" s="50">
        <f>IFERROR('Historical data'!F21,0)</f>
        <v>0.30808791873683727</v>
      </c>
      <c r="G21" s="50">
        <f>IFERROR('Historical data'!G21,0)</f>
        <v>0.32859301775328581</v>
      </c>
      <c r="H21" s="50">
        <f>IFERROR('Historical data'!H21,0)</f>
        <v>0.32824006142296536</v>
      </c>
      <c r="I21" s="50">
        <f>IFERROR('Historical data'!I21,0)</f>
        <v>0.28953209005376346</v>
      </c>
      <c r="J21" s="50">
        <f>IFERROR('Historical data'!J21,0)</f>
        <v>0.31408010343463938</v>
      </c>
      <c r="K21" s="50">
        <f>IFERROR('Historical data'!K21,0)</f>
        <v>0.29707504886102781</v>
      </c>
      <c r="L21" s="49"/>
      <c r="M21" s="57">
        <f t="shared" si="2"/>
        <v>0.30046358456581035</v>
      </c>
      <c r="N21" s="57">
        <f t="shared" si="1"/>
        <v>0.29707504886102781</v>
      </c>
    </row>
    <row r="22" spans="2:14" x14ac:dyDescent="0.2">
      <c r="B22" s="46" t="s">
        <v>69</v>
      </c>
      <c r="C22" s="47">
        <f>IFERROR('Historical data'!C30,0)</f>
        <v>5.0856325892068115E-2</v>
      </c>
      <c r="D22" s="47">
        <f>IFERROR('Historical data'!D30,0)</f>
        <v>4.7814563399947919E-2</v>
      </c>
      <c r="E22" s="47">
        <f>IFERROR('Historical data'!E30,0)</f>
        <v>4.2168150260082263E-2</v>
      </c>
      <c r="F22" s="47">
        <f>IFERROR('Historical data'!F30,0)</f>
        <v>2.9151879734242464E-2</v>
      </c>
      <c r="G22" s="47">
        <f>IFERROR('Historical data'!G30,0)</f>
        <v>2.5655507894589546E-2</v>
      </c>
      <c r="H22" s="47">
        <f>IFERROR('Historical data'!H30,0)</f>
        <v>2.5707217198430301E-2</v>
      </c>
      <c r="I22" s="47">
        <f>IFERROR('Historical data'!I30,0)</f>
        <v>2.7548723118279571E-2</v>
      </c>
      <c r="J22" s="47">
        <f>IFERROR('Historical data'!J30,0)</f>
        <v>2.8636334574433236E-2</v>
      </c>
      <c r="K22" s="47">
        <f>IFERROR('Historical data'!K30,0)</f>
        <v>2.8908392912564626E-2</v>
      </c>
      <c r="L22" s="46"/>
      <c r="M22" s="58">
        <f t="shared" si="2"/>
        <v>3.4049677220515343E-2</v>
      </c>
      <c r="N22" s="58">
        <f t="shared" si="1"/>
        <v>2.8908392912564626E-2</v>
      </c>
    </row>
    <row r="23" spans="2:14" x14ac:dyDescent="0.2">
      <c r="B23" s="51" t="s">
        <v>133</v>
      </c>
      <c r="C23" s="52">
        <f>C17</f>
        <v>0.1923482771111534</v>
      </c>
      <c r="D23" s="52">
        <f t="shared" ref="D23:K23" si="3">D17</f>
        <v>0.16687888116893188</v>
      </c>
      <c r="E23" s="52">
        <f t="shared" si="3"/>
        <v>0.2130008488040569</v>
      </c>
      <c r="F23" s="52">
        <f t="shared" si="3"/>
        <v>0.26327100520112162</v>
      </c>
      <c r="G23" s="52">
        <f t="shared" si="3"/>
        <v>0.22599235728424091</v>
      </c>
      <c r="H23" s="52">
        <f t="shared" si="3"/>
        <v>0.20085992151509977</v>
      </c>
      <c r="I23" s="52">
        <f t="shared" si="3"/>
        <v>0.28209761424731178</v>
      </c>
      <c r="J23" s="52">
        <f t="shared" si="3"/>
        <v>0.28645333009179191</v>
      </c>
      <c r="K23" s="52">
        <f t="shared" si="3"/>
        <v>0.22622026747043864</v>
      </c>
      <c r="L23" s="51"/>
      <c r="M23" s="59">
        <f t="shared" si="2"/>
        <v>0.22856916698823848</v>
      </c>
      <c r="N23" s="59">
        <f t="shared" si="1"/>
        <v>0.22599235728424091</v>
      </c>
    </row>
    <row r="24" spans="2:14" x14ac:dyDescent="0.2">
      <c r="C24" s="41"/>
      <c r="D24" s="41"/>
      <c r="E24" s="41"/>
      <c r="F24" s="41"/>
      <c r="G24" s="41"/>
      <c r="H24" s="41"/>
      <c r="I24" s="41"/>
      <c r="J24" s="41"/>
      <c r="K24" s="41"/>
      <c r="L24" s="41"/>
      <c r="M24" s="41"/>
      <c r="N24" s="41"/>
    </row>
    <row r="25" spans="2:14" x14ac:dyDescent="0.2">
      <c r="B25" s="49" t="s">
        <v>134</v>
      </c>
      <c r="C25" s="50">
        <f>IFERROR(('Historical data'!C23-'Historical data'!C29)/(SUM('Historical data'!C52:C54)),0)</f>
        <v>0.18596317889130623</v>
      </c>
      <c r="D25" s="50">
        <f>IFERROR(('Historical data'!D23-'Historical data'!D29)/(SUM('Historical data'!D52:D54)),0)</f>
        <v>0.16866676139666473</v>
      </c>
      <c r="E25" s="50">
        <f>IFERROR(('Historical data'!E23-'Historical data'!E29)/(SUM('Historical data'!E52:E54)),0)</f>
        <v>0.15200672013088209</v>
      </c>
      <c r="F25" s="50">
        <f>IFERROR(('Historical data'!F23-'Historical data'!F29)/(SUM('Historical data'!F52:F54)),0)</f>
        <v>0.25166422524683912</v>
      </c>
      <c r="G25" s="50">
        <f>IFERROR(('Historical data'!G23-'Historical data'!G29)/(SUM('Historical data'!G52:G54)),0)</f>
        <v>0.18054587835096647</v>
      </c>
      <c r="H25" s="50">
        <f>IFERROR(('Historical data'!H23-'Historical data'!H29)/(SUM('Historical data'!H52:H54)),0)</f>
        <v>0.18994880334061023</v>
      </c>
      <c r="I25" s="50">
        <f>IFERROR(('Historical data'!I23-'Historical data'!I29)/(SUM('Historical data'!I52:I54)),0)</f>
        <v>0.20882852080860115</v>
      </c>
      <c r="J25" s="50">
        <f>IFERROR(('Historical data'!J23-'Historical data'!J29)/(SUM('Historical data'!J52:J54)),0)</f>
        <v>0.20849302397729524</v>
      </c>
      <c r="K25" s="50">
        <f>IFERROR(('Historical data'!K23-'Historical data'!K29)/(SUM('Historical data'!K52:K54)),0)</f>
        <v>0.16613398193218243</v>
      </c>
      <c r="L25" s="49"/>
      <c r="M25" s="57">
        <f t="shared" si="2"/>
        <v>0.19025012156392751</v>
      </c>
      <c r="N25" s="57">
        <f t="shared" si="1"/>
        <v>0.18596317889130623</v>
      </c>
    </row>
    <row r="26" spans="2:14" x14ac:dyDescent="0.2">
      <c r="B26" s="46" t="s">
        <v>136</v>
      </c>
      <c r="C26" s="47">
        <f>IFERROR('Historical data'!C49,0)</f>
        <v>0.93614947603418686</v>
      </c>
      <c r="D26" s="47">
        <f>IFERROR('Historical data'!D49,0)</f>
        <v>0.92977181298238842</v>
      </c>
      <c r="E26" s="47">
        <f>IFERROR('Historical data'!E49,0)</f>
        <v>0.93129344485892229</v>
      </c>
      <c r="F26" s="47">
        <f>IFERROR('Historical data'!F49,0)</f>
        <v>0.77832617538118931</v>
      </c>
      <c r="G26" s="47">
        <f>IFERROR('Historical data'!G49,0)</f>
        <v>0.90893741145966744</v>
      </c>
      <c r="H26" s="47">
        <f>IFERROR('Historical data'!H49,0)</f>
        <v>0.91540540978033891</v>
      </c>
      <c r="I26" s="47">
        <f>IFERROR('Historical data'!I49,0)</f>
        <v>0.87805492567397325</v>
      </c>
      <c r="J26" s="47">
        <f>IFERROR('Historical data'!J49,0)</f>
        <v>0.93154457918952682</v>
      </c>
      <c r="K26" s="47">
        <f>IFERROR('Historical data'!K49,0)</f>
        <v>0.88801831875741433</v>
      </c>
      <c r="L26" s="46"/>
      <c r="M26" s="58">
        <f t="shared" si="2"/>
        <v>0.89972239490195649</v>
      </c>
      <c r="N26" s="58">
        <f t="shared" si="1"/>
        <v>0.91540540978033891</v>
      </c>
    </row>
    <row r="27" spans="2:14" x14ac:dyDescent="0.2">
      <c r="B27" s="46" t="s">
        <v>135</v>
      </c>
      <c r="C27" s="47">
        <f>IFERROR('Historical data'!C38/SUM('Historical data'!C52:C53),0)</f>
        <v>0.25482766452905714</v>
      </c>
      <c r="D27" s="47">
        <f>IFERROR('Historical data'!D38/SUM('Historical data'!D52:D53),0)</f>
        <v>0.22566333105905548</v>
      </c>
      <c r="E27" s="47">
        <f>IFERROR('Historical data'!E38/SUM('Historical data'!E52:E53),0)</f>
        <v>0.17778900976257506</v>
      </c>
      <c r="F27" s="47">
        <f>IFERROR('Historical data'!F38/SUM('Historical data'!F52:F53),0)</f>
        <v>0.28582878461550443</v>
      </c>
      <c r="G27" s="47">
        <f>IFERROR('Historical data'!G38/SUM('Historical data'!G52:G53),0)</f>
        <v>0.21501703415710996</v>
      </c>
      <c r="H27" s="47">
        <f>IFERROR('Historical data'!H38/SUM('Historical data'!H52:H53),0)</f>
        <v>0.2574741674559437</v>
      </c>
      <c r="I27" s="47">
        <f>IFERROR('Historical data'!I38/SUM('Historical data'!I52:I53),0)</f>
        <v>0.25158274082010323</v>
      </c>
      <c r="J27" s="47">
        <f>IFERROR('Historical data'!J38/SUM('Historical data'!J52:J53),0)</f>
        <v>0.20736626126962041</v>
      </c>
      <c r="K27" s="47">
        <f>IFERROR('Historical data'!K38/SUM('Historical data'!K52:K53),0)</f>
        <v>0.16789889565493793</v>
      </c>
      <c r="L27" s="46"/>
      <c r="M27" s="58">
        <f t="shared" si="2"/>
        <v>0.22704976548043415</v>
      </c>
      <c r="N27" s="58">
        <f t="shared" si="1"/>
        <v>0.22566333105905548</v>
      </c>
    </row>
    <row r="28" spans="2:14" x14ac:dyDescent="0.2">
      <c r="B28" s="46" t="s">
        <v>137</v>
      </c>
      <c r="C28" s="47">
        <f>IFERROR(C26*C27,0)</f>
        <v>0.2385567846278924</v>
      </c>
      <c r="D28" s="47">
        <f t="shared" ref="D28:K28" si="4">IFERROR(D26*D27,0)</f>
        <v>0.20981540444242294</v>
      </c>
      <c r="E28" s="47">
        <f t="shared" si="4"/>
        <v>0.1655737393598451</v>
      </c>
      <c r="F28" s="47">
        <f t="shared" si="4"/>
        <v>0.22246802474363928</v>
      </c>
      <c r="G28" s="47">
        <f t="shared" si="4"/>
        <v>0.19543702644649844</v>
      </c>
      <c r="H28" s="47">
        <f t="shared" si="4"/>
        <v>0.23569324576785974</v>
      </c>
      <c r="I28" s="47">
        <f t="shared" si="4"/>
        <v>0.22090346479165021</v>
      </c>
      <c r="J28" s="47">
        <f t="shared" si="4"/>
        <v>0.19317091659251401</v>
      </c>
      <c r="K28" s="47">
        <f t="shared" si="4"/>
        <v>0.14909729504072453</v>
      </c>
      <c r="L28" s="46"/>
      <c r="M28" s="58">
        <f t="shared" si="2"/>
        <v>0.20341287797922739</v>
      </c>
      <c r="N28" s="58">
        <f t="shared" si="1"/>
        <v>0.20981540444242294</v>
      </c>
    </row>
    <row r="29" spans="2:14" x14ac:dyDescent="0.2">
      <c r="B29" s="51" t="s">
        <v>138</v>
      </c>
      <c r="C29" s="53">
        <f>('Historical data'!C23-'Historical data'!C29)/'Historical data'!C26</f>
        <v>8.5082436721108401</v>
      </c>
      <c r="D29" s="53">
        <f>('Historical data'!D23-'Historical data'!D29)/'Historical data'!D26</f>
        <v>8.6592058360275281</v>
      </c>
      <c r="E29" s="53">
        <f>('Historical data'!E23-'Historical data'!E29)/'Historical data'!E26</f>
        <v>15.49967005411113</v>
      </c>
      <c r="F29" s="53">
        <f>('Historical data'!F23-'Historical data'!F29)/'Historical data'!F26</f>
        <v>17.482846546128879</v>
      </c>
      <c r="G29" s="53">
        <f>('Historical data'!G23-'Historical data'!G29)/'Historical data'!G26</f>
        <v>16.416648185111264</v>
      </c>
      <c r="H29" s="53">
        <f>('Historical data'!H23-'Historical data'!H29)/'Historical data'!H26</f>
        <v>9.5330796015871719</v>
      </c>
      <c r="I29" s="53">
        <f>('Historical data'!I23-'Historical data'!I29)/'Historical data'!I26</f>
        <v>11.720263855926287</v>
      </c>
      <c r="J29" s="53">
        <f>('Historical data'!J23-'Historical data'!J29)/'Historical data'!J26</f>
        <v>14.686523674625658</v>
      </c>
      <c r="K29" s="53">
        <f>('Historical data'!K23-'Historical data'!K29)/'Historical data'!K26</f>
        <v>14.860317751859668</v>
      </c>
      <c r="L29" s="51"/>
      <c r="M29" s="53">
        <f t="shared" si="2"/>
        <v>13.040755464165381</v>
      </c>
      <c r="N29" s="53">
        <f t="shared" si="1"/>
        <v>14.686523674625658</v>
      </c>
    </row>
    <row r="30" spans="2:14" x14ac:dyDescent="0.2">
      <c r="L30" s="1"/>
      <c r="M30" s="39"/>
    </row>
    <row r="31" spans="2:14" x14ac:dyDescent="0.2">
      <c r="B31" s="49" t="s">
        <v>139</v>
      </c>
      <c r="C31" s="54">
        <f>IFERROR('Historical data'!C11/'Historical data'!C64,0)</f>
        <v>19.26743990019893</v>
      </c>
      <c r="D31" s="54">
        <f>'Historical data'!D11/'Historical data'!D64</f>
        <v>13.139213669472491</v>
      </c>
      <c r="E31" s="54">
        <f>'Historical data'!E11/'Historical data'!E64</f>
        <v>16.778163228044551</v>
      </c>
      <c r="F31" s="54">
        <f>'Historical data'!F11/'Historical data'!F64</f>
        <v>25.64544043924564</v>
      </c>
      <c r="G31" s="54">
        <f>'Historical data'!G11/'Historical data'!G64</f>
        <v>21.396516058791509</v>
      </c>
      <c r="H31" s="54">
        <f>'Historical data'!H11/'Historical data'!H64</f>
        <v>16.004915346805024</v>
      </c>
      <c r="I31" s="54">
        <f>'Historical data'!I11/'Historical data'!I64</f>
        <v>14.369002353793228</v>
      </c>
      <c r="J31" s="54">
        <f>'Historical data'!J11/'Historical data'!J64</f>
        <v>26.425409870259898</v>
      </c>
      <c r="K31" s="54">
        <f>'Historical data'!K11/'Historical data'!K64</f>
        <v>24.017258457147655</v>
      </c>
      <c r="L31" s="49"/>
      <c r="M31" s="54">
        <f t="shared" si="2"/>
        <v>19.671484369306548</v>
      </c>
      <c r="N31" s="54">
        <f t="shared" si="1"/>
        <v>19.26743990019893</v>
      </c>
    </row>
    <row r="32" spans="2:14" x14ac:dyDescent="0.2">
      <c r="B32" s="46" t="s">
        <v>140</v>
      </c>
      <c r="C32" s="48">
        <f>IFERROR('Historical data'!C11/'Historical data'!C55,0)</f>
        <v>4.0300782103993731</v>
      </c>
      <c r="D32" s="48">
        <f>'Historical data'!D11/'Historical data'!D55</f>
        <v>3.4681711648317552</v>
      </c>
      <c r="E32" s="48">
        <f>'Historical data'!E11/'Historical data'!E55</f>
        <v>3.1737929128963183</v>
      </c>
      <c r="F32" s="48">
        <f>'Historical data'!F11/'Historical data'!F55</f>
        <v>3.9506030963850987</v>
      </c>
      <c r="G32" s="48">
        <f>'Historical data'!G11/'Historical data'!G55</f>
        <v>3.4575231701395488</v>
      </c>
      <c r="H32" s="48">
        <f>'Historical data'!H11/'Historical data'!H55</f>
        <v>4.1895557755610442</v>
      </c>
      <c r="I32" s="48">
        <f>'Historical data'!I11/'Historical data'!I55</f>
        <v>3.6546054045424681</v>
      </c>
      <c r="J32" s="48">
        <f>'Historical data'!J11/'Historical data'!J55</f>
        <v>3.4874336585258434</v>
      </c>
      <c r="K32" s="48">
        <f>'Historical data'!K11/'Historical data'!K55</f>
        <v>3.6350949945241888</v>
      </c>
      <c r="L32" s="46"/>
      <c r="M32" s="48">
        <f t="shared" si="2"/>
        <v>3.6718731542006271</v>
      </c>
      <c r="N32" s="48">
        <f t="shared" si="1"/>
        <v>3.6350949945241888</v>
      </c>
    </row>
    <row r="33" spans="2:14" x14ac:dyDescent="0.2">
      <c r="B33" s="46" t="s">
        <v>141</v>
      </c>
      <c r="C33" s="48">
        <f>IFERROR('Historical data'!C11/'Historical data'!C65,0)</f>
        <v>7.0568919953567635</v>
      </c>
      <c r="D33" s="48">
        <f>IFERROR('Historical data'!D11/'Historical data'!D65,0)</f>
        <v>6.8121258951309231</v>
      </c>
      <c r="E33" s="48">
        <f>IFERROR('Historical data'!E11/'Historical data'!E65,0)</f>
        <v>6.7636256578221028</v>
      </c>
      <c r="F33" s="48">
        <f>IFERROR('Historical data'!F11/'Historical data'!F65,0)</f>
        <v>6.5380753138075312</v>
      </c>
      <c r="G33" s="48">
        <f>IFERROR('Historical data'!G11/'Historical data'!G65,0)</f>
        <v>6.2627308765981313</v>
      </c>
      <c r="H33" s="48">
        <f>IFERROR('Historical data'!H11/'Historical data'!H65,0)</f>
        <v>7.3767345269185993</v>
      </c>
      <c r="I33" s="48">
        <f>IFERROR('Historical data'!I11/'Historical data'!I65,0)</f>
        <v>8.3370101901460245</v>
      </c>
      <c r="J33" s="48">
        <f>IFERROR('Historical data'!J11/'Historical data'!J65,0)</f>
        <v>8.5764468544581867</v>
      </c>
      <c r="K33" s="48">
        <f>IFERROR('Historical data'!K11/'Historical data'!K65,0)</f>
        <v>6.6188026279263434</v>
      </c>
      <c r="L33" s="46"/>
      <c r="M33" s="48">
        <f t="shared" si="2"/>
        <v>7.1491604375738449</v>
      </c>
      <c r="N33" s="48">
        <f t="shared" si="1"/>
        <v>6.8121258951309231</v>
      </c>
    </row>
    <row r="34" spans="2:14" x14ac:dyDescent="0.2">
      <c r="B34" s="46" t="s">
        <v>142</v>
      </c>
      <c r="C34" s="48">
        <f>IFERROR('Historical data'!C11/'Historical data'!C58,0)</f>
        <v>2.6048902118271284</v>
      </c>
      <c r="D34" s="48">
        <f>IFERROR('Historical data'!D11/'Historical data'!D58,0)</f>
        <v>2.0834562115346853</v>
      </c>
      <c r="E34" s="48">
        <f>IFERROR('Historical data'!E11/'Historical data'!E58,0)</f>
        <v>1.8076500654061904</v>
      </c>
      <c r="F34" s="48">
        <f>IFERROR('Historical data'!F11/'Historical data'!F58,0)</f>
        <v>3.3066191634091537</v>
      </c>
      <c r="G34" s="48">
        <f>IFERROR('Historical data'!G11/'Historical data'!G58,0)</f>
        <v>2.737770187062226</v>
      </c>
      <c r="H34" s="48">
        <f>IFERROR('Historical data'!H11/'Historical data'!H58,0)</f>
        <v>2.6190492149778692</v>
      </c>
      <c r="I34" s="48">
        <f>IFERROR('Historical data'!I11/'Historical data'!I58,0)</f>
        <v>2.7562446167097328</v>
      </c>
      <c r="J34" s="48">
        <f>IFERROR('Historical data'!J11/'Historical data'!J58,0)</f>
        <v>3.0224785580513176</v>
      </c>
      <c r="K34" s="48">
        <f>IFERROR('Historical data'!K11/'Historical data'!K58,0)</f>
        <v>2.6883222556088615</v>
      </c>
      <c r="L34" s="46"/>
      <c r="M34" s="48">
        <f t="shared" si="2"/>
        <v>2.6251644982874627</v>
      </c>
      <c r="N34" s="48">
        <f t="shared" si="1"/>
        <v>2.6883222556088615</v>
      </c>
    </row>
    <row r="35" spans="2:14" x14ac:dyDescent="0.2">
      <c r="B35" s="51" t="s">
        <v>143</v>
      </c>
      <c r="C35" s="53">
        <f>IFERROR('Historical data'!C11/SUM('Historical data'!C52:C53),0)</f>
        <v>1.2130519415734249</v>
      </c>
      <c r="D35" s="53">
        <f>IFERROR('Historical data'!D11/SUM('Historical data'!D52:D53),0)</f>
        <v>1.1862993707831095</v>
      </c>
      <c r="E35" s="53">
        <f>IFERROR('Historical data'!E11/SUM('Historical data'!E52:E53),0)</f>
        <v>0.80543654034092327</v>
      </c>
      <c r="F35" s="53">
        <f>IFERROR('Historical data'!F11/SUM('Historical data'!F52:F53),0)</f>
        <v>1.1164125360151931</v>
      </c>
      <c r="G35" s="53">
        <f>IFERROR('Historical data'!G11/SUM('Historical data'!G52:G53),0)</f>
        <v>1.1044776622684709</v>
      </c>
      <c r="H35" s="53">
        <f>IFERROR('Historical data'!H11/SUM('Historical data'!H52:H53),0)</f>
        <v>1.2213737276488712</v>
      </c>
      <c r="I35" s="53">
        <f>IFERROR('Historical data'!I11/SUM('Historical data'!I52:I53),0)</f>
        <v>0.92019275812009815</v>
      </c>
      <c r="J35" s="53">
        <f>IFERROR('Historical data'!J11/SUM('Historical data'!J52:J53),0)</f>
        <v>0.8307417605296239</v>
      </c>
      <c r="K35" s="53">
        <f>IFERROR('Historical data'!K11/SUM('Historical data'!K52:K53),0)</f>
        <v>0.82832422454688137</v>
      </c>
      <c r="L35" s="51"/>
      <c r="M35" s="53">
        <f t="shared" si="2"/>
        <v>1.0251456135362884</v>
      </c>
      <c r="N35" s="53">
        <f t="shared" si="1"/>
        <v>1.1044776622684709</v>
      </c>
    </row>
    <row r="36" spans="2:14" s="1" customFormat="1" x14ac:dyDescent="0.2">
      <c r="C36" s="43"/>
      <c r="D36" s="43"/>
      <c r="E36" s="43"/>
      <c r="F36" s="43"/>
      <c r="G36" s="43"/>
      <c r="H36" s="43"/>
      <c r="I36" s="43"/>
      <c r="J36" s="43"/>
      <c r="K36" s="43"/>
      <c r="M36" s="39"/>
      <c r="N36" s="39"/>
    </row>
    <row r="37" spans="2:14" x14ac:dyDescent="0.2">
      <c r="B37" s="49" t="s">
        <v>144</v>
      </c>
      <c r="C37" s="55">
        <f>IFERROR(365/C31,0)</f>
        <v>18.94387639928393</v>
      </c>
      <c r="D37" s="55">
        <f t="shared" ref="D37:K37" si="5">IFERROR(365/D31,0)</f>
        <v>27.779440169089959</v>
      </c>
      <c r="E37" s="55">
        <f t="shared" si="5"/>
        <v>21.754467103401744</v>
      </c>
      <c r="F37" s="55">
        <f t="shared" si="5"/>
        <v>14.232549480469615</v>
      </c>
      <c r="G37" s="55">
        <f t="shared" si="5"/>
        <v>17.058851964361132</v>
      </c>
      <c r="H37" s="55">
        <f t="shared" si="5"/>
        <v>22.80549394301314</v>
      </c>
      <c r="I37" s="55">
        <f t="shared" si="5"/>
        <v>25.401902721774196</v>
      </c>
      <c r="J37" s="55">
        <f t="shared" si="5"/>
        <v>13.8124631478577</v>
      </c>
      <c r="K37" s="55">
        <f t="shared" si="5"/>
        <v>15.197404843323165</v>
      </c>
      <c r="L37" s="49"/>
      <c r="M37" s="55">
        <f t="shared" si="2"/>
        <v>19.665161085841621</v>
      </c>
      <c r="N37" s="55">
        <f t="shared" si="1"/>
        <v>18.94387639928393</v>
      </c>
    </row>
    <row r="38" spans="2:14" x14ac:dyDescent="0.2">
      <c r="B38" s="46" t="s">
        <v>145</v>
      </c>
      <c r="C38" s="56">
        <f>IFERROR(365/C32,0)</f>
        <v>90.568961926877634</v>
      </c>
      <c r="D38" s="56">
        <f t="shared" ref="D38:K38" si="6">IFERROR(365/D32,0)</f>
        <v>105.24278723645594</v>
      </c>
      <c r="E38" s="56">
        <f t="shared" si="6"/>
        <v>115.00435284131717</v>
      </c>
      <c r="F38" s="56">
        <f t="shared" si="6"/>
        <v>92.390956796946824</v>
      </c>
      <c r="G38" s="56">
        <f t="shared" si="6"/>
        <v>105.56689920468942</v>
      </c>
      <c r="H38" s="56">
        <f t="shared" si="6"/>
        <v>87.121408462719657</v>
      </c>
      <c r="I38" s="56">
        <f t="shared" si="6"/>
        <v>99.873983534946234</v>
      </c>
      <c r="J38" s="56">
        <f t="shared" si="6"/>
        <v>104.66148914623007</v>
      </c>
      <c r="K38" s="56">
        <f t="shared" si="6"/>
        <v>100.41003070066294</v>
      </c>
      <c r="L38" s="46"/>
      <c r="M38" s="56">
        <f t="shared" si="2"/>
        <v>100.09342998342731</v>
      </c>
      <c r="N38" s="56">
        <f t="shared" si="1"/>
        <v>100.41003070066294</v>
      </c>
    </row>
    <row r="39" spans="2:14" x14ac:dyDescent="0.2">
      <c r="B39" s="46" t="s">
        <v>146</v>
      </c>
      <c r="C39" s="56">
        <f>IFERROR(365/C33,0)</f>
        <v>51.722486363707951</v>
      </c>
      <c r="D39" s="56">
        <f t="shared" ref="D39:K39" si="7">IFERROR(365/D33,0)</f>
        <v>53.580924019752722</v>
      </c>
      <c r="E39" s="56">
        <f t="shared" si="7"/>
        <v>53.965139182101119</v>
      </c>
      <c r="F39" s="56">
        <f t="shared" si="7"/>
        <v>55.826827083066682</v>
      </c>
      <c r="G39" s="56">
        <f t="shared" si="7"/>
        <v>58.281284505436915</v>
      </c>
      <c r="H39" s="56">
        <f t="shared" si="7"/>
        <v>49.479888244326908</v>
      </c>
      <c r="I39" s="56">
        <f t="shared" si="7"/>
        <v>43.780682963709673</v>
      </c>
      <c r="J39" s="56">
        <f t="shared" si="7"/>
        <v>42.558416812233453</v>
      </c>
      <c r="K39" s="56">
        <f t="shared" si="7"/>
        <v>55.145926010843098</v>
      </c>
      <c r="L39" s="46"/>
      <c r="M39" s="56">
        <f t="shared" si="2"/>
        <v>51.593508353908732</v>
      </c>
      <c r="N39" s="56">
        <f t="shared" si="1"/>
        <v>53.580924019752722</v>
      </c>
    </row>
    <row r="40" spans="2:14" x14ac:dyDescent="0.2">
      <c r="B40" s="51" t="s">
        <v>147</v>
      </c>
      <c r="C40" s="66">
        <f>SUM(C37,C39)-C38</f>
        <v>-19.902599163885753</v>
      </c>
      <c r="D40" s="66">
        <f t="shared" ref="D40:K40" si="8">SUM(D37,D39)-D38</f>
        <v>-23.882423047613258</v>
      </c>
      <c r="E40" s="66">
        <f t="shared" si="8"/>
        <v>-39.284746555814309</v>
      </c>
      <c r="F40" s="66">
        <f t="shared" si="8"/>
        <v>-22.331580233410534</v>
      </c>
      <c r="G40" s="66">
        <f t="shared" si="8"/>
        <v>-30.226762734891381</v>
      </c>
      <c r="H40" s="66">
        <f t="shared" si="8"/>
        <v>-14.836026275379609</v>
      </c>
      <c r="I40" s="66">
        <f t="shared" si="8"/>
        <v>-30.691397849462362</v>
      </c>
      <c r="J40" s="66">
        <f t="shared" si="8"/>
        <v>-48.290609186138916</v>
      </c>
      <c r="K40" s="66">
        <f t="shared" si="8"/>
        <v>-30.066699846496675</v>
      </c>
      <c r="L40" s="51"/>
      <c r="M40" s="66">
        <f t="shared" si="2"/>
        <v>-28.834760543676971</v>
      </c>
      <c r="N40" s="66">
        <f t="shared" si="1"/>
        <v>-30.066699846496675</v>
      </c>
    </row>
    <row r="41" spans="2:14" x14ac:dyDescent="0.2">
      <c r="L41" s="1"/>
      <c r="M41" s="39"/>
    </row>
    <row r="42" spans="2:14" x14ac:dyDescent="0.2">
      <c r="B42" s="49" t="s">
        <v>148</v>
      </c>
      <c r="C42" s="57">
        <f>IFERROR('Historical data'!C83/'Historical data'!C11,0)</f>
        <v>0.24516451921680349</v>
      </c>
      <c r="D42" s="57">
        <f>IFERROR('Historical data'!D83/'Historical data'!D11,0)</f>
        <v>0.19778285104459059</v>
      </c>
      <c r="E42" s="57">
        <f>IFERROR('Historical data'!E83/'Historical data'!E11,0)</f>
        <v>0.28420426433354368</v>
      </c>
      <c r="F42" s="57">
        <f>IFERROR('Historical data'!F83/'Historical data'!F11,0)</f>
        <v>0.25633268561721145</v>
      </c>
      <c r="G42" s="57">
        <f>IFERROR('Historical data'!G83/'Historical data'!G11,0)</f>
        <v>0.19111877757254728</v>
      </c>
      <c r="H42" s="57">
        <f>IFERROR('Historical data'!H83/'Historical data'!H11,0)</f>
        <v>0.17573792868111243</v>
      </c>
      <c r="I42" s="57">
        <f>IFERROR('Historical data'!I83/'Historical data'!I11,0)</f>
        <v>0.31510416666666669</v>
      </c>
      <c r="J42" s="57">
        <f>IFERROR('Historical data'!J83/'Historical data'!J11,0)</f>
        <v>0.32315431447319293</v>
      </c>
      <c r="K42" s="57">
        <f>IFERROR('Historical data'!K83/'Historical data'!K11,0)</f>
        <v>0.19034131420087405</v>
      </c>
      <c r="L42" s="49"/>
      <c r="M42" s="57">
        <f t="shared" si="2"/>
        <v>0.24210453575628252</v>
      </c>
      <c r="N42" s="57">
        <f t="shared" si="1"/>
        <v>0.24516451921680349</v>
      </c>
    </row>
    <row r="43" spans="2:14" x14ac:dyDescent="0.2">
      <c r="B43" s="46" t="s">
        <v>149</v>
      </c>
      <c r="C43" s="58">
        <f>IFERROR('Historical data'!C83/'Historical data'!C69,0)</f>
        <v>0.19116597600396251</v>
      </c>
      <c r="D43" s="58">
        <f>IFERROR('Historical data'!D83/'Historical data'!D69,0)</f>
        <v>0.15479160024256519</v>
      </c>
      <c r="E43" s="58">
        <f>IFERROR('Historical data'!E83/'Historical data'!E69,0)</f>
        <v>0.16558740732600113</v>
      </c>
      <c r="F43" s="58">
        <f>IFERROR('Historical data'!F83/'Historical data'!F69,0)</f>
        <v>0.1972934173136392</v>
      </c>
      <c r="G43" s="58">
        <f>IFERROR('Historical data'!G83/'Historical data'!G69,0)</f>
        <v>0.1240272807183808</v>
      </c>
      <c r="H43" s="58">
        <f>IFERROR('Historical data'!H83/'Historical data'!H69,0)</f>
        <v>0.13558652691162193</v>
      </c>
      <c r="I43" s="58">
        <f>IFERROR('Historical data'!I83/'Historical data'!I69,0)</f>
        <v>0.19397172491075801</v>
      </c>
      <c r="J43" s="58">
        <f>IFERROR('Historical data'!J83/'Historical data'!J69,0)</f>
        <v>0.19459312497831388</v>
      </c>
      <c r="K43" s="58">
        <f>IFERROR('Historical data'!K83/'Historical data'!K69,0)</f>
        <v>0.11629083898950393</v>
      </c>
      <c r="L43" s="46"/>
      <c r="M43" s="58">
        <f t="shared" si="2"/>
        <v>0.16370087748830517</v>
      </c>
      <c r="N43" s="58">
        <f t="shared" si="1"/>
        <v>0.16558740732600113</v>
      </c>
    </row>
    <row r="44" spans="2:14" x14ac:dyDescent="0.2">
      <c r="B44" s="51" t="s">
        <v>150</v>
      </c>
      <c r="C44" s="59">
        <f>IFERROR('Historical data'!C83/'Historical data'!C54,0)</f>
        <v>1.167626492870061</v>
      </c>
      <c r="D44" s="59">
        <f>IFERROR('Historical data'!D83/'Historical data'!D54,0)</f>
        <v>1.3505847442834702</v>
      </c>
      <c r="E44" s="59">
        <f>IFERROR('Historical data'!E83/'Historical data'!E54,0)</f>
        <v>1.7796504298645104</v>
      </c>
      <c r="F44" s="59">
        <f>IFERROR('Historical data'!F83/'Historical data'!F54,0)</f>
        <v>1.7044091819919074</v>
      </c>
      <c r="G44" s="59">
        <f>IFERROR('Historical data'!G83/'Historical data'!G54,0)</f>
        <v>0.55186924401553927</v>
      </c>
      <c r="H44" s="59">
        <f>IFERROR('Historical data'!H83/'Historical data'!H54,0)</f>
        <v>0.73625332832966994</v>
      </c>
      <c r="I44" s="59">
        <f>IFERROR('Historical data'!I83/'Historical data'!I54,0)</f>
        <v>1.1929940620636794</v>
      </c>
      <c r="J44" s="59">
        <f>IFERROR('Historical data'!J83/'Historical data'!J54,0)</f>
        <v>1.8989044425272961</v>
      </c>
      <c r="K44" s="59">
        <f>IFERROR('Historical data'!K83/'Historical data'!K54,0)</f>
        <v>1.2326454118701533</v>
      </c>
      <c r="L44" s="51"/>
      <c r="M44" s="59">
        <f t="shared" si="2"/>
        <v>1.2905485930906986</v>
      </c>
      <c r="N44" s="59">
        <f t="shared" si="1"/>
        <v>1.2326454118701533</v>
      </c>
    </row>
  </sheetData>
  <mergeCells count="1">
    <mergeCell ref="B6:N6"/>
  </mergeCells>
  <pageMargins left="0.7" right="0.7" top="0.75" bottom="0.75" header="0.3" footer="0.3"/>
  <pageSetup scale="0" firstPageNumber="0" fitToWidth="0" fitToHeight="0" orientation="portrait" horizontalDpi="0" verticalDpi="0" copies="0"/>
  <ignoredErrors>
    <ignoredError sqref="M11:M12" formulaRange="1"/>
  </ignoredErrors>
  <drawing r:id="rId1"/>
  <extLst>
    <ext xmlns:x14="http://schemas.microsoft.com/office/spreadsheetml/2009/9/main" uri="{05C60535-1F16-4fd2-B633-F4F36F0B64E0}">
      <x14:sparklineGroups xmlns:xm="http://schemas.microsoft.com/office/excel/2006/main">
        <x14:sparklineGroup displayEmptyCellsAs="gap" markers="1" xr2:uid="{24152689-F871-499C-81B5-BC4C51E51FFD}">
          <x14:colorSeries rgb="FF323232"/>
          <x14:colorNegative rgb="FFD00000"/>
          <x14:colorAxis rgb="FF000000"/>
          <x14:colorMarkers rgb="FFD00000"/>
          <x14:colorFirst rgb="FFD00000"/>
          <x14:colorLast rgb="FFD00000"/>
          <x14:colorHigh rgb="FFD00000"/>
          <x14:colorLow rgb="FFD00000"/>
          <x14:sparklines>
            <x14:sparkline>
              <xm:f>'Ratio Analysis'!C15:K15</xm:f>
              <xm:sqref>L15</xm:sqref>
            </x14:sparkline>
            <x14:sparkline>
              <xm:f>'Ratio Analysis'!C16:K16</xm:f>
              <xm:sqref>L16</xm:sqref>
            </x14:sparkline>
            <x14:sparkline>
              <xm:f>'Ratio Analysis'!C17:K17</xm:f>
              <xm:sqref>L17</xm:sqref>
            </x14:sparkline>
            <x14:sparkline>
              <xm:f>'Ratio Analysis'!C18:K18</xm:f>
              <xm:sqref>L18</xm:sqref>
            </x14:sparkline>
            <x14:sparkline>
              <xm:f>'Ratio Analysis'!C19:K19</xm:f>
              <xm:sqref>L19</xm:sqref>
            </x14:sparkline>
            <x14:sparkline>
              <xm:f>'Ratio Analysis'!C20:K20</xm:f>
              <xm:sqref>L20</xm:sqref>
            </x14:sparkline>
            <x14:sparkline>
              <xm:f>'Ratio Analysis'!C21:K21</xm:f>
              <xm:sqref>L21</xm:sqref>
            </x14:sparkline>
            <x14:sparkline>
              <xm:f>'Ratio Analysis'!C22:K22</xm:f>
              <xm:sqref>L22</xm:sqref>
            </x14:sparkline>
            <x14:sparkline>
              <xm:f>'Ratio Analysis'!C23:K23</xm:f>
              <xm:sqref>L23</xm:sqref>
            </x14:sparkline>
            <x14:sparkline>
              <xm:f>'Ratio Analysis'!C25:K25</xm:f>
              <xm:sqref>L25</xm:sqref>
            </x14:sparkline>
            <x14:sparkline>
              <xm:f>'Ratio Analysis'!C26:K26</xm:f>
              <xm:sqref>L26</xm:sqref>
            </x14:sparkline>
            <x14:sparkline>
              <xm:f>'Ratio Analysis'!C27:K27</xm:f>
              <xm:sqref>L27</xm:sqref>
            </x14:sparkline>
            <x14:sparkline>
              <xm:f>'Ratio Analysis'!C28:K28</xm:f>
              <xm:sqref>L28</xm:sqref>
            </x14:sparkline>
            <x14:sparkline>
              <xm:f>'Ratio Analysis'!C29:K29</xm:f>
              <xm:sqref>L29</xm:sqref>
            </x14:sparkline>
            <x14:sparkline>
              <xm:f>'Ratio Analysis'!C30:K30</xm:f>
              <xm:sqref>L30</xm:sqref>
            </x14:sparkline>
            <x14:sparkline>
              <xm:f>'Ratio Analysis'!C31:K31</xm:f>
              <xm:sqref>L31</xm:sqref>
            </x14:sparkline>
            <x14:sparkline>
              <xm:f>'Ratio Analysis'!C32:K32</xm:f>
              <xm:sqref>L32</xm:sqref>
            </x14:sparkline>
            <x14:sparkline>
              <xm:f>'Ratio Analysis'!C33:K33</xm:f>
              <xm:sqref>L33</xm:sqref>
            </x14:sparkline>
            <x14:sparkline>
              <xm:f>'Ratio Analysis'!C34:K34</xm:f>
              <xm:sqref>L34</xm:sqref>
            </x14:sparkline>
            <x14:sparkline>
              <xm:f>'Ratio Analysis'!C35:K35</xm:f>
              <xm:sqref>L35</xm:sqref>
            </x14:sparkline>
            <x14:sparkline>
              <xm:f>'Ratio Analysis'!C36:K36</xm:f>
              <xm:sqref>L36</xm:sqref>
            </x14:sparkline>
            <x14:sparkline>
              <xm:f>'Ratio Analysis'!C37:K37</xm:f>
              <xm:sqref>L37</xm:sqref>
            </x14:sparkline>
            <x14:sparkline>
              <xm:f>'Ratio Analysis'!C38:K38</xm:f>
              <xm:sqref>L38</xm:sqref>
            </x14:sparkline>
            <x14:sparkline>
              <xm:f>'Ratio Analysis'!C39:K39</xm:f>
              <xm:sqref>L39</xm:sqref>
            </x14:sparkline>
            <x14:sparkline>
              <xm:f>'Ratio Analysis'!C40:K40</xm:f>
              <xm:sqref>L40</xm:sqref>
            </x14:sparkline>
            <x14:sparkline>
              <xm:f>'Ratio Analysis'!C41:K41</xm:f>
              <xm:sqref>L41</xm:sqref>
            </x14:sparkline>
            <x14:sparkline>
              <xm:f>'Ratio Analysis'!C42:K42</xm:f>
              <xm:sqref>L42</xm:sqref>
            </x14:sparkline>
            <x14:sparkline>
              <xm:f>'Ratio Analysis'!C43:K43</xm:f>
              <xm:sqref>L43</xm:sqref>
            </x14:sparkline>
            <x14:sparkline>
              <xm:f>'Ratio Analysis'!C44:K44</xm:f>
              <xm:sqref>L44</xm:sqref>
            </x14:sparkline>
          </x14:sparklines>
        </x14:sparklineGroup>
        <x14:sparklineGroup displayEmptyCellsAs="gap" markers="1" high="1" low="1" xr2:uid="{B6278DD7-F206-4A4A-A71B-C2DBFFE41B64}">
          <x14:colorSeries rgb="FF323232"/>
          <x14:colorNegative rgb="FFD00000"/>
          <x14:colorAxis rgb="FF000000"/>
          <x14:colorMarkers rgb="FFD00000"/>
          <x14:colorFirst rgb="FFD00000"/>
          <x14:colorLast rgb="FFD00000"/>
          <x14:colorHigh rgb="FFD00000"/>
          <x14:colorLow rgb="FFD00000"/>
          <x14:sparklines>
            <x14:sparkline>
              <xm:f>'Ratio Analysis'!D9:K9</xm:f>
              <xm:sqref>L9</xm:sqref>
            </x14:sparkline>
            <x14:sparkline>
              <xm:f>'Ratio Analysis'!D10:K10</xm:f>
              <xm:sqref>L10</xm:sqref>
            </x14:sparkline>
            <x14:sparkline>
              <xm:f>'Ratio Analysis'!D11:K11</xm:f>
              <xm:sqref>L11</xm:sqref>
            </x14:sparkline>
            <x14:sparkline>
              <xm:f>'Ratio Analysis'!D12:K12</xm:f>
              <xm:sqref>L12</xm:sqref>
            </x14:sparkline>
            <x14:sparkline>
              <xm:f>'Ratio Analysis'!D13:K13</xm:f>
              <xm:sqref>L13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9DE18-9B76-4AE2-8C85-A64FCA4C137C}">
  <sheetPr>
    <tabColor theme="5" tint="-0.249977111117893"/>
  </sheetPr>
  <dimension ref="B1:N45"/>
  <sheetViews>
    <sheetView showGridLines="0" workbookViewId="0">
      <selection activeCell="K14" sqref="K14"/>
    </sheetView>
  </sheetViews>
  <sheetFormatPr defaultRowHeight="15" x14ac:dyDescent="0.2"/>
  <cols>
    <col min="1" max="1" width="1.8828125" customWidth="1"/>
    <col min="2" max="2" width="42.10546875" customWidth="1"/>
    <col min="3" max="3" width="9.4140625" bestFit="1" customWidth="1"/>
  </cols>
  <sheetData>
    <row r="1" spans="2:14" s="1" customFormat="1" x14ac:dyDescent="0.2"/>
    <row r="2" spans="2:14" s="1" customFormat="1" x14ac:dyDescent="0.2"/>
    <row r="3" spans="2:14" s="1" customFormat="1" x14ac:dyDescent="0.2"/>
    <row r="4" spans="2:14" s="1" customFormat="1" x14ac:dyDescent="0.2"/>
    <row r="6" spans="2:14" x14ac:dyDescent="0.2">
      <c r="B6" s="281" t="str">
        <f>"Common Size Income Statement"&amp;" - "&amp;'Data Sheet'!$B$1</f>
        <v>Common Size Income Statement - SHREE CEMENT LTD</v>
      </c>
      <c r="C6" s="281"/>
      <c r="D6" s="281"/>
      <c r="E6" s="281"/>
      <c r="F6" s="281"/>
      <c r="G6" s="281"/>
      <c r="H6" s="281"/>
      <c r="I6" s="281"/>
      <c r="J6" s="281"/>
      <c r="K6" s="281"/>
      <c r="L6" s="281"/>
    </row>
    <row r="8" spans="2:14" x14ac:dyDescent="0.2">
      <c r="B8" s="51" t="s">
        <v>190</v>
      </c>
      <c r="C8" s="88">
        <f>'Data Sheet'!B16</f>
        <v>41820</v>
      </c>
      <c r="D8" s="88">
        <f>'Data Sheet'!C16</f>
        <v>42185</v>
      </c>
      <c r="E8" s="88">
        <f>'Data Sheet'!D16</f>
        <v>42460</v>
      </c>
      <c r="F8" s="88">
        <f>'Data Sheet'!E16</f>
        <v>42825</v>
      </c>
      <c r="G8" s="88">
        <f>'Data Sheet'!F16</f>
        <v>43190</v>
      </c>
      <c r="H8" s="88">
        <f>'Data Sheet'!G16</f>
        <v>43555</v>
      </c>
      <c r="I8" s="88">
        <f>'Data Sheet'!H16</f>
        <v>43921</v>
      </c>
      <c r="J8" s="88">
        <f>'Data Sheet'!I16</f>
        <v>44286</v>
      </c>
      <c r="K8" s="88">
        <f>'Data Sheet'!J16</f>
        <v>44651</v>
      </c>
      <c r="L8" s="88">
        <f>'Data Sheet'!K16</f>
        <v>45016</v>
      </c>
    </row>
    <row r="10" spans="2:14" x14ac:dyDescent="0.2">
      <c r="B10" s="4" t="str">
        <f>'Data Sheet'!A17</f>
        <v>Sales</v>
      </c>
      <c r="C10" s="41">
        <f>'Data Sheet'!B17/'Data Sheet'!B$17</f>
        <v>1</v>
      </c>
      <c r="D10" s="41">
        <f>'Data Sheet'!C17/'Data Sheet'!C$17</f>
        <v>1</v>
      </c>
      <c r="E10" s="41">
        <f>'Data Sheet'!D17/'Data Sheet'!D$17</f>
        <v>1</v>
      </c>
      <c r="F10" s="41">
        <f>'Data Sheet'!E17/'Data Sheet'!E$17</f>
        <v>1</v>
      </c>
      <c r="G10" s="41">
        <f>'Data Sheet'!F17/'Data Sheet'!F$17</f>
        <v>1</v>
      </c>
      <c r="H10" s="41">
        <f>'Data Sheet'!G17/'Data Sheet'!G$17</f>
        <v>1</v>
      </c>
      <c r="I10" s="41">
        <f>'Data Sheet'!H17/'Data Sheet'!H$17</f>
        <v>1</v>
      </c>
      <c r="J10" s="41">
        <f>'Data Sheet'!I17/'Data Sheet'!I$17</f>
        <v>1</v>
      </c>
      <c r="K10" s="41">
        <f>'Data Sheet'!J17/'Data Sheet'!J$17</f>
        <v>1</v>
      </c>
      <c r="L10" s="41">
        <f>'Data Sheet'!K17/'Data Sheet'!K$17</f>
        <v>1</v>
      </c>
    </row>
    <row r="11" spans="2:14" x14ac:dyDescent="0.2">
      <c r="B11" s="4" t="str">
        <f>'Data Sheet'!A18</f>
        <v>Raw Material Cost</v>
      </c>
      <c r="C11" s="41">
        <f>'Data Sheet'!B18/'Data Sheet'!B$17</f>
        <v>7.6443732030455694E-2</v>
      </c>
      <c r="D11" s="41">
        <f>'Data Sheet'!C18/'Data Sheet'!C$17</f>
        <v>8.8308924671573419E-2</v>
      </c>
      <c r="E11" s="41">
        <f>'Data Sheet'!D18/'Data Sheet'!D$17</f>
        <v>8.1488816825182636E-2</v>
      </c>
      <c r="F11" s="41">
        <f>'Data Sheet'!E18/'Data Sheet'!E$17</f>
        <v>7.91990039910173E-2</v>
      </c>
      <c r="G11" s="41">
        <f>'Data Sheet'!F18/'Data Sheet'!F$17</f>
        <v>7.826507299251502E-2</v>
      </c>
      <c r="H11" s="41">
        <f>'Data Sheet'!G18/'Data Sheet'!G$17</f>
        <v>7.6335949496672911E-2</v>
      </c>
      <c r="I11" s="41">
        <f>'Data Sheet'!H18/'Data Sheet'!H$17</f>
        <v>6.4118783602150536E-2</v>
      </c>
      <c r="J11" s="41">
        <f>'Data Sheet'!I18/'Data Sheet'!I$17</f>
        <v>6.5798291402469206E-2</v>
      </c>
      <c r="K11" s="41">
        <f>'Data Sheet'!J18/'Data Sheet'!J$17</f>
        <v>8.9826001616118686E-2</v>
      </c>
      <c r="L11" s="41">
        <f>'Data Sheet'!K18/'Data Sheet'!K$17</f>
        <v>7.9486906896455461E-2</v>
      </c>
    </row>
    <row r="12" spans="2:14" x14ac:dyDescent="0.2">
      <c r="B12" s="4" t="str">
        <f>'Data Sheet'!A19</f>
        <v>Change in Inventory</v>
      </c>
      <c r="C12" s="41">
        <f>'Data Sheet'!B19/'Data Sheet'!B$17</f>
        <v>2.8646275371727861E-3</v>
      </c>
      <c r="D12" s="41">
        <f>'Data Sheet'!C19/'Data Sheet'!C$17</f>
        <v>1.2637014149941127E-2</v>
      </c>
      <c r="E12" s="41">
        <f>'Data Sheet'!D19/'Data Sheet'!D$17</f>
        <v>-5.9488831334653688E-4</v>
      </c>
      <c r="F12" s="41">
        <f>'Data Sheet'!E19/'Data Sheet'!E$17</f>
        <v>6.2227290180701163E-3</v>
      </c>
      <c r="G12" s="41">
        <f>'Data Sheet'!F19/'Data Sheet'!F$17</f>
        <v>-1.3127967149551969E-4</v>
      </c>
      <c r="H12" s="41">
        <f>'Data Sheet'!G19/'Data Sheet'!G$17</f>
        <v>2.6113291247227433E-3</v>
      </c>
      <c r="I12" s="41">
        <f>'Data Sheet'!H19/'Data Sheet'!H$17</f>
        <v>-4.1750672043010749E-4</v>
      </c>
      <c r="J12" s="41">
        <f>'Data Sheet'!I19/'Data Sheet'!I$17</f>
        <v>-3.3191594830478169E-3</v>
      </c>
      <c r="K12" s="41">
        <f>'Data Sheet'!J19/'Data Sheet'!J$17</f>
        <v>1.023914642091224E-2</v>
      </c>
      <c r="L12" s="41">
        <f>'Data Sheet'!K19/'Data Sheet'!K$17</f>
        <v>4.6634029181309086E-3</v>
      </c>
      <c r="N12" s="92"/>
    </row>
    <row r="13" spans="2:14" x14ac:dyDescent="0.2">
      <c r="B13" s="4" t="str">
        <f>'Data Sheet'!A20</f>
        <v>Power and Fuel</v>
      </c>
      <c r="C13" s="41">
        <f>'Data Sheet'!B20/'Data Sheet'!B$17</f>
        <v>0.24126218604154676</v>
      </c>
      <c r="D13" s="41">
        <f>'Data Sheet'!C20/'Data Sheet'!C$17</f>
        <v>0.25239200624981029</v>
      </c>
      <c r="E13" s="41">
        <f>'Data Sheet'!D20/'Data Sheet'!D$17</f>
        <v>0.20366763154649198</v>
      </c>
      <c r="F13" s="41">
        <f>'Data Sheet'!E20/'Data Sheet'!E$17</f>
        <v>0.16804975390665908</v>
      </c>
      <c r="G13" s="41">
        <f>'Data Sheet'!F20/'Data Sheet'!F$17</f>
        <v>0.20146341215201982</v>
      </c>
      <c r="H13" s="41">
        <f>'Data Sheet'!G20/'Data Sheet'!G$17</f>
        <v>0.23417846783825286</v>
      </c>
      <c r="I13" s="41">
        <f>'Data Sheet'!H20/'Data Sheet'!H$17</f>
        <v>0.19721270161290322</v>
      </c>
      <c r="J13" s="41">
        <f>'Data Sheet'!I20/'Data Sheet'!I$17</f>
        <v>0.16437298669889264</v>
      </c>
      <c r="K13" s="41">
        <f>'Data Sheet'!J20/'Data Sheet'!J$17</f>
        <v>0.22098465805668721</v>
      </c>
      <c r="L13" s="41">
        <f>'Data Sheet'!K20/'Data Sheet'!K$17</f>
        <v>0.32932046284808481</v>
      </c>
    </row>
    <row r="14" spans="2:14" x14ac:dyDescent="0.2">
      <c r="B14" s="4" t="str">
        <f>'Data Sheet'!A21</f>
        <v>Other Mfr. Exp</v>
      </c>
      <c r="C14" s="41">
        <f>'Data Sheet'!B21/'Data Sheet'!B$17</f>
        <v>0.11022078806131039</v>
      </c>
      <c r="D14" s="41">
        <f>'Data Sheet'!C21/'Data Sheet'!C$17</f>
        <v>0.10192366987837473</v>
      </c>
      <c r="E14" s="41">
        <f>'Data Sheet'!D21/'Data Sheet'!D$17</f>
        <v>9.7692268628347151E-2</v>
      </c>
      <c r="F14" s="41">
        <f>'Data Sheet'!E21/'Data Sheet'!E$17</f>
        <v>9.5557520682312699E-2</v>
      </c>
      <c r="G14" s="41">
        <f>'Data Sheet'!F21/'Data Sheet'!F$17</f>
        <v>7.9676583879059862E-2</v>
      </c>
      <c r="H14" s="41">
        <f>'Data Sheet'!G21/'Data Sheet'!G$17</f>
        <v>7.9174202354547016E-2</v>
      </c>
      <c r="I14" s="41">
        <f>'Data Sheet'!H21/'Data Sheet'!H$17</f>
        <v>7.7439516129032257E-2</v>
      </c>
      <c r="J14" s="41">
        <f>'Data Sheet'!I21/'Data Sheet'!I$17</f>
        <v>7.7143423209804815E-2</v>
      </c>
      <c r="K14" s="41">
        <f>'Data Sheet'!J21/'Data Sheet'!J$17</f>
        <v>9.0610294508272127E-2</v>
      </c>
      <c r="L14" s="41">
        <f>'Data Sheet'!K21/'Data Sheet'!K$17</f>
        <v>8.1124324350007035E-2</v>
      </c>
    </row>
    <row r="15" spans="2:14" x14ac:dyDescent="0.2">
      <c r="B15" s="4" t="str">
        <f>'Data Sheet'!A22</f>
        <v>Employee Cost</v>
      </c>
      <c r="C15" s="41">
        <f>'Data Sheet'!B22/'Data Sheet'!B$17</f>
        <v>6.9437031566900523E-2</v>
      </c>
      <c r="D15" s="41">
        <f>'Data Sheet'!C22/'Data Sheet'!C$17</f>
        <v>7.2989540514331264E-2</v>
      </c>
      <c r="E15" s="41">
        <f>'Data Sheet'!D22/'Data Sheet'!D$17</f>
        <v>6.7449089893427933E-2</v>
      </c>
      <c r="F15" s="41">
        <f>'Data Sheet'!E22/'Data Sheet'!E$17</f>
        <v>6.2905646765879716E-2</v>
      </c>
      <c r="G15" s="41">
        <f>'Data Sheet'!F22/'Data Sheet'!F$17</f>
        <v>6.0222768372793556E-2</v>
      </c>
      <c r="H15" s="41">
        <f>'Data Sheet'!G22/'Data Sheet'!G$17</f>
        <v>5.8115509298754482E-2</v>
      </c>
      <c r="I15" s="41">
        <f>'Data Sheet'!H22/'Data Sheet'!H$17</f>
        <v>6.163306451612903E-2</v>
      </c>
      <c r="J15" s="41">
        <f>'Data Sheet'!I22/'Data Sheet'!I$17</f>
        <v>6.0196371104920959E-2</v>
      </c>
      <c r="K15" s="41">
        <f>'Data Sheet'!J22/'Data Sheet'!J$17</f>
        <v>5.6614482995803121E-2</v>
      </c>
      <c r="L15" s="41">
        <f>'Data Sheet'!K22/'Data Sheet'!K$17</f>
        <v>5.1574195441244503E-2</v>
      </c>
    </row>
    <row r="16" spans="2:14" x14ac:dyDescent="0.2">
      <c r="B16" s="4" t="str">
        <f>'Data Sheet'!A23</f>
        <v>Selling and admin</v>
      </c>
      <c r="C16" s="41">
        <f>'Data Sheet'!B23/'Data Sheet'!B$17</f>
        <v>0.2800037798384119</v>
      </c>
      <c r="D16" s="41">
        <f>'Data Sheet'!C23/'Data Sheet'!C$17</f>
        <v>0.29441367289783826</v>
      </c>
      <c r="E16" s="41">
        <f>'Data Sheet'!D23/'Data Sheet'!D$17</f>
        <v>0.2738662662052655</v>
      </c>
      <c r="F16" s="41">
        <f>'Data Sheet'!E23/'Data Sheet'!E$17</f>
        <v>0.2816157220483344</v>
      </c>
      <c r="G16" s="41">
        <f>'Data Sheet'!F23/'Data Sheet'!F$17</f>
        <v>0.30946587491795019</v>
      </c>
      <c r="H16" s="41">
        <f>'Data Sheet'!G23/'Data Sheet'!G$17</f>
        <v>0.29723084797816074</v>
      </c>
      <c r="I16" s="41">
        <f>'Data Sheet'!H23/'Data Sheet'!H$17</f>
        <v>0.27125924059139789</v>
      </c>
      <c r="J16" s="41">
        <f>'Data Sheet'!I23/'Data Sheet'!I$17</f>
        <v>0.29517707577708191</v>
      </c>
      <c r="K16" s="41">
        <f>'Data Sheet'!J23/'Data Sheet'!J$17</f>
        <v>0.28003030921551142</v>
      </c>
      <c r="L16" s="41">
        <f>'Data Sheet'!K23/'Data Sheet'!K$17</f>
        <v>0.27114789674708045</v>
      </c>
    </row>
    <row r="17" spans="2:12" x14ac:dyDescent="0.2">
      <c r="B17" s="4" t="str">
        <f>'Data Sheet'!A24</f>
        <v>Other Expenses</v>
      </c>
      <c r="C17" s="41">
        <f>'Data Sheet'!B24/'Data Sheet'!B$17</f>
        <v>-1.7707493004674051E-2</v>
      </c>
      <c r="D17" s="41">
        <f>'Data Sheet'!C24/'Data Sheet'!C$17</f>
        <v>-1.2084244630866586E-2</v>
      </c>
      <c r="E17" s="41">
        <f>'Data Sheet'!D24/'Data Sheet'!D$17</f>
        <v>2.007203952379916E-2</v>
      </c>
      <c r="F17" s="41">
        <f>'Data Sheet'!E24/'Data Sheet'!E$17</f>
        <v>2.6472196688502845E-2</v>
      </c>
      <c r="G17" s="41">
        <f>'Data Sheet'!F24/'Data Sheet'!F$17</f>
        <v>1.9127142835335603E-2</v>
      </c>
      <c r="H17" s="41">
        <f>'Data Sheet'!G24/'Data Sheet'!G$17</f>
        <v>3.1009213444804642E-2</v>
      </c>
      <c r="I17" s="41">
        <f>'Data Sheet'!H24/'Data Sheet'!H$17</f>
        <v>1.8272849462365591E-2</v>
      </c>
      <c r="J17" s="41">
        <f>'Data Sheet'!I24/'Data Sheet'!I$17</f>
        <v>1.8903027657557459E-2</v>
      </c>
      <c r="K17" s="41">
        <f>'Data Sheet'!J24/'Data Sheet'!J$17</f>
        <v>1.704473964551639E-2</v>
      </c>
      <c r="L17" s="41">
        <f>'Data Sheet'!K24/'Data Sheet'!K$17</f>
        <v>1.7265043661495862E-2</v>
      </c>
    </row>
    <row r="18" spans="2:12" x14ac:dyDescent="0.2">
      <c r="B18" s="4" t="str">
        <f>'Data Sheet'!A25</f>
        <v>Other Income</v>
      </c>
      <c r="C18" s="41">
        <f>'Data Sheet'!B25/'Data Sheet'!B$17</f>
        <v>1.8277968616841632E-2</v>
      </c>
      <c r="D18" s="41">
        <f>'Data Sheet'!C25/'Data Sheet'!C$17</f>
        <v>1.6357824005214565E-2</v>
      </c>
      <c r="E18" s="41">
        <f>'Data Sheet'!D25/'Data Sheet'!D$17</f>
        <v>0.12200288738474037</v>
      </c>
      <c r="F18" s="41">
        <f>'Data Sheet'!E25/'Data Sheet'!E$17</f>
        <v>4.2094178699835942E-2</v>
      </c>
      <c r="G18" s="41">
        <f>'Data Sheet'!F25/'Data Sheet'!F$17</f>
        <v>3.9592524182427861E-2</v>
      </c>
      <c r="H18" s="41">
        <f>'Data Sheet'!G25/'Data Sheet'!G$17</f>
        <v>5.4828527555024738E-3</v>
      </c>
      <c r="I18" s="41">
        <f>'Data Sheet'!H25/'Data Sheet'!H$17</f>
        <v>2.1851478494623655E-2</v>
      </c>
      <c r="J18" s="41">
        <f>'Data Sheet'!I25/'Data Sheet'!I$17</f>
        <v>3.3222378949345911E-2</v>
      </c>
      <c r="K18" s="41">
        <f>'Data Sheet'!J25/'Data Sheet'!J$17</f>
        <v>3.742097654950273E-2</v>
      </c>
      <c r="L18" s="41">
        <f>'Data Sheet'!K25/'Data Sheet'!K$17</f>
        <v>2.5627929103447127E-2</v>
      </c>
    </row>
    <row r="19" spans="2:12" x14ac:dyDescent="0.2">
      <c r="B19" s="4" t="str">
        <f>'Data Sheet'!A26</f>
        <v>Depreciation</v>
      </c>
      <c r="C19" s="41">
        <f>'Data Sheet'!B26/'Data Sheet'!B$17</f>
        <v>9.6230136161679081E-2</v>
      </c>
      <c r="D19" s="41">
        <f>'Data Sheet'!C26/'Data Sheet'!C$17</f>
        <v>0.14774283117044951</v>
      </c>
      <c r="E19" s="41">
        <f>'Data Sheet'!D26/'Data Sheet'!D$17</f>
        <v>0.15009503703542487</v>
      </c>
      <c r="F19" s="41">
        <f>'Data Sheet'!E26/'Data Sheet'!E$17</f>
        <v>0.14133902702954285</v>
      </c>
      <c r="G19" s="41">
        <f>'Data Sheet'!F26/'Data Sheet'!F$17</f>
        <v>9.1529408172922794E-2</v>
      </c>
      <c r="H19" s="41">
        <f>'Data Sheet'!G26/'Data Sheet'!G$17</f>
        <v>0.11872376727520902</v>
      </c>
      <c r="I19" s="41">
        <f>'Data Sheet'!H26/'Data Sheet'!H$17</f>
        <v>0.14276041666666667</v>
      </c>
      <c r="J19" s="41">
        <f>'Data Sheet'!I26/'Data Sheet'!I$17</f>
        <v>8.9976454095748087E-2</v>
      </c>
      <c r="K19" s="41">
        <f>'Data Sheet'!J26/'Data Sheet'!J$17</f>
        <v>7.2451327705810489E-2</v>
      </c>
      <c r="L19" s="41">
        <f>'Data Sheet'!K26/'Data Sheet'!K$17</f>
        <v>9.183078950603682E-2</v>
      </c>
    </row>
    <row r="20" spans="2:12" x14ac:dyDescent="0.2">
      <c r="B20" s="4" t="str">
        <f>'Data Sheet'!A27</f>
        <v>Interest</v>
      </c>
      <c r="C20" s="41">
        <f>'Data Sheet'!B27/'Data Sheet'!B$17</f>
        <v>2.2607283538628724E-2</v>
      </c>
      <c r="D20" s="41">
        <f>'Data Sheet'!C27/'Data Sheet'!C$17</f>
        <v>1.9271845978601748E-2</v>
      </c>
      <c r="E20" s="41">
        <f>'Data Sheet'!D27/'Data Sheet'!D$17</f>
        <v>1.3742282775081433E-2</v>
      </c>
      <c r="F20" s="41">
        <f>'Data Sheet'!E27/'Data Sheet'!E$17</f>
        <v>1.5058818053826374E-2</v>
      </c>
      <c r="G20" s="41">
        <f>'Data Sheet'!F27/'Data Sheet'!F$17</f>
        <v>1.3766047413332519E-2</v>
      </c>
      <c r="H20" s="41">
        <f>'Data Sheet'!G27/'Data Sheet'!G$17</f>
        <v>2.106978331342774E-2</v>
      </c>
      <c r="I20" s="41">
        <f>'Data Sheet'!H27/'Data Sheet'!H$17</f>
        <v>2.4069220430107525E-2</v>
      </c>
      <c r="J20" s="41">
        <f>'Data Sheet'!I27/'Data Sheet'!I$17</f>
        <v>1.9504501980050312E-2</v>
      </c>
      <c r="K20" s="41">
        <f>'Data Sheet'!J27/'Data Sheet'!J$17</f>
        <v>1.522311105643274E-2</v>
      </c>
      <c r="L20" s="41">
        <f>'Data Sheet'!K27/'Data Sheet'!K$17</f>
        <v>1.5972095603323296E-2</v>
      </c>
    </row>
    <row r="21" spans="2:12" x14ac:dyDescent="0.2">
      <c r="B21" s="4" t="str">
        <f>'Data Sheet'!A28</f>
        <v>Profit before tax</v>
      </c>
      <c r="C21" s="41">
        <f>'Data Sheet'!B28/'Data Sheet'!B$17</f>
        <v>0.14264515191975544</v>
      </c>
      <c r="D21" s="41">
        <f>'Data Sheet'!C28/'Data Sheet'!C$17</f>
        <v>6.4036591425043005E-2</v>
      </c>
      <c r="E21" s="41">
        <f>'Data Sheet'!D28/'Data Sheet'!D$17</f>
        <v>0.21333456663837319</v>
      </c>
      <c r="F21" s="41">
        <f>'Data Sheet'!E28/'Data Sheet'!E$17</f>
        <v>0.17811921855183088</v>
      </c>
      <c r="G21" s="41">
        <f>'Data Sheet'!F28/'Data Sheet'!F$17</f>
        <v>0.18594493377500293</v>
      </c>
      <c r="H21" s="41">
        <f>'Data Sheet'!G28/'Data Sheet'!G$17</f>
        <v>9.2256440880395849E-2</v>
      </c>
      <c r="I21" s="41">
        <f>'Data Sheet'!H28/'Data Sheet'!H$17</f>
        <v>0.16466817876344086</v>
      </c>
      <c r="J21" s="41">
        <f>'Data Sheet'!I28/'Data Sheet'!I$17</f>
        <v>0.23883108753977267</v>
      </c>
      <c r="K21" s="41">
        <f>'Data Sheet'!J28/'Data Sheet'!J$17</f>
        <v>0.20487519817026287</v>
      </c>
      <c r="L21" s="41">
        <f>'Data Sheet'!K28/'Data Sheet'!K$17</f>
        <v>9.2569616967849724E-2</v>
      </c>
    </row>
    <row r="22" spans="2:12" x14ac:dyDescent="0.2">
      <c r="B22" s="4" t="str">
        <f>'Data Sheet'!A29</f>
        <v>Tax</v>
      </c>
      <c r="C22" s="41">
        <f>'Data Sheet'!B29/'Data Sheet'!B$17</f>
        <v>4.8840412072383909E-3</v>
      </c>
      <c r="D22" s="41">
        <f>'Data Sheet'!C29/'Data Sheet'!C$17</f>
        <v>-4.0738794035840549E-3</v>
      </c>
      <c r="E22" s="41">
        <f>'Data Sheet'!D29/'Data Sheet'!D$17</f>
        <v>6.0069210176942993E-3</v>
      </c>
      <c r="F22" s="41">
        <f>'Data Sheet'!E29/'Data Sheet'!E$17</f>
        <v>2.2305481540090526E-2</v>
      </c>
      <c r="G22" s="41">
        <f>'Data Sheet'!F29/'Data Sheet'!F$17</f>
        <v>4.5080828588438232E-2</v>
      </c>
      <c r="H22" s="41">
        <f>'Data Sheet'!G29/'Data Sheet'!G$17</f>
        <v>1.1122675311380311E-2</v>
      </c>
      <c r="I22" s="41">
        <f>'Data Sheet'!H29/'Data Sheet'!H$17</f>
        <v>3.2764616935483867E-2</v>
      </c>
      <c r="J22" s="41">
        <f>'Data Sheet'!I29/'Data Sheet'!I$17</f>
        <v>5.6342041555403122E-2</v>
      </c>
      <c r="K22" s="41">
        <f>'Data Sheet'!J29/'Data Sheet'!J$17</f>
        <v>3.8746305714852915E-2</v>
      </c>
      <c r="L22" s="41">
        <f>'Data Sheet'!K29/'Data Sheet'!K$17</f>
        <v>1.3690282815312732E-2</v>
      </c>
    </row>
    <row r="23" spans="2:12" x14ac:dyDescent="0.2">
      <c r="B23" s="4" t="str">
        <f>'Data Sheet'!A30</f>
        <v>Net profit</v>
      </c>
      <c r="C23" s="41">
        <f>'Data Sheet'!B30/'Data Sheet'!B$17</f>
        <v>0.13776111071251704</v>
      </c>
      <c r="D23" s="41">
        <f>'Data Sheet'!C30/'Data Sheet'!C$17</f>
        <v>6.8110470828627062E-2</v>
      </c>
      <c r="E23" s="41">
        <f>'Data Sheet'!D30/'Data Sheet'!D$17</f>
        <v>0.2073276456206789</v>
      </c>
      <c r="F23" s="41">
        <f>'Data Sheet'!E30/'Data Sheet'!E$17</f>
        <v>0.15581373701174034</v>
      </c>
      <c r="G23" s="41">
        <f>'Data Sheet'!F30/'Data Sheet'!F$17</f>
        <v>0.1408641051865647</v>
      </c>
      <c r="H23" s="41">
        <f>'Data Sheet'!G30/'Data Sheet'!G$17</f>
        <v>8.1133765569015526E-2</v>
      </c>
      <c r="I23" s="41">
        <f>'Data Sheet'!H30/'Data Sheet'!H$17</f>
        <v>0.13190356182795698</v>
      </c>
      <c r="J23" s="41">
        <f>'Data Sheet'!I30/'Data Sheet'!I$17</f>
        <v>0.18248904598436955</v>
      </c>
      <c r="K23" s="41">
        <f>'Data Sheet'!J30/'Data Sheet'!J$17</f>
        <v>0.16612889245540993</v>
      </c>
      <c r="L23" s="41">
        <f>'Data Sheet'!K30/'Data Sheet'!K$17</f>
        <v>7.8879334152536992E-2</v>
      </c>
    </row>
    <row r="24" spans="2:12" x14ac:dyDescent="0.2">
      <c r="B24" s="4" t="str">
        <f>'Data Sheet'!A31</f>
        <v>Dividend Amount</v>
      </c>
      <c r="C24" s="41">
        <f>'Data Sheet'!B31/'Data Sheet'!B$17</f>
        <v>1.3413176586700919E-2</v>
      </c>
      <c r="D24" s="41">
        <f>'Data Sheet'!C31/'Data Sheet'!C$17</f>
        <v>1.3359129244223479E-2</v>
      </c>
      <c r="E24" s="41">
        <f>'Data Sheet'!D31/'Data Sheet'!D$17</f>
        <v>1.5166024622572384E-2</v>
      </c>
      <c r="F24" s="41">
        <f>'Data Sheet'!E31/'Data Sheet'!E$17</f>
        <v>5.6753895023445779E-2</v>
      </c>
      <c r="G24" s="41">
        <f>'Data Sheet'!F31/'Data Sheet'!F$17</f>
        <v>1.7727844011255448E-2</v>
      </c>
      <c r="H24" s="41">
        <f>'Data Sheet'!G31/'Data Sheet'!G$17</f>
        <v>1.7833134277427061E-2</v>
      </c>
      <c r="I24" s="41">
        <f>'Data Sheet'!H31/'Data Sheet'!H$17</f>
        <v>3.3340053763440861E-2</v>
      </c>
      <c r="J24" s="41">
        <f>'Data Sheet'!I31/'Data Sheet'!I$17</f>
        <v>1.7087553980741767E-2</v>
      </c>
      <c r="K24" s="41">
        <f>'Data Sheet'!J31/'Data Sheet'!J$17</f>
        <v>2.2698358996440626E-2</v>
      </c>
      <c r="L24" s="41">
        <f>'Data Sheet'!K31/'Data Sheet'!K$17</f>
        <v>2.1428372043576564E-2</v>
      </c>
    </row>
    <row r="25" spans="2:12" x14ac:dyDescent="0.2">
      <c r="B25" s="89" t="s">
        <v>66</v>
      </c>
      <c r="C25" s="41">
        <f>'Historical data'!C23/'Data Sheet'!B$17</f>
        <v>0.24320460300322153</v>
      </c>
      <c r="D25" s="41">
        <f>'Historical data'!D23/'Data Sheet'!C$17</f>
        <v>0.21469344456887979</v>
      </c>
      <c r="E25" s="41">
        <f>'Historical data'!E23/'Data Sheet'!D$17</f>
        <v>0.25516899906413915</v>
      </c>
      <c r="F25" s="41">
        <f>'Historical data'!F23/'Data Sheet'!E$17</f>
        <v>0.29242288493536406</v>
      </c>
      <c r="G25" s="41">
        <f>'Historical data'!G23/'Data Sheet'!F$17</f>
        <v>0.25164786517883042</v>
      </c>
      <c r="H25" s="41">
        <f>'Historical data'!H23/'Data Sheet'!G$17</f>
        <v>0.2265671387135301</v>
      </c>
      <c r="I25" s="41">
        <f>'Historical data'!I23/'Data Sheet'!H$17</f>
        <v>0.30964633736559138</v>
      </c>
      <c r="J25" s="41">
        <f>'Historical data'!J23/'Data Sheet'!I$17</f>
        <v>0.31508966466622512</v>
      </c>
      <c r="K25" s="41">
        <f>'Historical data'!K23/'Data Sheet'!J$17</f>
        <v>0.25512866038300325</v>
      </c>
      <c r="L25" s="41">
        <f>'Historical data'!L23/'Data Sheet'!K$17</f>
        <v>0.17474457297376292</v>
      </c>
    </row>
    <row r="27" spans="2:12" x14ac:dyDescent="0.2">
      <c r="B27" s="281" t="str">
        <f>"Common Size Balance sheet"&amp;" - "&amp;'Data Sheet'!$B$1</f>
        <v>Common Size Balance sheet - SHREE CEMENT LTD</v>
      </c>
      <c r="C27" s="281"/>
      <c r="D27" s="281"/>
      <c r="E27" s="281"/>
      <c r="F27" s="281"/>
      <c r="G27" s="281"/>
      <c r="H27" s="281"/>
      <c r="I27" s="281"/>
      <c r="J27" s="281"/>
      <c r="K27" s="281"/>
      <c r="L27" s="281"/>
    </row>
    <row r="29" spans="2:12" s="1" customFormat="1" x14ac:dyDescent="0.2">
      <c r="B29" s="51" t="s">
        <v>190</v>
      </c>
      <c r="C29" s="88">
        <f>'Data Sheet'!B56</f>
        <v>41820</v>
      </c>
      <c r="D29" s="88">
        <f>'Data Sheet'!C56</f>
        <v>42185</v>
      </c>
      <c r="E29" s="88">
        <f>'Data Sheet'!D56</f>
        <v>42460</v>
      </c>
      <c r="F29" s="88">
        <f>'Data Sheet'!E56</f>
        <v>42825</v>
      </c>
      <c r="G29" s="88">
        <f>'Data Sheet'!F56</f>
        <v>43190</v>
      </c>
      <c r="H29" s="88">
        <f>'Data Sheet'!G56</f>
        <v>43555</v>
      </c>
      <c r="I29" s="88">
        <f>'Data Sheet'!H56</f>
        <v>43921</v>
      </c>
      <c r="J29" s="88">
        <f>'Data Sheet'!I56</f>
        <v>44286</v>
      </c>
      <c r="K29" s="88">
        <f>'Data Sheet'!J56</f>
        <v>44651</v>
      </c>
      <c r="L29" s="88">
        <f>'Data Sheet'!K56</f>
        <v>45016</v>
      </c>
    </row>
    <row r="30" spans="2:12" s="1" customFormat="1" x14ac:dyDescent="0.2">
      <c r="B30" s="46"/>
      <c r="C30" s="91"/>
      <c r="D30" s="91"/>
      <c r="E30" s="91"/>
      <c r="F30" s="91"/>
      <c r="G30" s="91"/>
      <c r="H30" s="91"/>
      <c r="I30" s="91"/>
      <c r="J30" s="91"/>
      <c r="K30" s="91"/>
      <c r="L30" s="91"/>
    </row>
    <row r="31" spans="2:12" x14ac:dyDescent="0.2">
      <c r="B31" s="35" t="s">
        <v>83</v>
      </c>
      <c r="C31" s="39">
        <f>'Data Sheet'!B61/'Data Sheet'!B$61</f>
        <v>1</v>
      </c>
      <c r="D31" s="39">
        <f>'Data Sheet'!C61/'Data Sheet'!C$61</f>
        <v>1</v>
      </c>
      <c r="E31" s="39">
        <f>'Data Sheet'!D61/'Data Sheet'!D$61</f>
        <v>1</v>
      </c>
      <c r="F31" s="39">
        <f>'Data Sheet'!E61/'Data Sheet'!E$61</f>
        <v>1</v>
      </c>
      <c r="G31" s="39">
        <f>'Data Sheet'!F61/'Data Sheet'!F$61</f>
        <v>1</v>
      </c>
      <c r="H31" s="39">
        <f>'Data Sheet'!G61/'Data Sheet'!G$61</f>
        <v>1</v>
      </c>
      <c r="I31" s="39">
        <f>'Data Sheet'!H61/'Data Sheet'!H$61</f>
        <v>1</v>
      </c>
      <c r="J31" s="39">
        <f>'Data Sheet'!I61/'Data Sheet'!I$61</f>
        <v>1</v>
      </c>
      <c r="K31" s="39">
        <f>'Data Sheet'!J61/'Data Sheet'!J$61</f>
        <v>1</v>
      </c>
      <c r="L31" s="39">
        <f>'Data Sheet'!K61/'Data Sheet'!K$61</f>
        <v>1</v>
      </c>
    </row>
    <row r="32" spans="2:12" x14ac:dyDescent="0.2">
      <c r="B32" s="90" t="str">
        <f>'Data Sheet'!A57</f>
        <v>Equity Share Capital</v>
      </c>
      <c r="C32" s="39">
        <f>'Data Sheet'!B57/'Data Sheet'!B$61</f>
        <v>4.7539062126895461E-3</v>
      </c>
      <c r="D32" s="39">
        <f>'Data Sheet'!C57/'Data Sheet'!C$61</f>
        <v>4.356170720881237E-3</v>
      </c>
      <c r="E32" s="39">
        <f>'Data Sheet'!D57/'Data Sheet'!D$61</f>
        <v>3.681598769137128E-3</v>
      </c>
      <c r="F32" s="39">
        <f>'Data Sheet'!E57/'Data Sheet'!E$61</f>
        <v>3.120155542082247E-3</v>
      </c>
      <c r="G32" s="39">
        <f>'Data Sheet'!F57/'Data Sheet'!F$61</f>
        <v>2.3009107881940298E-3</v>
      </c>
      <c r="H32" s="39">
        <f>'Data Sheet'!G57/'Data Sheet'!G$61</f>
        <v>2.2931235910684023E-3</v>
      </c>
      <c r="I32" s="39">
        <f>'Data Sheet'!H57/'Data Sheet'!H$61</f>
        <v>1.8657690841855903E-3</v>
      </c>
      <c r="J32" s="39">
        <f>'Data Sheet'!I57/'Data Sheet'!I$61</f>
        <v>1.714929152227055E-3</v>
      </c>
      <c r="K32" s="39">
        <f>'Data Sheet'!J57/'Data Sheet'!J$61</f>
        <v>1.540864293331363E-3</v>
      </c>
      <c r="L32" s="39">
        <f>'Data Sheet'!K57/'Data Sheet'!K$61</f>
        <v>1.3974378240870563E-3</v>
      </c>
    </row>
    <row r="33" spans="2:14" x14ac:dyDescent="0.2">
      <c r="B33" s="90" t="str">
        <f>'Data Sheet'!A58</f>
        <v>Reserves</v>
      </c>
      <c r="C33" s="39">
        <f>'Data Sheet'!B58/'Data Sheet'!B$61</f>
        <v>0.63804271147309688</v>
      </c>
      <c r="D33" s="39">
        <f>'Data Sheet'!C58/'Data Sheet'!C$61</f>
        <v>0.65537113099145394</v>
      </c>
      <c r="E33" s="39">
        <f>'Data Sheet'!D58/'Data Sheet'!D$61</f>
        <v>0.71969655341488359</v>
      </c>
      <c r="F33" s="39">
        <f>'Data Sheet'!E58/'Data Sheet'!E$61</f>
        <v>0.68629988420318266</v>
      </c>
      <c r="G33" s="39">
        <f>'Data Sheet'!F58/'Data Sheet'!F$61</f>
        <v>0.58526545338311153</v>
      </c>
      <c r="H33" s="39">
        <f>'Data Sheet'!G58/'Data Sheet'!G$61</f>
        <v>0.62939463248482053</v>
      </c>
      <c r="I33" s="39">
        <f>'Data Sheet'!H58/'Data Sheet'!H$61</f>
        <v>0.66710242648233753</v>
      </c>
      <c r="J33" s="39">
        <f>'Data Sheet'!I58/'Data Sheet'!I$61</f>
        <v>0.72314065888832857</v>
      </c>
      <c r="K33" s="39">
        <f>'Data Sheet'!J58/'Data Sheet'!J$61</f>
        <v>0.73604413841642036</v>
      </c>
      <c r="L33" s="39">
        <f>'Data Sheet'!K58/'Data Sheet'!K$61</f>
        <v>0.70694396460237319</v>
      </c>
    </row>
    <row r="34" spans="2:14" x14ac:dyDescent="0.2">
      <c r="B34" s="90" t="str">
        <f>'Data Sheet'!A59</f>
        <v>Borrowings</v>
      </c>
      <c r="C34" s="39">
        <f>'Data Sheet'!B59/'Data Sheet'!B$61</f>
        <v>0.16372185555165913</v>
      </c>
      <c r="D34" s="39">
        <f>'Data Sheet'!C59/'Data Sheet'!C$61</f>
        <v>0.11461080165294422</v>
      </c>
      <c r="E34" s="39">
        <f>'Data Sheet'!D59/'Data Sheet'!D$61</f>
        <v>9.30449062058821E-2</v>
      </c>
      <c r="F34" s="39">
        <f>'Data Sheet'!E59/'Data Sheet'!E$61</f>
        <v>0.11575472568334003</v>
      </c>
      <c r="G34" s="39">
        <f>'Data Sheet'!F59/'Data Sheet'!F$61</f>
        <v>0.22474033851918823</v>
      </c>
      <c r="H34" s="39">
        <f>'Data Sheet'!G59/'Data Sheet'!G$61</f>
        <v>0.18415743833610318</v>
      </c>
      <c r="I34" s="39">
        <f>'Data Sheet'!H59/'Data Sheet'!H$61</f>
        <v>0.16259236410214778</v>
      </c>
      <c r="J34" s="39">
        <f>'Data Sheet'!I59/'Data Sheet'!I$61</f>
        <v>0.10247652310472523</v>
      </c>
      <c r="K34" s="39">
        <f>'Data Sheet'!J59/'Data Sheet'!J$61</f>
        <v>9.4342491254698291E-2</v>
      </c>
      <c r="L34" s="39">
        <f>'Data Sheet'!K59/'Data Sheet'!K$61</f>
        <v>0.10887969485659221</v>
      </c>
    </row>
    <row r="35" spans="2:14" x14ac:dyDescent="0.2">
      <c r="B35" s="90" t="str">
        <f>'Data Sheet'!A60</f>
        <v>Other Liabilities</v>
      </c>
      <c r="C35" s="39">
        <f>'Data Sheet'!B60/'Data Sheet'!B$61</f>
        <v>0.1934815267625544</v>
      </c>
      <c r="D35" s="39">
        <f>'Data Sheet'!C60/'Data Sheet'!C$61</f>
        <v>0.22566189663472055</v>
      </c>
      <c r="E35" s="39">
        <f>'Data Sheet'!D60/'Data Sheet'!D$61</f>
        <v>0.18357694161009713</v>
      </c>
      <c r="F35" s="39">
        <f>'Data Sheet'!E60/'Data Sheet'!E$61</f>
        <v>0.19482523457139506</v>
      </c>
      <c r="G35" s="39">
        <f>'Data Sheet'!F60/'Data Sheet'!F$61</f>
        <v>0.18769329730950618</v>
      </c>
      <c r="H35" s="39">
        <f>'Data Sheet'!G60/'Data Sheet'!G$61</f>
        <v>0.18415480558800781</v>
      </c>
      <c r="I35" s="39">
        <f>'Data Sheet'!H60/'Data Sheet'!H$61</f>
        <v>0.16843944033132918</v>
      </c>
      <c r="J35" s="39">
        <f>'Data Sheet'!I60/'Data Sheet'!I$61</f>
        <v>0.17266788885471915</v>
      </c>
      <c r="K35" s="39">
        <f>'Data Sheet'!J60/'Data Sheet'!J$61</f>
        <v>0.16807250603555005</v>
      </c>
      <c r="L35" s="39">
        <f>'Data Sheet'!K60/'Data Sheet'!K$61</f>
        <v>0.18277890271694755</v>
      </c>
    </row>
    <row r="36" spans="2:14" s="1" customFormat="1" x14ac:dyDescent="0.2">
      <c r="B36" s="90"/>
    </row>
    <row r="37" spans="2:14" x14ac:dyDescent="0.2">
      <c r="B37" s="93" t="s">
        <v>84</v>
      </c>
      <c r="C37" s="38">
        <f>'Historical data'!C69/'Historical data'!C$69</f>
        <v>1</v>
      </c>
      <c r="D37" s="38">
        <f>'Historical data'!D69/'Historical data'!D$69</f>
        <v>1</v>
      </c>
      <c r="E37" s="38">
        <f>'Historical data'!E69/'Historical data'!E$69</f>
        <v>1</v>
      </c>
      <c r="F37" s="38">
        <f>'Historical data'!F69/'Historical data'!F$69</f>
        <v>1</v>
      </c>
      <c r="G37" s="38">
        <f>'Historical data'!G69/'Historical data'!G$69</f>
        <v>1</v>
      </c>
      <c r="H37" s="38">
        <f>'Historical data'!H69/'Historical data'!H$69</f>
        <v>1</v>
      </c>
      <c r="I37" s="38">
        <f>'Historical data'!I69/'Historical data'!I$69</f>
        <v>1</v>
      </c>
      <c r="J37" s="38">
        <f>'Historical data'!J69/'Historical data'!J$69</f>
        <v>1</v>
      </c>
      <c r="K37" s="38">
        <f>'Historical data'!K69/'Historical data'!K$69</f>
        <v>1</v>
      </c>
      <c r="L37" s="38">
        <f>'Historical data'!L69/'Historical data'!L$69</f>
        <v>1</v>
      </c>
    </row>
    <row r="38" spans="2:14" x14ac:dyDescent="0.2">
      <c r="B38" s="90" t="str">
        <f>'Data Sheet'!A62</f>
        <v>Net Block</v>
      </c>
      <c r="C38" s="38">
        <f>'Data Sheet'!B62/'Historical data'!C$69</f>
        <v>0.29933917428851736</v>
      </c>
      <c r="D38" s="38">
        <f>'Data Sheet'!C62/'Historical data'!D$69</f>
        <v>0.37564220384228258</v>
      </c>
      <c r="E38" s="38">
        <f>'Data Sheet'!D62/'Historical data'!E$69</f>
        <v>0.32231636388229029</v>
      </c>
      <c r="F38" s="38">
        <f>'Data Sheet'!E62/'Historical data'!F$69</f>
        <v>0.23276861861471898</v>
      </c>
      <c r="G38" s="38">
        <f>'Data Sheet'!F62/'Historical data'!G$69</f>
        <v>0.23703739904621832</v>
      </c>
      <c r="H38" s="38">
        <f>'Data Sheet'!G62/'Historical data'!H$69</f>
        <v>0.29458279170026164</v>
      </c>
      <c r="I38" s="38">
        <f>'Data Sheet'!H62/'Historical data'!I$69</f>
        <v>0.22334000590551081</v>
      </c>
      <c r="J38" s="38">
        <f>'Data Sheet'!I62/'Historical data'!J$69</f>
        <v>0.19922980288296324</v>
      </c>
      <c r="K38" s="38">
        <f>'Data Sheet'!J62/'Historical data'!K$69</f>
        <v>0.22726424413303534</v>
      </c>
      <c r="L38" s="38">
        <f>'Data Sheet'!K62/'Historical data'!L$69</f>
        <v>0.20654386668876948</v>
      </c>
      <c r="N38" s="94"/>
    </row>
    <row r="39" spans="2:14" x14ac:dyDescent="0.2">
      <c r="B39" s="90" t="str">
        <f>'Data Sheet'!A63</f>
        <v>Capital Work in Progress</v>
      </c>
      <c r="C39" s="38">
        <f>'Data Sheet'!B63/'Historical data'!C$69</f>
        <v>0.10349706837901897</v>
      </c>
      <c r="D39" s="38">
        <f>'Data Sheet'!C63/'Historical data'!D$69</f>
        <v>6.3904674381239965E-2</v>
      </c>
      <c r="E39" s="38">
        <f>'Data Sheet'!D63/'Historical data'!E$69</f>
        <v>2.7950139909206955E-2</v>
      </c>
      <c r="F39" s="38">
        <f>'Data Sheet'!E63/'Historical data'!F$69</f>
        <v>6.3624664274308601E-2</v>
      </c>
      <c r="G39" s="38">
        <f>'Data Sheet'!F63/'Historical data'!G$69</f>
        <v>9.4252147857953772E-2</v>
      </c>
      <c r="H39" s="38">
        <f>'Data Sheet'!G63/'Historical data'!H$69</f>
        <v>7.3790005430042938E-2</v>
      </c>
      <c r="I39" s="38">
        <f>'Data Sheet'!H63/'Historical data'!I$69</f>
        <v>4.9752635631535432E-2</v>
      </c>
      <c r="J39" s="38">
        <f>'Data Sheet'!I63/'Historical data'!J$69</f>
        <v>4.615098696359151E-2</v>
      </c>
      <c r="K39" s="38">
        <f>'Data Sheet'!J63/'Historical data'!K$69</f>
        <v>4.1549952317766529E-2</v>
      </c>
      <c r="L39" s="38">
        <f>'Data Sheet'!K63/'Historical data'!L$69</f>
        <v>8.9867103972782483E-2</v>
      </c>
    </row>
    <row r="40" spans="2:14" x14ac:dyDescent="0.2">
      <c r="B40" s="90" t="str">
        <f>'Data Sheet'!A64</f>
        <v>Investments</v>
      </c>
      <c r="C40" s="38">
        <f>'Data Sheet'!B64/'Historical data'!C$69</f>
        <v>0.30624625616240786</v>
      </c>
      <c r="D40" s="38">
        <f>'Data Sheet'!C64/'Historical data'!D$69</f>
        <v>0.20788211831929829</v>
      </c>
      <c r="E40" s="38">
        <f>'Data Sheet'!D64/'Historical data'!E$69</f>
        <v>0.32023463323498824</v>
      </c>
      <c r="F40" s="38">
        <f>'Data Sheet'!E64/'Historical data'!F$69</f>
        <v>0.36204192865733903</v>
      </c>
      <c r="G40" s="38">
        <f>'Data Sheet'!F64/'Historical data'!G$69</f>
        <v>0.35889519298526001</v>
      </c>
      <c r="H40" s="38">
        <f>'Data Sheet'!G64/'Historical data'!H$69</f>
        <v>0.29249041515146529</v>
      </c>
      <c r="I40" s="38">
        <f>'Data Sheet'!H64/'Historical data'!I$69</f>
        <v>0.46103474684647278</v>
      </c>
      <c r="J40" s="38">
        <f>'Data Sheet'!I64/'Historical data'!J$69</f>
        <v>0.52524981260786641</v>
      </c>
      <c r="K40" s="38">
        <f>'Data Sheet'!J64/'Historical data'!K$69</f>
        <v>0.49309152127464673</v>
      </c>
      <c r="L40" s="38">
        <f>'Data Sheet'!K64/'Historical data'!L$69</f>
        <v>0.45124421542851917</v>
      </c>
    </row>
    <row r="41" spans="2:14" x14ac:dyDescent="0.2">
      <c r="B41" s="90" t="str">
        <f>'Data Sheet'!A65</f>
        <v>Other Assets</v>
      </c>
      <c r="C41" s="38">
        <f>'Historical data'!C61/'Historical data'!C$69</f>
        <v>0.11822135137015934</v>
      </c>
      <c r="D41" s="38">
        <f>'Historical data'!D61/'Historical data'!D$69</f>
        <v>0.1396700363222616</v>
      </c>
      <c r="E41" s="38">
        <f>'Historical data'!E61/'Historical data'!E$69</f>
        <v>0.19985565258557286</v>
      </c>
      <c r="F41" s="38">
        <f>'Historical data'!F61/'Historical data'!F$69</f>
        <v>0.18388946553455052</v>
      </c>
      <c r="G41" s="38">
        <f>'Historical data'!G61/'Historical data'!G$69</f>
        <v>0.16787931181369756</v>
      </c>
      <c r="H41" s="38">
        <f>'Historical data'!H61/'Historical data'!H$69</f>
        <v>0.1660842808484031</v>
      </c>
      <c r="I41" s="38">
        <f>'Historical data'!I61/'Historical data'!I$69</f>
        <v>0.14360164795812569</v>
      </c>
      <c r="J41" s="38">
        <f>'Historical data'!J61/'Historical data'!J$69</f>
        <v>0.12639997490347579</v>
      </c>
      <c r="K41" s="38">
        <f>'Historical data'!K61/'Historical data'!K$69</f>
        <v>0.11529875812658574</v>
      </c>
      <c r="L41" s="38">
        <f>'Historical data'!L61/'Historical data'!L$69</f>
        <v>0.11880003160502395</v>
      </c>
    </row>
    <row r="42" spans="2:14" x14ac:dyDescent="0.2">
      <c r="B42" s="90" t="str">
        <f>'Data Sheet'!A67</f>
        <v>Receivables</v>
      </c>
      <c r="C42" s="38">
        <f>'Data Sheet'!B67/'Historical data'!C$69</f>
        <v>4.046960515561402E-2</v>
      </c>
      <c r="D42" s="38">
        <f>'Data Sheet'!C67/'Historical data'!D$69</f>
        <v>5.9564758028720216E-2</v>
      </c>
      <c r="E42" s="38">
        <f>'Data Sheet'!D67/'Historical data'!E$69</f>
        <v>3.472580331555232E-2</v>
      </c>
      <c r="F42" s="38">
        <f>'Data Sheet'!E67/'Historical data'!F$69</f>
        <v>3.0012242401337617E-2</v>
      </c>
      <c r="G42" s="38">
        <f>'Data Sheet'!F67/'Historical data'!G$69</f>
        <v>3.0329887470669E-2</v>
      </c>
      <c r="H42" s="38">
        <f>'Data Sheet'!G67/'Historical data'!H$69</f>
        <v>4.8205617626248497E-2</v>
      </c>
      <c r="I42" s="38">
        <f>'Data Sheet'!H67/'Historical data'!I$69</f>
        <v>4.2840809251484271E-2</v>
      </c>
      <c r="J42" s="38">
        <f>'Data Sheet'!I67/'Historical data'!J$69</f>
        <v>2.2787453829287554E-2</v>
      </c>
      <c r="K42" s="38">
        <f>'Data Sheet'!J67/'Historical data'!K$69</f>
        <v>2.5438354110943081E-2</v>
      </c>
      <c r="L42" s="38">
        <f>'Data Sheet'!K67/'Historical data'!L$69</f>
        <v>3.5092808772563114E-2</v>
      </c>
    </row>
    <row r="43" spans="2:14" x14ac:dyDescent="0.2">
      <c r="B43" s="90" t="str">
        <f>'Data Sheet'!A68</f>
        <v>Inventory</v>
      </c>
      <c r="C43" s="38">
        <f>'Data Sheet'!B68/'Historical data'!C$69</f>
        <v>0.11049420702961368</v>
      </c>
      <c r="D43" s="38">
        <f>'Data Sheet'!C68/'Historical data'!D$69</f>
        <v>0.11488837625111749</v>
      </c>
      <c r="E43" s="38">
        <f>'Data Sheet'!D68/'Historical data'!E$69</f>
        <v>8.6142436871782302E-2</v>
      </c>
      <c r="F43" s="38">
        <f>'Data Sheet'!E68/'Historical data'!F$69</f>
        <v>0.11772228645427996</v>
      </c>
      <c r="G43" s="38">
        <f>'Data Sheet'!F68/'Historical data'!G$69</f>
        <v>0.10362155697164742</v>
      </c>
      <c r="H43" s="38">
        <f>'Data Sheet'!G68/'Historical data'!H$69</f>
        <v>0.10458920902374409</v>
      </c>
      <c r="I43" s="38">
        <f>'Data Sheet'!H68/'Historical data'!I$69</f>
        <v>7.3836984114589665E-2</v>
      </c>
      <c r="J43" s="38">
        <f>'Data Sheet'!I68/'Historical data'!J$69</f>
        <v>7.0211804207185133E-2</v>
      </c>
      <c r="K43" s="38">
        <f>'Data Sheet'!J68/'Historical data'!K$69</f>
        <v>9.2306654201951457E-2</v>
      </c>
      <c r="L43" s="38">
        <f>'Data Sheet'!K68/'Historical data'!L$69</f>
        <v>9.3831675360630362E-2</v>
      </c>
    </row>
    <row r="44" spans="2:14" x14ac:dyDescent="0.2">
      <c r="B44" s="90" t="str">
        <f>'Data Sheet'!A69</f>
        <v>Cash &amp; Bank</v>
      </c>
      <c r="C44" s="38">
        <f>'Data Sheet'!B69/'Historical data'!C$69</f>
        <v>2.173233761466889E-2</v>
      </c>
      <c r="D44" s="38">
        <f>'Data Sheet'!C69/'Historical data'!D$69</f>
        <v>3.84478328550798E-2</v>
      </c>
      <c r="E44" s="38">
        <f>'Data Sheet'!D69/'Historical data'!E$69</f>
        <v>8.7749702006069772E-3</v>
      </c>
      <c r="F44" s="38">
        <f>'Data Sheet'!E69/'Historical data'!F$69</f>
        <v>9.9407940634652532E-3</v>
      </c>
      <c r="G44" s="38">
        <f>'Data Sheet'!F69/'Historical data'!G$69</f>
        <v>7.984503854553909E-3</v>
      </c>
      <c r="H44" s="38">
        <f>'Data Sheet'!G69/'Historical data'!H$69</f>
        <v>2.0257680219834463E-2</v>
      </c>
      <c r="I44" s="38">
        <f>'Data Sheet'!H69/'Historical data'!I$69</f>
        <v>5.593170292281415E-3</v>
      </c>
      <c r="J44" s="38">
        <f>'Data Sheet'!I69/'Historical data'!J$69</f>
        <v>9.9701646056304626E-3</v>
      </c>
      <c r="K44" s="38">
        <f>'Data Sheet'!J69/'Historical data'!K$69</f>
        <v>5.0505158350711479E-3</v>
      </c>
      <c r="L44" s="38">
        <f>'Data Sheet'!K69/'Historical data'!L$69</f>
        <v>4.6202981717113345E-3</v>
      </c>
    </row>
    <row r="45" spans="2:14" x14ac:dyDescent="0.2">
      <c r="B45" s="90"/>
    </row>
  </sheetData>
  <mergeCells count="2">
    <mergeCell ref="B6:L6"/>
    <mergeCell ref="B27:L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B5EB-2620-460D-87D0-53DC117DD59C}">
  <sheetPr>
    <tabColor theme="1"/>
  </sheetPr>
  <dimension ref="A1:O21"/>
  <sheetViews>
    <sheetView showGridLines="0" topLeftCell="A16" zoomScaleNormal="100" workbookViewId="0">
      <selection activeCell="Q25" sqref="Q25"/>
    </sheetView>
  </sheetViews>
  <sheetFormatPr defaultRowHeight="15" x14ac:dyDescent="0.2"/>
  <cols>
    <col min="1" max="1" width="1.8828125" customWidth="1"/>
    <col min="2" max="2" width="11.97265625" bestFit="1" customWidth="1"/>
    <col min="5" max="5" width="12.64453125" bestFit="1" customWidth="1"/>
    <col min="6" max="6" width="2.6875" customWidth="1"/>
    <col min="7" max="7" width="11.97265625" bestFit="1" customWidth="1"/>
    <col min="10" max="10" width="14.52734375" bestFit="1" customWidth="1"/>
    <col min="11" max="11" width="2.6875" customWidth="1"/>
    <col min="12" max="12" width="11.97265625" bestFit="1" customWidth="1"/>
    <col min="14" max="14" width="8.203125" bestFit="1" customWidth="1"/>
    <col min="15" max="15" width="12.64453125" bestFit="1" customWidth="1"/>
    <col min="16" max="16" width="2.6875" customWidth="1"/>
  </cols>
  <sheetData>
    <row r="1" spans="1:15" s="1" customFormat="1" x14ac:dyDescent="0.2"/>
    <row r="2" spans="1:15" s="1" customFormat="1" x14ac:dyDescent="0.2"/>
    <row r="3" spans="1:15" s="1" customFormat="1" x14ac:dyDescent="0.2"/>
    <row r="5" spans="1:15" x14ac:dyDescent="0.2">
      <c r="B5" s="282" t="str">
        <f>'Data Sheet'!$B$1&amp;" - "&amp;'Data Sheet'!A17 &amp; "Forecasting"</f>
        <v>SHREE CEMENT LTD - SalesForecasting</v>
      </c>
      <c r="C5" s="282"/>
      <c r="D5" s="282"/>
      <c r="E5" s="282"/>
      <c r="G5" s="282" t="str">
        <f>'Data Sheet'!$B$1&amp;" - "&amp;'Historical data'!B23 &amp; "Forecasting"</f>
        <v>SHREE CEMENT LTD - EBITDAForecasting</v>
      </c>
      <c r="H5" s="282"/>
      <c r="I5" s="282"/>
      <c r="J5" s="282"/>
      <c r="L5" s="282" t="str">
        <f>'Data Sheet'!$B$1&amp;" - "&amp;'Historical data'!B43 &amp; "Forecasting"</f>
        <v>SHREE CEMENT LTD - EPSForecasting</v>
      </c>
      <c r="M5" s="282"/>
      <c r="N5" s="282"/>
      <c r="O5" s="282"/>
    </row>
    <row r="6" spans="1:15" x14ac:dyDescent="0.2">
      <c r="B6" s="72" t="s">
        <v>155</v>
      </c>
      <c r="C6" s="73" t="s">
        <v>156</v>
      </c>
      <c r="D6" s="73" t="s">
        <v>15</v>
      </c>
      <c r="E6" s="73" t="s">
        <v>59</v>
      </c>
      <c r="G6" s="72" t="s">
        <v>155</v>
      </c>
      <c r="H6" s="73" t="s">
        <v>156</v>
      </c>
      <c r="I6" s="73" t="s">
        <v>66</v>
      </c>
      <c r="J6" s="73" t="s">
        <v>124</v>
      </c>
      <c r="L6" s="72" t="s">
        <v>155</v>
      </c>
      <c r="M6" s="73" t="s">
        <v>156</v>
      </c>
      <c r="N6" s="73" t="s">
        <v>77</v>
      </c>
      <c r="O6" s="73" t="s">
        <v>183</v>
      </c>
    </row>
    <row r="7" spans="1:15" x14ac:dyDescent="0.2">
      <c r="A7" s="81"/>
      <c r="B7" s="82">
        <v>1</v>
      </c>
      <c r="C7" s="83">
        <f>'Data Sheet'!$B$16</f>
        <v>41820</v>
      </c>
      <c r="D7" s="84">
        <f t="array" ref="D7:D16">TRANSPOSE('Data Sheet'!B17:K17)</f>
        <v>5714.53</v>
      </c>
      <c r="E7" s="81"/>
      <c r="F7" s="81"/>
      <c r="G7" s="82">
        <v>1</v>
      </c>
      <c r="H7" s="83">
        <f>'Data Sheet'!$B$16</f>
        <v>41820</v>
      </c>
      <c r="I7" s="84">
        <v>1389.7999999999995</v>
      </c>
      <c r="J7" s="81"/>
      <c r="K7" s="81"/>
      <c r="L7" s="82">
        <v>1</v>
      </c>
      <c r="M7" s="83">
        <f>'Data Sheet'!$B$16</f>
        <v>41820</v>
      </c>
      <c r="N7" s="84">
        <f t="array" ref="N7:N16">TRANSPOSE('Historical data'!C43:L43)</f>
        <v>344.95977011494233</v>
      </c>
      <c r="O7" s="81"/>
    </row>
    <row r="8" spans="1:15" x14ac:dyDescent="0.2">
      <c r="A8" s="81"/>
      <c r="B8" s="82">
        <v>2</v>
      </c>
      <c r="C8" s="83">
        <f>C7+365</f>
        <v>42185</v>
      </c>
      <c r="D8" s="84">
        <v>6259.39</v>
      </c>
      <c r="E8" s="85">
        <f>D8/D7-1</f>
        <v>9.5346423940376734E-2</v>
      </c>
      <c r="F8" s="81"/>
      <c r="G8" s="82">
        <v>2</v>
      </c>
      <c r="H8" s="83">
        <f>H7+365</f>
        <v>42185</v>
      </c>
      <c r="I8" s="84">
        <v>1343.8500000000006</v>
      </c>
      <c r="J8" s="86">
        <f>I8/I7-1</f>
        <v>-3.30623111239019E-2</v>
      </c>
      <c r="K8" s="81"/>
      <c r="L8" s="82">
        <v>2</v>
      </c>
      <c r="M8" s="83">
        <f>M7+365</f>
        <v>42185</v>
      </c>
      <c r="N8" s="84">
        <v>342.15229885057488</v>
      </c>
      <c r="O8" s="86">
        <f>N8/N7-1</f>
        <v>-8.1385468903576452E-3</v>
      </c>
    </row>
    <row r="9" spans="1:15" x14ac:dyDescent="0.2">
      <c r="A9" s="81"/>
      <c r="B9" s="82">
        <v>3</v>
      </c>
      <c r="C9" s="83">
        <f t="shared" ref="C9:C21" si="0">C8+365</f>
        <v>42550</v>
      </c>
      <c r="D9" s="84">
        <v>5513.64</v>
      </c>
      <c r="E9" s="86">
        <f t="shared" ref="E9:E21" si="1">D9/D8-1</f>
        <v>-0.11914100255775717</v>
      </c>
      <c r="F9" s="81"/>
      <c r="G9" s="82">
        <v>3</v>
      </c>
      <c r="H9" s="83">
        <f t="shared" ref="H9:H21" si="2">H8+365</f>
        <v>42550</v>
      </c>
      <c r="I9" s="84">
        <v>1406.9100000000003</v>
      </c>
      <c r="J9" s="86">
        <f t="shared" ref="J9:J21" si="3">I9/I8-1</f>
        <v>4.6924880008929248E-2</v>
      </c>
      <c r="K9" s="81"/>
      <c r="L9" s="82">
        <v>3</v>
      </c>
      <c r="M9" s="83">
        <f t="shared" ref="M9:M21" si="4">M8+365</f>
        <v>42550</v>
      </c>
      <c r="N9" s="84">
        <v>349.72988505747139</v>
      </c>
      <c r="O9" s="86">
        <f t="shared" ref="O9:O21" si="5">N9/N8-1</f>
        <v>2.2146822430691326E-2</v>
      </c>
    </row>
    <row r="10" spans="1:15" x14ac:dyDescent="0.2">
      <c r="A10" s="81"/>
      <c r="B10" s="82">
        <v>4</v>
      </c>
      <c r="C10" s="83">
        <f t="shared" si="0"/>
        <v>42915</v>
      </c>
      <c r="D10" s="84">
        <v>8594.2999999999993</v>
      </c>
      <c r="E10" s="85">
        <f t="shared" si="1"/>
        <v>0.55873433883967727</v>
      </c>
      <c r="F10" s="81"/>
      <c r="G10" s="82">
        <v>4</v>
      </c>
      <c r="H10" s="83">
        <f t="shared" si="2"/>
        <v>42915</v>
      </c>
      <c r="I10" s="84">
        <v>2513.1699999999992</v>
      </c>
      <c r="J10" s="86">
        <f t="shared" si="3"/>
        <v>0.78630473875372164</v>
      </c>
      <c r="K10" s="81"/>
      <c r="L10" s="82">
        <v>4</v>
      </c>
      <c r="M10" s="83">
        <f t="shared" si="4"/>
        <v>42915</v>
      </c>
      <c r="N10" s="84">
        <v>632.28448275862058</v>
      </c>
      <c r="O10" s="86">
        <f t="shared" si="5"/>
        <v>0.80792237030220271</v>
      </c>
    </row>
    <row r="11" spans="1:15" x14ac:dyDescent="0.2">
      <c r="A11" s="81"/>
      <c r="B11" s="82">
        <v>5</v>
      </c>
      <c r="C11" s="83">
        <f t="shared" si="0"/>
        <v>43280</v>
      </c>
      <c r="D11" s="84">
        <v>9826.35</v>
      </c>
      <c r="E11" s="85">
        <f t="shared" si="1"/>
        <v>0.14335664335664355</v>
      </c>
      <c r="F11" s="81"/>
      <c r="G11" s="82">
        <v>5</v>
      </c>
      <c r="H11" s="83">
        <f t="shared" si="2"/>
        <v>43280</v>
      </c>
      <c r="I11" s="84">
        <v>2472.7800000000007</v>
      </c>
      <c r="J11" s="86">
        <f t="shared" si="3"/>
        <v>-1.6071336200893072E-2</v>
      </c>
      <c r="K11" s="81"/>
      <c r="L11" s="82">
        <v>5</v>
      </c>
      <c r="M11" s="83">
        <f t="shared" si="4"/>
        <v>43280</v>
      </c>
      <c r="N11" s="84">
        <v>549.70402298850593</v>
      </c>
      <c r="O11" s="86">
        <f t="shared" si="5"/>
        <v>-0.13060649442134165</v>
      </c>
    </row>
    <row r="12" spans="1:15" x14ac:dyDescent="0.2">
      <c r="A12" s="81"/>
      <c r="B12" s="82">
        <v>6</v>
      </c>
      <c r="C12" s="83">
        <f t="shared" si="0"/>
        <v>43645</v>
      </c>
      <c r="D12" s="84">
        <v>11722</v>
      </c>
      <c r="E12" s="85">
        <f t="shared" si="1"/>
        <v>0.19291496842673017</v>
      </c>
      <c r="F12" s="81"/>
      <c r="G12" s="82">
        <v>6</v>
      </c>
      <c r="H12" s="83">
        <f t="shared" si="2"/>
        <v>43645</v>
      </c>
      <c r="I12" s="84">
        <v>2655.8199999999997</v>
      </c>
      <c r="J12" s="86">
        <f t="shared" si="3"/>
        <v>7.4021951002515074E-2</v>
      </c>
      <c r="K12" s="81"/>
      <c r="L12" s="82">
        <v>6</v>
      </c>
      <c r="M12" s="83">
        <f t="shared" si="4"/>
        <v>43645</v>
      </c>
      <c r="N12" s="84">
        <v>710.08045977011477</v>
      </c>
      <c r="O12" s="86">
        <f t="shared" si="5"/>
        <v>0.29175052405421864</v>
      </c>
    </row>
    <row r="13" spans="1:15" x14ac:dyDescent="0.2">
      <c r="A13" s="81"/>
      <c r="B13" s="82">
        <v>7</v>
      </c>
      <c r="C13" s="83">
        <f t="shared" si="0"/>
        <v>44010</v>
      </c>
      <c r="D13" s="84">
        <v>11904</v>
      </c>
      <c r="E13" s="85">
        <f t="shared" si="1"/>
        <v>1.5526360689302132E-2</v>
      </c>
      <c r="F13" s="81"/>
      <c r="G13" s="82">
        <v>7</v>
      </c>
      <c r="H13" s="83">
        <f t="shared" si="2"/>
        <v>44010</v>
      </c>
      <c r="I13" s="84">
        <v>3686.0299999999997</v>
      </c>
      <c r="J13" s="86">
        <f t="shared" si="3"/>
        <v>0.38790655993252554</v>
      </c>
      <c r="K13" s="81"/>
      <c r="L13" s="82">
        <v>7</v>
      </c>
      <c r="M13" s="83">
        <f t="shared" si="4"/>
        <v>44010</v>
      </c>
      <c r="N13" s="84">
        <v>901.54570637119116</v>
      </c>
      <c r="O13" s="86">
        <f t="shared" si="5"/>
        <v>0.26963880496452797</v>
      </c>
    </row>
    <row r="14" spans="1:15" x14ac:dyDescent="0.2">
      <c r="A14" s="81"/>
      <c r="B14" s="82">
        <v>8</v>
      </c>
      <c r="C14" s="83">
        <f t="shared" si="0"/>
        <v>44375</v>
      </c>
      <c r="D14" s="84">
        <v>12668.87</v>
      </c>
      <c r="E14" s="85">
        <f t="shared" si="1"/>
        <v>6.4253192204301035E-2</v>
      </c>
      <c r="F14" s="81"/>
      <c r="G14" s="82">
        <v>8</v>
      </c>
      <c r="H14" s="83">
        <f t="shared" si="2"/>
        <v>44375</v>
      </c>
      <c r="I14" s="84">
        <v>3991.83</v>
      </c>
      <c r="J14" s="86">
        <f t="shared" si="3"/>
        <v>8.2961885822958603E-2</v>
      </c>
      <c r="K14" s="81"/>
      <c r="L14" s="82">
        <v>8</v>
      </c>
      <c r="M14" s="83">
        <f t="shared" si="4"/>
        <v>44375</v>
      </c>
      <c r="N14" s="84">
        <v>875.99722991689748</v>
      </c>
      <c r="O14" s="86">
        <f t="shared" si="5"/>
        <v>-2.8338526015645682E-2</v>
      </c>
    </row>
    <row r="15" spans="1:15" x14ac:dyDescent="0.2">
      <c r="A15" s="81"/>
      <c r="B15" s="82">
        <v>9</v>
      </c>
      <c r="C15" s="83">
        <f t="shared" si="0"/>
        <v>44740</v>
      </c>
      <c r="D15" s="84">
        <v>14305.88</v>
      </c>
      <c r="E15" s="85">
        <f t="shared" si="1"/>
        <v>0.1292151549427849</v>
      </c>
      <c r="F15" s="81"/>
      <c r="G15" s="82">
        <v>9</v>
      </c>
      <c r="H15" s="83">
        <f t="shared" si="2"/>
        <v>44740</v>
      </c>
      <c r="I15" s="84">
        <v>3649.8399999999983</v>
      </c>
      <c r="J15" s="86">
        <f t="shared" si="3"/>
        <v>-8.5672486052763119E-2</v>
      </c>
      <c r="K15" s="81"/>
      <c r="L15" s="82">
        <v>9</v>
      </c>
      <c r="M15" s="83">
        <f t="shared" si="4"/>
        <v>44740</v>
      </c>
      <c r="N15" s="84">
        <v>803.25761772853139</v>
      </c>
      <c r="O15" s="86">
        <f t="shared" si="5"/>
        <v>-8.3036349550176802E-2</v>
      </c>
    </row>
    <row r="16" spans="1:15" x14ac:dyDescent="0.2">
      <c r="A16" s="81"/>
      <c r="B16" s="82">
        <v>10</v>
      </c>
      <c r="C16" s="83">
        <f t="shared" si="0"/>
        <v>45105</v>
      </c>
      <c r="D16" s="84">
        <v>16837.490000000002</v>
      </c>
      <c r="E16" s="85">
        <f t="shared" si="1"/>
        <v>0.17696289917152974</v>
      </c>
      <c r="F16" s="81"/>
      <c r="G16" s="82">
        <v>10</v>
      </c>
      <c r="H16" s="83">
        <f t="shared" si="2"/>
        <v>45105</v>
      </c>
      <c r="I16" s="84">
        <v>2942.2600000000039</v>
      </c>
      <c r="J16" s="86">
        <f t="shared" si="3"/>
        <v>-0.19386603248361434</v>
      </c>
      <c r="K16" s="81"/>
      <c r="L16" s="82">
        <v>10</v>
      </c>
      <c r="M16" s="83">
        <f t="shared" si="4"/>
        <v>45105</v>
      </c>
      <c r="N16" s="84">
        <v>703.2603878116355</v>
      </c>
      <c r="O16" s="86">
        <f t="shared" si="5"/>
        <v>-0.12448961293348226</v>
      </c>
    </row>
    <row r="17" spans="1:15" x14ac:dyDescent="0.2">
      <c r="A17" s="81"/>
      <c r="B17" s="214">
        <v>11</v>
      </c>
      <c r="C17" s="215">
        <f t="shared" si="0"/>
        <v>45470</v>
      </c>
      <c r="D17" s="216">
        <f>FORECAST(B17,$D$7:$D$16,$B$7:$B$16)</f>
        <v>17135.743999999999</v>
      </c>
      <c r="E17" s="217">
        <f t="shared" si="1"/>
        <v>1.7713685353339281E-2</v>
      </c>
      <c r="F17" s="81"/>
      <c r="G17" s="214">
        <v>11</v>
      </c>
      <c r="H17" s="215">
        <f t="shared" si="2"/>
        <v>45470</v>
      </c>
      <c r="I17" s="216">
        <f>FORECAST(G17,I7:I16,G7:G16)</f>
        <v>4163.238666666668</v>
      </c>
      <c r="J17" s="217">
        <f t="shared" si="3"/>
        <v>0.41497986808326348</v>
      </c>
      <c r="K17" s="81"/>
      <c r="L17" s="214">
        <v>11</v>
      </c>
      <c r="M17" s="215">
        <f t="shared" si="4"/>
        <v>45470</v>
      </c>
      <c r="N17" s="216">
        <f>FORECAST(L17,N7:N16,L7:L16)</f>
        <v>956.36184024792806</v>
      </c>
      <c r="O17" s="217">
        <f t="shared" si="5"/>
        <v>0.3598972113641703</v>
      </c>
    </row>
    <row r="18" spans="1:15" x14ac:dyDescent="0.2">
      <c r="A18" s="81"/>
      <c r="B18" s="214">
        <v>12</v>
      </c>
      <c r="C18" s="215">
        <f t="shared" si="0"/>
        <v>45835</v>
      </c>
      <c r="D18" s="216">
        <f t="shared" ref="D18:D21" si="6">FORECAST(B18,$D$7:$D$16,$B$7:$B$16)</f>
        <v>18372.307454545455</v>
      </c>
      <c r="E18" s="217">
        <f t="shared" si="1"/>
        <v>7.2162810937503208E-2</v>
      </c>
      <c r="F18" s="81"/>
      <c r="G18" s="214">
        <v>12</v>
      </c>
      <c r="H18" s="215">
        <f t="shared" si="2"/>
        <v>45835</v>
      </c>
      <c r="I18" s="216">
        <f t="shared" ref="I18:I21" si="7">FORECAST(G18,I8:I17,G8:G17)</f>
        <v>4462.3281333333343</v>
      </c>
      <c r="J18" s="217">
        <f t="shared" si="3"/>
        <v>7.1840576679245371E-2</v>
      </c>
      <c r="K18" s="81"/>
      <c r="L18" s="214">
        <v>12</v>
      </c>
      <c r="M18" s="215">
        <f t="shared" si="4"/>
        <v>45835</v>
      </c>
      <c r="N18" s="216">
        <f t="shared" ref="N18:N21" si="8">FORECAST(L18,N8:N17,L8:L17)</f>
        <v>1016.6977242865181</v>
      </c>
      <c r="O18" s="217">
        <f t="shared" si="5"/>
        <v>6.3088970616967055E-2</v>
      </c>
    </row>
    <row r="19" spans="1:15" x14ac:dyDescent="0.2">
      <c r="A19" s="81"/>
      <c r="B19" s="214">
        <v>13</v>
      </c>
      <c r="C19" s="215">
        <f t="shared" si="0"/>
        <v>46200</v>
      </c>
      <c r="D19" s="216">
        <f t="shared" si="6"/>
        <v>19608.870909090911</v>
      </c>
      <c r="E19" s="217">
        <f t="shared" si="1"/>
        <v>6.730583284678926E-2</v>
      </c>
      <c r="F19" s="81"/>
      <c r="G19" s="214">
        <v>13</v>
      </c>
      <c r="H19" s="215">
        <f t="shared" si="2"/>
        <v>46200</v>
      </c>
      <c r="I19" s="216">
        <f t="shared" si="7"/>
        <v>4683.9041422222235</v>
      </c>
      <c r="J19" s="217">
        <f t="shared" si="3"/>
        <v>4.9654799528015214E-2</v>
      </c>
      <c r="K19" s="81"/>
      <c r="L19" s="214">
        <v>13</v>
      </c>
      <c r="M19" s="215">
        <f t="shared" si="4"/>
        <v>46200</v>
      </c>
      <c r="N19" s="216">
        <f t="shared" si="8"/>
        <v>1059.6591649278471</v>
      </c>
      <c r="O19" s="217">
        <f t="shared" si="5"/>
        <v>4.2255863876825117E-2</v>
      </c>
    </row>
    <row r="20" spans="1:15" x14ac:dyDescent="0.2">
      <c r="A20" s="81"/>
      <c r="B20" s="214">
        <v>14</v>
      </c>
      <c r="C20" s="215">
        <f t="shared" si="0"/>
        <v>46565</v>
      </c>
      <c r="D20" s="216">
        <f t="shared" si="6"/>
        <v>20845.434363636363</v>
      </c>
      <c r="E20" s="217">
        <f t="shared" si="1"/>
        <v>6.3061430730933399E-2</v>
      </c>
      <c r="F20" s="81"/>
      <c r="G20" s="214">
        <v>14</v>
      </c>
      <c r="H20" s="215">
        <f t="shared" si="2"/>
        <v>46565</v>
      </c>
      <c r="I20" s="216">
        <f t="shared" si="7"/>
        <v>4803.0280124444462</v>
      </c>
      <c r="J20" s="217">
        <f t="shared" si="3"/>
        <v>2.5432602078339306E-2</v>
      </c>
      <c r="K20" s="81"/>
      <c r="L20" s="214">
        <v>14</v>
      </c>
      <c r="M20" s="215">
        <f t="shared" si="4"/>
        <v>46565</v>
      </c>
      <c r="N20" s="216">
        <f t="shared" si="8"/>
        <v>1076.8561764518176</v>
      </c>
      <c r="O20" s="217">
        <f t="shared" si="5"/>
        <v>1.6228814031105543E-2</v>
      </c>
    </row>
    <row r="21" spans="1:15" x14ac:dyDescent="0.2">
      <c r="A21" s="81"/>
      <c r="B21" s="214">
        <v>15</v>
      </c>
      <c r="C21" s="215">
        <f t="shared" si="0"/>
        <v>46930</v>
      </c>
      <c r="D21" s="216">
        <f t="shared" si="6"/>
        <v>22081.997818181815</v>
      </c>
      <c r="E21" s="217">
        <f t="shared" si="1"/>
        <v>5.9320589486135278E-2</v>
      </c>
      <c r="F21" s="81"/>
      <c r="G21" s="214">
        <v>15</v>
      </c>
      <c r="H21" s="215">
        <f t="shared" si="2"/>
        <v>46930</v>
      </c>
      <c r="I21" s="216">
        <f t="shared" si="7"/>
        <v>5046.3378212740763</v>
      </c>
      <c r="J21" s="217">
        <f t="shared" si="3"/>
        <v>5.0657586880447969E-2</v>
      </c>
      <c r="K21" s="81"/>
      <c r="L21" s="214">
        <v>15</v>
      </c>
      <c r="M21" s="215">
        <f t="shared" si="4"/>
        <v>46930</v>
      </c>
      <c r="N21" s="216">
        <f t="shared" si="8"/>
        <v>1128.9512666476576</v>
      </c>
      <c r="O21" s="217">
        <f t="shared" si="5"/>
        <v>4.8377017595321314E-2</v>
      </c>
    </row>
  </sheetData>
  <mergeCells count="3">
    <mergeCell ref="B5:E5"/>
    <mergeCell ref="G5:J5"/>
    <mergeCell ref="L5:O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78903-EF03-4A66-850A-6E771E7147FC}">
  <sheetPr>
    <tabColor theme="4" tint="0.39997558519241921"/>
  </sheetPr>
  <dimension ref="A1:H63"/>
  <sheetViews>
    <sheetView showGridLines="0" workbookViewId="0">
      <selection activeCell="I1" sqref="I1"/>
    </sheetView>
  </sheetViews>
  <sheetFormatPr defaultRowHeight="15" x14ac:dyDescent="0.2"/>
  <cols>
    <col min="1" max="1" width="1.8828125" customWidth="1"/>
    <col min="2" max="2" width="38.3359375" customWidth="1"/>
    <col min="3" max="8" width="12.64453125" customWidth="1"/>
  </cols>
  <sheetData>
    <row r="1" spans="1:8" s="1" customFormat="1" x14ac:dyDescent="0.2"/>
    <row r="2" spans="1:8" s="1" customFormat="1" x14ac:dyDescent="0.2"/>
    <row r="3" spans="1:8" s="1" customFormat="1" x14ac:dyDescent="0.2"/>
    <row r="5" spans="1:8" x14ac:dyDescent="0.2">
      <c r="B5" s="95" t="s">
        <v>220</v>
      </c>
      <c r="C5" s="96">
        <v>43160</v>
      </c>
      <c r="D5" s="96">
        <v>43525</v>
      </c>
      <c r="E5" s="96">
        <v>43891</v>
      </c>
      <c r="F5" s="96">
        <v>44256</v>
      </c>
      <c r="G5" s="96">
        <v>44621</v>
      </c>
      <c r="H5" s="96">
        <v>44986</v>
      </c>
    </row>
    <row r="7" spans="1:8" x14ac:dyDescent="0.2">
      <c r="A7" t="s">
        <v>57</v>
      </c>
      <c r="B7" s="35" t="s">
        <v>221</v>
      </c>
    </row>
    <row r="8" spans="1:8" x14ac:dyDescent="0.2">
      <c r="B8" s="99" t="s">
        <v>210</v>
      </c>
      <c r="C8" s="99">
        <f>'RAW FS'!I40</f>
        <v>1569</v>
      </c>
      <c r="D8" s="99">
        <f>'RAW FS'!J40</f>
        <v>1589</v>
      </c>
      <c r="E8" s="99">
        <f>'RAW FS'!K40</f>
        <v>1428</v>
      </c>
      <c r="F8" s="99">
        <f>'RAW FS'!L40</f>
        <v>1477</v>
      </c>
      <c r="G8" s="99">
        <f>'RAW FS'!M40</f>
        <v>2161</v>
      </c>
      <c r="H8" s="99">
        <f>'RAW FS'!N40</f>
        <v>2423</v>
      </c>
    </row>
    <row r="9" spans="1:8" x14ac:dyDescent="0.2">
      <c r="B9" s="99" t="s">
        <v>211</v>
      </c>
      <c r="C9" s="99">
        <f>'RAW FS'!I41</f>
        <v>459</v>
      </c>
      <c r="D9" s="99">
        <f>'RAW FS'!J41</f>
        <v>732</v>
      </c>
      <c r="E9" s="99">
        <f>'RAW FS'!K41</f>
        <v>828</v>
      </c>
      <c r="F9" s="99">
        <f>'RAW FS'!L41</f>
        <v>479</v>
      </c>
      <c r="G9" s="99">
        <f>'RAW FS'!M41</f>
        <v>596</v>
      </c>
      <c r="H9" s="99">
        <f>'RAW FS'!N41</f>
        <v>906</v>
      </c>
    </row>
    <row r="10" spans="1:8" x14ac:dyDescent="0.2">
      <c r="B10" s="99" t="s">
        <v>213</v>
      </c>
      <c r="C10" s="99">
        <f>'RAW FS'!I43</f>
        <v>7</v>
      </c>
      <c r="D10" s="99">
        <f>'RAW FS'!J43</f>
        <v>8</v>
      </c>
      <c r="E10" s="99">
        <f>'RAW FS'!K43</f>
        <v>8</v>
      </c>
      <c r="F10" s="99">
        <f>'RAW FS'!L43</f>
        <v>7</v>
      </c>
      <c r="G10" s="99">
        <f>'RAW FS'!M43</f>
        <v>6</v>
      </c>
      <c r="H10" s="99">
        <f>'RAW FS'!N43</f>
        <v>6</v>
      </c>
    </row>
    <row r="11" spans="1:8" x14ac:dyDescent="0.2">
      <c r="B11" s="99" t="s">
        <v>214</v>
      </c>
      <c r="C11" s="99">
        <f>'RAW FS'!I44</f>
        <v>2535</v>
      </c>
      <c r="D11" s="99">
        <f>'RAW FS'!J44</f>
        <v>2516</v>
      </c>
      <c r="E11" s="99">
        <f>'RAW FS'!K44</f>
        <v>2768</v>
      </c>
      <c r="F11" s="99">
        <f>'RAW FS'!L44</f>
        <v>2653</v>
      </c>
      <c r="G11" s="99">
        <f>'RAW FS'!M44</f>
        <v>2694</v>
      </c>
      <c r="H11" s="99">
        <f>'RAW FS'!N44</f>
        <v>3061</v>
      </c>
    </row>
    <row r="12" spans="1:8" x14ac:dyDescent="0.2">
      <c r="B12" s="109" t="s">
        <v>86</v>
      </c>
      <c r="C12" s="99">
        <f>SUM(C8:C11)</f>
        <v>4570</v>
      </c>
      <c r="D12" s="99">
        <f t="shared" ref="D12:H12" si="0">SUM(D8:D11)</f>
        <v>4845</v>
      </c>
      <c r="E12" s="99">
        <f t="shared" si="0"/>
        <v>5032</v>
      </c>
      <c r="F12" s="99">
        <f t="shared" si="0"/>
        <v>4616</v>
      </c>
      <c r="G12" s="99">
        <f t="shared" si="0"/>
        <v>5457</v>
      </c>
      <c r="H12" s="99">
        <f t="shared" si="0"/>
        <v>6396</v>
      </c>
    </row>
    <row r="13" spans="1:8" x14ac:dyDescent="0.2">
      <c r="C13" s="105"/>
      <c r="D13" s="105"/>
      <c r="E13" s="105"/>
      <c r="F13" s="105"/>
      <c r="G13" s="105"/>
      <c r="H13" s="105"/>
    </row>
    <row r="14" spans="1:8" x14ac:dyDescent="0.2">
      <c r="B14" s="107" t="s">
        <v>222</v>
      </c>
      <c r="C14" s="104"/>
      <c r="D14" s="104"/>
      <c r="E14" s="104"/>
      <c r="F14" s="104"/>
      <c r="G14" s="104"/>
      <c r="H14" s="104"/>
    </row>
    <row r="15" spans="1:8" x14ac:dyDescent="0.2">
      <c r="B15" s="98" t="str">
        <f>'RAW FS'!B17</f>
        <v>Trade Payables</v>
      </c>
      <c r="C15" s="99">
        <f>'RAW FS'!I17</f>
        <v>727</v>
      </c>
      <c r="D15" s="99">
        <f>'RAW FS'!J17</f>
        <v>451</v>
      </c>
      <c r="E15" s="99">
        <f>'RAW FS'!K17</f>
        <v>528</v>
      </c>
      <c r="F15" s="99">
        <f>'RAW FS'!L17</f>
        <v>786</v>
      </c>
      <c r="G15" s="99">
        <f>'RAW FS'!M17</f>
        <v>804</v>
      </c>
      <c r="H15" s="99">
        <f>'RAW FS'!N17</f>
        <v>1129</v>
      </c>
    </row>
    <row r="16" spans="1:8" x14ac:dyDescent="0.2">
      <c r="B16" s="98" t="str">
        <f>'RAW FS'!B18</f>
        <v>Advance from Customers</v>
      </c>
      <c r="C16" s="99">
        <f>'RAW FS'!I18</f>
        <v>164</v>
      </c>
      <c r="D16" s="99">
        <f>'RAW FS'!J18</f>
        <v>134</v>
      </c>
      <c r="E16" s="99">
        <f>'RAW FS'!K18</f>
        <v>205</v>
      </c>
      <c r="F16" s="99">
        <f>'RAW FS'!L18</f>
        <v>194</v>
      </c>
      <c r="G16" s="99">
        <f>'RAW FS'!M18</f>
        <v>232</v>
      </c>
      <c r="H16" s="99">
        <f>'RAW FS'!N18</f>
        <v>266</v>
      </c>
    </row>
    <row r="17" spans="1:8" x14ac:dyDescent="0.2">
      <c r="B17" s="98" t="str">
        <f>'RAW FS'!B19</f>
        <v>Other liability items</v>
      </c>
      <c r="C17" s="99">
        <f>'RAW FS'!I19</f>
        <v>1951</v>
      </c>
      <c r="D17" s="99">
        <f>'RAW FS'!J19</f>
        <v>2213</v>
      </c>
      <c r="E17" s="99">
        <f>'RAW FS'!K19</f>
        <v>2525</v>
      </c>
      <c r="F17" s="99">
        <f>'RAW FS'!L19</f>
        <v>2653</v>
      </c>
      <c r="G17" s="99">
        <f>'RAW FS'!M19</f>
        <v>2899</v>
      </c>
      <c r="H17" s="99">
        <f>'RAW FS'!N19</f>
        <v>3325</v>
      </c>
    </row>
    <row r="18" spans="1:8" x14ac:dyDescent="0.2">
      <c r="B18" s="97" t="s">
        <v>223</v>
      </c>
      <c r="C18" s="99">
        <f>SUM(C15:C17)</f>
        <v>2842</v>
      </c>
      <c r="D18" s="99">
        <f t="shared" ref="D18:H18" si="1">SUM(D15:D17)</f>
        <v>2798</v>
      </c>
      <c r="E18" s="99">
        <f t="shared" si="1"/>
        <v>3258</v>
      </c>
      <c r="F18" s="99">
        <f t="shared" si="1"/>
        <v>3633</v>
      </c>
      <c r="G18" s="99">
        <f t="shared" si="1"/>
        <v>3935</v>
      </c>
      <c r="H18" s="99">
        <f t="shared" si="1"/>
        <v>4720</v>
      </c>
    </row>
    <row r="19" spans="1:8" x14ac:dyDescent="0.2">
      <c r="C19" s="99"/>
      <c r="D19" s="99"/>
      <c r="E19" s="99"/>
      <c r="F19" s="99"/>
      <c r="G19" s="99"/>
      <c r="H19" s="99"/>
    </row>
    <row r="20" spans="1:8" ht="15.75" thickBot="1" x14ac:dyDescent="0.25">
      <c r="A20" t="s">
        <v>57</v>
      </c>
      <c r="B20" s="108" t="s">
        <v>224</v>
      </c>
      <c r="C20" s="116">
        <f>C12-C18</f>
        <v>1728</v>
      </c>
      <c r="D20" s="116">
        <f t="shared" ref="D20:H20" si="2">D12-D18</f>
        <v>2047</v>
      </c>
      <c r="E20" s="116">
        <f t="shared" si="2"/>
        <v>1774</v>
      </c>
      <c r="F20" s="116">
        <f t="shared" si="2"/>
        <v>983</v>
      </c>
      <c r="G20" s="116">
        <f t="shared" si="2"/>
        <v>1522</v>
      </c>
      <c r="H20" s="116">
        <f t="shared" si="2"/>
        <v>1676</v>
      </c>
    </row>
    <row r="21" spans="1:8" ht="15.75" thickTop="1" x14ac:dyDescent="0.2"/>
    <row r="22" spans="1:8" x14ac:dyDescent="0.2">
      <c r="B22" s="35" t="s">
        <v>225</v>
      </c>
    </row>
    <row r="23" spans="1:8" x14ac:dyDescent="0.2">
      <c r="B23" s="113" t="str">
        <f>'RAW FS'!B23</f>
        <v>Land</v>
      </c>
      <c r="C23" s="99">
        <f>'RAW FS'!I23</f>
        <v>1110</v>
      </c>
      <c r="D23" s="99">
        <f>'RAW FS'!J23</f>
        <v>1324</v>
      </c>
      <c r="E23" s="99">
        <f>'RAW FS'!K23</f>
        <v>1571</v>
      </c>
      <c r="F23" s="99">
        <f>'RAW FS'!L23</f>
        <v>1846</v>
      </c>
      <c r="G23" s="99">
        <f>'RAW FS'!M23</f>
        <v>2166</v>
      </c>
      <c r="H23" s="99">
        <f>'RAW FS'!N23</f>
        <v>2335</v>
      </c>
    </row>
    <row r="24" spans="1:8" x14ac:dyDescent="0.2">
      <c r="B24" s="113" t="str">
        <f>'RAW FS'!B24</f>
        <v>Building</v>
      </c>
      <c r="C24" s="99">
        <f>'RAW FS'!I24</f>
        <v>639</v>
      </c>
      <c r="D24" s="99">
        <f>'RAW FS'!J24</f>
        <v>890</v>
      </c>
      <c r="E24" s="99">
        <f>'RAW FS'!K24</f>
        <v>1082</v>
      </c>
      <c r="F24" s="99">
        <f>'RAW FS'!L24</f>
        <v>1188</v>
      </c>
      <c r="G24" s="99">
        <f>'RAW FS'!M24</f>
        <v>1345</v>
      </c>
      <c r="H24" s="99">
        <f>'RAW FS'!N24</f>
        <v>1538</v>
      </c>
    </row>
    <row r="25" spans="1:8" x14ac:dyDescent="0.2">
      <c r="B25" s="113" t="str">
        <f>'RAW FS'!B25</f>
        <v>Plant Machinery</v>
      </c>
      <c r="C25" s="99">
        <f>'RAW FS'!I25</f>
        <v>4659</v>
      </c>
      <c r="D25" s="99">
        <f>'RAW FS'!J25</f>
        <v>6438</v>
      </c>
      <c r="E25" s="99">
        <f>'RAW FS'!K25</f>
        <v>7477</v>
      </c>
      <c r="F25" s="99">
        <f>'RAW FS'!L25</f>
        <v>8078</v>
      </c>
      <c r="G25" s="99">
        <f>'RAW FS'!M25</f>
        <v>9550</v>
      </c>
      <c r="H25" s="99">
        <f>'RAW FS'!N25</f>
        <v>10420</v>
      </c>
    </row>
    <row r="26" spans="1:8" x14ac:dyDescent="0.2">
      <c r="B26" s="113" t="str">
        <f>'RAW FS'!B26</f>
        <v>Equipments</v>
      </c>
      <c r="C26" s="99">
        <f>'RAW FS'!I26</f>
        <v>39</v>
      </c>
      <c r="D26" s="99">
        <f>'RAW FS'!J26</f>
        <v>51</v>
      </c>
      <c r="E26" s="99">
        <f>'RAW FS'!K26</f>
        <v>65</v>
      </c>
      <c r="F26" s="99">
        <f>'RAW FS'!L26</f>
        <v>71</v>
      </c>
      <c r="G26" s="99">
        <f>'RAW FS'!M26</f>
        <v>80</v>
      </c>
      <c r="H26" s="99">
        <f>'RAW FS'!N26</f>
        <v>92</v>
      </c>
    </row>
    <row r="27" spans="1:8" x14ac:dyDescent="0.2">
      <c r="B27" s="113" t="str">
        <f>'RAW FS'!B27</f>
        <v>Furniture n fittings</v>
      </c>
      <c r="C27" s="99">
        <f>'RAW FS'!I27</f>
        <v>30</v>
      </c>
      <c r="D27" s="99">
        <f>'RAW FS'!J27</f>
        <v>37</v>
      </c>
      <c r="E27" s="99">
        <f>'RAW FS'!K27</f>
        <v>43</v>
      </c>
      <c r="F27" s="99">
        <f>'RAW FS'!L27</f>
        <v>45</v>
      </c>
      <c r="G27" s="99">
        <f>'RAW FS'!M27</f>
        <v>53</v>
      </c>
      <c r="H27" s="99">
        <f>'RAW FS'!N27</f>
        <v>61</v>
      </c>
    </row>
    <row r="28" spans="1:8" x14ac:dyDescent="0.2">
      <c r="B28" s="113" t="str">
        <f>'RAW FS'!B28</f>
        <v>Railway sidings</v>
      </c>
      <c r="C28" s="99">
        <f>'RAW FS'!I28</f>
        <v>23</v>
      </c>
      <c r="D28" s="99">
        <f>'RAW FS'!J28</f>
        <v>38</v>
      </c>
      <c r="E28" s="99">
        <f>'RAW FS'!K28</f>
        <v>38</v>
      </c>
      <c r="F28" s="99">
        <f>'RAW FS'!L28</f>
        <v>38</v>
      </c>
      <c r="G28" s="99">
        <f>'RAW FS'!M28</f>
        <v>203</v>
      </c>
      <c r="H28" s="99">
        <f>'RAW FS'!N28</f>
        <v>457</v>
      </c>
    </row>
    <row r="29" spans="1:8" x14ac:dyDescent="0.2">
      <c r="B29" s="113" t="str">
        <f>'RAW FS'!B29</f>
        <v>Vehicles</v>
      </c>
      <c r="C29" s="99">
        <f>'RAW FS'!I29</f>
        <v>26</v>
      </c>
      <c r="D29" s="99">
        <f>'RAW FS'!J29</f>
        <v>36</v>
      </c>
      <c r="E29" s="99">
        <f>'RAW FS'!K29</f>
        <v>50</v>
      </c>
      <c r="F29" s="99">
        <f>'RAW FS'!L29</f>
        <v>51</v>
      </c>
      <c r="G29" s="99">
        <f>'RAW FS'!M29</f>
        <v>77</v>
      </c>
      <c r="H29" s="99">
        <f>'RAW FS'!N29</f>
        <v>99</v>
      </c>
    </row>
    <row r="30" spans="1:8" x14ac:dyDescent="0.2">
      <c r="B30" s="113" t="str">
        <f>'RAW FS'!B30</f>
        <v>Intangible Assets</v>
      </c>
      <c r="C30" s="99">
        <f>'RAW FS'!I30</f>
        <v>0</v>
      </c>
      <c r="D30" s="99">
        <f>'RAW FS'!J30</f>
        <v>0</v>
      </c>
      <c r="E30" s="99">
        <f>'RAW FS'!K30</f>
        <v>0</v>
      </c>
      <c r="F30" s="99">
        <f>'RAW FS'!L30</f>
        <v>0</v>
      </c>
      <c r="G30" s="99">
        <f>'RAW FS'!M30</f>
        <v>0</v>
      </c>
      <c r="H30" s="99">
        <f>'RAW FS'!N30</f>
        <v>0</v>
      </c>
    </row>
    <row r="31" spans="1:8" x14ac:dyDescent="0.2">
      <c r="B31" s="113" t="str">
        <f>'RAW FS'!B31</f>
        <v>Other fixed assets</v>
      </c>
      <c r="C31" s="99">
        <f>'RAW FS'!I31</f>
        <v>21</v>
      </c>
      <c r="D31" s="99">
        <f>'RAW FS'!J31</f>
        <v>23</v>
      </c>
      <c r="E31" s="99">
        <f>'RAW FS'!K31</f>
        <v>37</v>
      </c>
      <c r="F31" s="99">
        <f>'RAW FS'!L31</f>
        <v>47</v>
      </c>
      <c r="G31" s="99">
        <f>'RAW FS'!M31</f>
        <v>50</v>
      </c>
      <c r="H31" s="99">
        <f>'RAW FS'!N31</f>
        <v>72</v>
      </c>
    </row>
    <row r="32" spans="1:8" x14ac:dyDescent="0.2">
      <c r="B32" s="114" t="s">
        <v>207</v>
      </c>
      <c r="C32" s="103">
        <f>'RAW FS'!I32</f>
        <v>6548</v>
      </c>
      <c r="D32" s="103">
        <f>'RAW FS'!J32</f>
        <v>8836</v>
      </c>
      <c r="E32" s="103">
        <f>'RAW FS'!K32</f>
        <v>10363</v>
      </c>
      <c r="F32" s="103">
        <f>'RAW FS'!L32</f>
        <v>11364</v>
      </c>
      <c r="G32" s="103">
        <f>'RAW FS'!M32</f>
        <v>13523</v>
      </c>
      <c r="H32" s="103">
        <f>'RAW FS'!N32</f>
        <v>15075</v>
      </c>
    </row>
    <row r="33" spans="1:8" x14ac:dyDescent="0.2">
      <c r="B33" s="115" t="s">
        <v>208</v>
      </c>
      <c r="C33" s="115">
        <f>-'RAW FS'!I33</f>
        <v>-2959</v>
      </c>
      <c r="D33" s="115">
        <f>-'RAW FS'!J33</f>
        <v>-4361</v>
      </c>
      <c r="E33" s="115">
        <f>-'RAW FS'!K33</f>
        <v>-6044</v>
      </c>
      <c r="F33" s="115">
        <f>-'RAW FS'!L33</f>
        <v>-7173</v>
      </c>
      <c r="G33" s="115">
        <f>-'RAW FS'!M33</f>
        <v>-8201</v>
      </c>
      <c r="H33" s="115">
        <f>-'RAW FS'!N33</f>
        <v>-9743</v>
      </c>
    </row>
    <row r="34" spans="1:8" ht="15.75" thickBot="1" x14ac:dyDescent="0.25">
      <c r="A34" t="s">
        <v>57</v>
      </c>
      <c r="B34" s="111" t="s">
        <v>226</v>
      </c>
      <c r="C34" s="112">
        <f>SUM(C32:C33)</f>
        <v>3589</v>
      </c>
      <c r="D34" s="112">
        <f t="shared" ref="D34:H34" si="3">SUM(D32:D33)</f>
        <v>4475</v>
      </c>
      <c r="E34" s="112">
        <f t="shared" si="3"/>
        <v>4319</v>
      </c>
      <c r="F34" s="112">
        <f t="shared" si="3"/>
        <v>4191</v>
      </c>
      <c r="G34" s="112">
        <f t="shared" si="3"/>
        <v>5322</v>
      </c>
      <c r="H34" s="112">
        <f t="shared" si="3"/>
        <v>5332</v>
      </c>
    </row>
    <row r="35" spans="1:8" ht="15.75" thickTop="1" x14ac:dyDescent="0.2"/>
    <row r="36" spans="1:8" x14ac:dyDescent="0.2">
      <c r="A36" t="s">
        <v>57</v>
      </c>
      <c r="B36" s="35" t="s">
        <v>227</v>
      </c>
      <c r="C36" s="110">
        <f>C34+C20</f>
        <v>5317</v>
      </c>
      <c r="D36" s="110">
        <f t="shared" ref="D36:H36" si="4">D34+D20</f>
        <v>6522</v>
      </c>
      <c r="E36" s="110">
        <f t="shared" si="4"/>
        <v>6093</v>
      </c>
      <c r="F36" s="110">
        <f t="shared" si="4"/>
        <v>5174</v>
      </c>
      <c r="G36" s="110">
        <f t="shared" si="4"/>
        <v>6844</v>
      </c>
      <c r="H36" s="110">
        <f t="shared" si="4"/>
        <v>7008</v>
      </c>
    </row>
    <row r="37" spans="1:8" x14ac:dyDescent="0.2">
      <c r="B37" s="35" t="s">
        <v>228</v>
      </c>
      <c r="C37" s="117">
        <f>'Historical data'!C32+'Historical data'!C26</f>
        <v>1357.5599999999995</v>
      </c>
      <c r="D37" s="117">
        <f>'Historical data'!D32+'Historical data'!D26</f>
        <v>1285.8200000000006</v>
      </c>
      <c r="E37" s="117">
        <f>'Historical data'!E32+'Historical data'!E26</f>
        <v>1325.9500000000003</v>
      </c>
      <c r="F37" s="117">
        <f>'Historical data'!F32+'Historical data'!F26</f>
        <v>2521.4699999999993</v>
      </c>
      <c r="G37" s="117">
        <f>'Historical data'!G32+'Historical data'!G26</f>
        <v>2491.2200000000007</v>
      </c>
      <c r="H37" s="117">
        <f>'Historical data'!H32+'Historical data'!H26</f>
        <v>2848.4399999999996</v>
      </c>
    </row>
    <row r="39" spans="1:8" ht="15.75" thickBot="1" x14ac:dyDescent="0.25">
      <c r="A39" t="s">
        <v>57</v>
      </c>
      <c r="B39" s="108" t="s">
        <v>229</v>
      </c>
      <c r="C39" s="118">
        <f>C37/C36</f>
        <v>0.25532443107015224</v>
      </c>
      <c r="D39" s="118">
        <f t="shared" ref="D39:H39" si="5">D37/D36</f>
        <v>0.19715118061944198</v>
      </c>
      <c r="E39" s="118">
        <f t="shared" si="5"/>
        <v>0.21761857869686529</v>
      </c>
      <c r="F39" s="118">
        <f t="shared" si="5"/>
        <v>0.48733475067645909</v>
      </c>
      <c r="G39" s="118">
        <f t="shared" si="5"/>
        <v>0.36400058445353606</v>
      </c>
      <c r="H39" s="118">
        <f t="shared" si="5"/>
        <v>0.40645547945205474</v>
      </c>
    </row>
    <row r="40" spans="1:8" ht="15.75" thickTop="1" x14ac:dyDescent="0.2"/>
    <row r="41" spans="1:8" x14ac:dyDescent="0.2">
      <c r="B41" s="95" t="s">
        <v>230</v>
      </c>
      <c r="C41" s="96">
        <f>C5</f>
        <v>43160</v>
      </c>
      <c r="D41" s="96">
        <f t="shared" ref="D41:H41" si="6">D5</f>
        <v>43525</v>
      </c>
      <c r="E41" s="96">
        <f t="shared" si="6"/>
        <v>43891</v>
      </c>
      <c r="F41" s="96">
        <f t="shared" si="6"/>
        <v>44256</v>
      </c>
      <c r="G41" s="96">
        <f t="shared" si="6"/>
        <v>44621</v>
      </c>
      <c r="H41" s="96">
        <f t="shared" si="6"/>
        <v>44986</v>
      </c>
    </row>
    <row r="43" spans="1:8" x14ac:dyDescent="0.2">
      <c r="B43" s="113" t="s">
        <v>231</v>
      </c>
      <c r="C43" s="121">
        <f>-SUM('raw CFS'!G13:G14)</f>
        <v>2526</v>
      </c>
      <c r="D43" s="121">
        <f>-SUM('raw CFS'!H13:H14)</f>
        <v>1885</v>
      </c>
      <c r="E43" s="121">
        <f>-SUM('raw CFS'!I13:I14)</f>
        <v>1294</v>
      </c>
      <c r="F43" s="121">
        <f>-SUM('raw CFS'!J13:J14)</f>
        <v>998</v>
      </c>
      <c r="G43" s="121">
        <f>-SUM('raw CFS'!K13:K14)</f>
        <v>1949</v>
      </c>
      <c r="H43" s="121">
        <f>-SUM('raw CFS'!L13:L14)</f>
        <v>2762</v>
      </c>
    </row>
    <row r="44" spans="1:8" x14ac:dyDescent="0.2">
      <c r="B44" s="113" t="s">
        <v>232</v>
      </c>
      <c r="C44" s="121"/>
      <c r="D44" s="121">
        <f>D20-C20</f>
        <v>319</v>
      </c>
      <c r="E44" s="121">
        <f>E20-D20</f>
        <v>-273</v>
      </c>
      <c r="F44" s="121">
        <f>F20-E20</f>
        <v>-791</v>
      </c>
      <c r="G44" s="121">
        <f>G20-F20</f>
        <v>539</v>
      </c>
      <c r="H44" s="121">
        <f>H20-G20</f>
        <v>154</v>
      </c>
    </row>
    <row r="45" spans="1:8" s="1" customFormat="1" x14ac:dyDescent="0.2">
      <c r="B45" s="113"/>
      <c r="C45" s="121"/>
      <c r="D45" s="121"/>
      <c r="E45" s="121"/>
      <c r="F45" s="121"/>
      <c r="G45" s="121"/>
      <c r="H45" s="121"/>
    </row>
    <row r="46" spans="1:8" x14ac:dyDescent="0.2">
      <c r="B46" s="113" t="s">
        <v>228</v>
      </c>
      <c r="C46" s="121">
        <f t="shared" ref="C46:H46" si="7">C37</f>
        <v>1357.5599999999995</v>
      </c>
      <c r="D46" s="121">
        <f t="shared" si="7"/>
        <v>1285.8200000000006</v>
      </c>
      <c r="E46" s="121">
        <f t="shared" si="7"/>
        <v>1325.9500000000003</v>
      </c>
      <c r="F46" s="121">
        <f t="shared" si="7"/>
        <v>2521.4699999999993</v>
      </c>
      <c r="G46" s="121">
        <f t="shared" si="7"/>
        <v>2491.2200000000007</v>
      </c>
      <c r="H46" s="121">
        <f t="shared" si="7"/>
        <v>2848.4399999999996</v>
      </c>
    </row>
    <row r="47" spans="1:8" x14ac:dyDescent="0.2">
      <c r="B47" s="113" t="s">
        <v>233</v>
      </c>
      <c r="C47" s="122">
        <v>0.25</v>
      </c>
      <c r="D47" s="122">
        <v>0.25</v>
      </c>
      <c r="E47" s="122">
        <v>0.25</v>
      </c>
      <c r="F47" s="122">
        <v>0.25</v>
      </c>
      <c r="G47" s="122">
        <v>0.25</v>
      </c>
      <c r="H47" s="122">
        <v>0.25</v>
      </c>
    </row>
    <row r="48" spans="1:8" x14ac:dyDescent="0.2">
      <c r="B48" s="113" t="s">
        <v>236</v>
      </c>
      <c r="C48" s="123">
        <f>C46*(1-C47)</f>
        <v>1018.1699999999996</v>
      </c>
      <c r="D48" s="123">
        <f t="shared" ref="D48:H48" si="8">D46*(1-D47)</f>
        <v>964.36500000000046</v>
      </c>
      <c r="E48" s="123">
        <f t="shared" si="8"/>
        <v>994.4625000000002</v>
      </c>
      <c r="F48" s="123">
        <f t="shared" si="8"/>
        <v>1891.1024999999995</v>
      </c>
      <c r="G48" s="123">
        <f t="shared" si="8"/>
        <v>1868.4150000000004</v>
      </c>
      <c r="H48" s="123">
        <f t="shared" si="8"/>
        <v>2136.33</v>
      </c>
    </row>
    <row r="49" spans="1:8" s="1" customFormat="1" x14ac:dyDescent="0.2">
      <c r="B49" s="113"/>
      <c r="C49" s="123"/>
      <c r="D49" s="123"/>
      <c r="E49" s="123"/>
      <c r="F49" s="123"/>
      <c r="G49" s="123"/>
      <c r="H49" s="123"/>
    </row>
    <row r="50" spans="1:8" ht="15.75" thickBot="1" x14ac:dyDescent="0.25">
      <c r="B50" s="133" t="s">
        <v>234</v>
      </c>
      <c r="C50" s="133"/>
      <c r="D50" s="133">
        <f>SUM(D43:D44)</f>
        <v>2204</v>
      </c>
      <c r="E50" s="133">
        <f t="shared" ref="E50:H50" si="9">SUM(E43:E44)</f>
        <v>1021</v>
      </c>
      <c r="F50" s="133">
        <f t="shared" si="9"/>
        <v>207</v>
      </c>
      <c r="G50" s="133">
        <f t="shared" si="9"/>
        <v>2488</v>
      </c>
      <c r="H50" s="133">
        <f t="shared" si="9"/>
        <v>2916</v>
      </c>
    </row>
    <row r="51" spans="1:8" ht="16.5" thickTop="1" thickBot="1" x14ac:dyDescent="0.25">
      <c r="A51" t="s">
        <v>57</v>
      </c>
      <c r="B51" s="111" t="s">
        <v>235</v>
      </c>
      <c r="C51" s="111"/>
      <c r="D51" s="124">
        <f>D50/D48</f>
        <v>2.2854417155330182</v>
      </c>
      <c r="E51" s="124">
        <f>E50/E48</f>
        <v>1.0266852696808575</v>
      </c>
      <c r="F51" s="124">
        <f>F50/F48</f>
        <v>0.10945995788171188</v>
      </c>
      <c r="G51" s="124">
        <f>G50/G48</f>
        <v>1.3316099474688436</v>
      </c>
      <c r="H51" s="124">
        <f>H50/H48</f>
        <v>1.3649576610355143</v>
      </c>
    </row>
    <row r="52" spans="1:8" ht="15.75" thickTop="1" x14ac:dyDescent="0.2"/>
    <row r="53" spans="1:8" x14ac:dyDescent="0.2">
      <c r="G53" s="125" t="s">
        <v>240</v>
      </c>
      <c r="H53" s="126">
        <f>AVERAGE(D51:H51)</f>
        <v>1.2236309103199894</v>
      </c>
    </row>
    <row r="54" spans="1:8" x14ac:dyDescent="0.2">
      <c r="G54" s="125" t="s">
        <v>237</v>
      </c>
      <c r="H54" s="126">
        <f>MEDIAN(D51:H51)</f>
        <v>1.3316099474688436</v>
      </c>
    </row>
    <row r="56" spans="1:8" x14ac:dyDescent="0.2">
      <c r="B56" s="95" t="s">
        <v>238</v>
      </c>
      <c r="C56" s="96">
        <f t="shared" ref="C56:H56" si="10">C41</f>
        <v>43160</v>
      </c>
      <c r="D56" s="96">
        <f t="shared" si="10"/>
        <v>43525</v>
      </c>
      <c r="E56" s="96">
        <f t="shared" si="10"/>
        <v>43891</v>
      </c>
      <c r="F56" s="96">
        <f t="shared" si="10"/>
        <v>44256</v>
      </c>
      <c r="G56" s="96">
        <f t="shared" si="10"/>
        <v>44621</v>
      </c>
      <c r="H56" s="96">
        <f t="shared" si="10"/>
        <v>44986</v>
      </c>
    </row>
    <row r="58" spans="1:8" x14ac:dyDescent="0.2">
      <c r="B58" s="127" t="s">
        <v>235</v>
      </c>
      <c r="C58" s="127"/>
      <c r="D58" s="128">
        <f>D51</f>
        <v>2.2854417155330182</v>
      </c>
      <c r="E58" s="128">
        <f t="shared" ref="E58:H58" si="11">E51</f>
        <v>1.0266852696808575</v>
      </c>
      <c r="F58" s="128">
        <f t="shared" si="11"/>
        <v>0.10945995788171188</v>
      </c>
      <c r="G58" s="128">
        <f t="shared" si="11"/>
        <v>1.3316099474688436</v>
      </c>
      <c r="H58" s="128">
        <f t="shared" si="11"/>
        <v>1.3649576610355143</v>
      </c>
    </row>
    <row r="59" spans="1:8" ht="15.75" thickBot="1" x14ac:dyDescent="0.25">
      <c r="B59" s="129" t="s">
        <v>229</v>
      </c>
      <c r="C59" s="130">
        <f>C39</f>
        <v>0.25532443107015224</v>
      </c>
      <c r="D59" s="130">
        <f t="shared" ref="D59:H59" si="12">D39</f>
        <v>0.19715118061944198</v>
      </c>
      <c r="E59" s="130">
        <f t="shared" si="12"/>
        <v>0.21761857869686529</v>
      </c>
      <c r="F59" s="130">
        <f t="shared" si="12"/>
        <v>0.48733475067645909</v>
      </c>
      <c r="G59" s="130">
        <f t="shared" si="12"/>
        <v>0.36400058445353606</v>
      </c>
      <c r="H59" s="130">
        <f t="shared" si="12"/>
        <v>0.40645547945205474</v>
      </c>
    </row>
    <row r="60" spans="1:8" s="46" customFormat="1" ht="16.5" thickTop="1" thickBot="1" x14ac:dyDescent="0.25">
      <c r="B60" s="131" t="s">
        <v>239</v>
      </c>
      <c r="C60" s="131"/>
      <c r="D60" s="132">
        <f>D58*D59</f>
        <v>0.45057753245425741</v>
      </c>
      <c r="E60" s="132">
        <f t="shared" ref="E60:H60" si="13">E58*E59</f>
        <v>0.22342578915695605</v>
      </c>
      <c r="F60" s="132">
        <f t="shared" si="13"/>
        <v>5.3343641283339772E-2</v>
      </c>
      <c r="G60" s="132">
        <f t="shared" si="13"/>
        <v>0.48470679914280151</v>
      </c>
      <c r="H60" s="132">
        <f t="shared" si="13"/>
        <v>0.5547945205479452</v>
      </c>
    </row>
    <row r="61" spans="1:8" ht="15.75" thickTop="1" x14ac:dyDescent="0.2"/>
    <row r="62" spans="1:8" x14ac:dyDescent="0.2">
      <c r="G62" s="125" t="s">
        <v>240</v>
      </c>
      <c r="H62" s="126">
        <f>AVERAGE(D60:H60)</f>
        <v>0.35336965651705998</v>
      </c>
    </row>
    <row r="63" spans="1:8" x14ac:dyDescent="0.2">
      <c r="G63" s="125" t="s">
        <v>237</v>
      </c>
      <c r="H63" s="126">
        <f>MEDIAN(D60:H60)</f>
        <v>0.45057753245425741</v>
      </c>
    </row>
  </sheetData>
  <pageMargins left="0.7" right="0.7" top="0.75" bottom="0.75" header="0.3" footer="0.3"/>
  <ignoredErrors>
    <ignoredError sqref="C43:H43"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75DAA-8C15-4148-B3E3-4135612CC088}">
  <sheetPr>
    <tabColor rgb="FF92D050"/>
  </sheetPr>
  <dimension ref="B1:N48"/>
  <sheetViews>
    <sheetView showGridLines="0" topLeftCell="B1" zoomScaleNormal="100" workbookViewId="0">
      <selection activeCell="L35" sqref="L35"/>
    </sheetView>
  </sheetViews>
  <sheetFormatPr defaultRowHeight="15" x14ac:dyDescent="0.2"/>
  <cols>
    <col min="1" max="1" width="1.8828125" customWidth="1"/>
    <col min="2" max="2" width="40.7578125" bestFit="1" customWidth="1"/>
    <col min="3" max="11" width="12.64453125" customWidth="1"/>
    <col min="12" max="12" width="20.4453125" bestFit="1" customWidth="1"/>
  </cols>
  <sheetData>
    <row r="1" spans="2:14" s="1" customFormat="1" x14ac:dyDescent="0.2"/>
    <row r="2" spans="2:14" s="1" customFormat="1" x14ac:dyDescent="0.2"/>
    <row r="3" spans="2:14" s="1" customFormat="1" x14ac:dyDescent="0.2"/>
    <row r="4" spans="2:14" s="1" customFormat="1" x14ac:dyDescent="0.2"/>
    <row r="6" spans="2:14" ht="18.75" x14ac:dyDescent="0.25">
      <c r="B6" s="139" t="s">
        <v>246</v>
      </c>
      <c r="C6" s="138"/>
      <c r="D6" s="138"/>
      <c r="E6" s="138"/>
      <c r="F6" s="138"/>
      <c r="G6" s="138"/>
      <c r="H6" s="138"/>
      <c r="I6" s="138"/>
      <c r="J6" s="138"/>
      <c r="K6" s="138"/>
      <c r="L6" s="171"/>
      <c r="M6" s="171"/>
      <c r="N6" s="171"/>
    </row>
    <row r="8" spans="2:14" x14ac:dyDescent="0.2">
      <c r="B8" s="140" t="s">
        <v>247</v>
      </c>
    </row>
    <row r="10" spans="2:14" x14ac:dyDescent="0.2">
      <c r="B10" s="35" t="s">
        <v>310</v>
      </c>
    </row>
    <row r="11" spans="2:14" x14ac:dyDescent="0.2">
      <c r="B11" s="147"/>
      <c r="C11" s="147"/>
      <c r="D11" s="147"/>
      <c r="E11" s="147"/>
      <c r="F11" s="147"/>
      <c r="G11" s="172"/>
      <c r="H11" s="173" t="s">
        <v>253</v>
      </c>
      <c r="I11" s="173" t="s">
        <v>253</v>
      </c>
      <c r="J11" s="173" t="s">
        <v>256</v>
      </c>
      <c r="K11" s="173" t="s">
        <v>257</v>
      </c>
    </row>
    <row r="12" spans="2:14" ht="17.25" x14ac:dyDescent="0.2">
      <c r="B12" s="148" t="s">
        <v>252</v>
      </c>
      <c r="C12" s="148"/>
      <c r="D12" s="148" t="s">
        <v>248</v>
      </c>
      <c r="E12" s="155" t="s">
        <v>249</v>
      </c>
      <c r="F12" s="155" t="s">
        <v>250</v>
      </c>
      <c r="G12" s="155" t="s">
        <v>283</v>
      </c>
      <c r="H12" s="155" t="s">
        <v>254</v>
      </c>
      <c r="I12" s="155" t="s">
        <v>255</v>
      </c>
      <c r="J12" s="155" t="s">
        <v>284</v>
      </c>
      <c r="K12" s="155" t="s">
        <v>285</v>
      </c>
    </row>
    <row r="13" spans="2:14" x14ac:dyDescent="0.2">
      <c r="C13" s="1"/>
    </row>
    <row r="14" spans="2:14" x14ac:dyDescent="0.2">
      <c r="B14" s="142" t="s">
        <v>307</v>
      </c>
      <c r="C14" s="142"/>
      <c r="D14" s="162" t="s">
        <v>258</v>
      </c>
      <c r="E14" s="163">
        <v>2811.3</v>
      </c>
      <c r="F14" s="163">
        <v>86416.28</v>
      </c>
      <c r="G14" s="146">
        <v>0.3</v>
      </c>
      <c r="H14" s="164">
        <f>E14/F14</f>
        <v>3.2532064560057437E-2</v>
      </c>
      <c r="I14" s="164">
        <f>E14/(E14+F14)</f>
        <v>3.1507074382158523E-2</v>
      </c>
      <c r="J14" s="143">
        <v>1.1100000000000001</v>
      </c>
      <c r="K14" s="165">
        <f>J14/(1+(1-G14)*H14)</f>
        <v>1.0852853977617491</v>
      </c>
      <c r="L14" s="180"/>
    </row>
    <row r="15" spans="2:14" x14ac:dyDescent="0.2">
      <c r="B15" s="142" t="s">
        <v>309</v>
      </c>
      <c r="C15" s="142"/>
      <c r="D15" s="162" t="s">
        <v>258</v>
      </c>
      <c r="E15" s="163">
        <v>5292.18</v>
      </c>
      <c r="F15" s="163">
        <v>25461.82</v>
      </c>
      <c r="G15" s="146">
        <v>0.3</v>
      </c>
      <c r="H15" s="164">
        <f t="shared" ref="H15:H18" si="0">E15/F15</f>
        <v>0.20784767153329967</v>
      </c>
      <c r="I15" s="164">
        <f t="shared" ref="I15:I18" si="1">E15/(E15+F15)</f>
        <v>0.17208103010990441</v>
      </c>
      <c r="J15" s="143">
        <v>1.24</v>
      </c>
      <c r="K15" s="165">
        <f t="shared" ref="K15:K18" si="2">J15/(1+(1-G15)*H15)</f>
        <v>1.0825029916328908</v>
      </c>
    </row>
    <row r="16" spans="2:14" x14ac:dyDescent="0.2">
      <c r="B16" s="142" t="s">
        <v>337</v>
      </c>
      <c r="C16" s="142"/>
      <c r="D16" s="162" t="s">
        <v>258</v>
      </c>
      <c r="E16" s="163">
        <v>522.73</v>
      </c>
      <c r="F16" s="163">
        <v>83298.289999999994</v>
      </c>
      <c r="G16" s="146">
        <v>0.3</v>
      </c>
      <c r="H16" s="164">
        <f t="shared" si="0"/>
        <v>6.2753989307583634E-3</v>
      </c>
      <c r="I16" s="164">
        <f t="shared" si="1"/>
        <v>6.2362638870297697E-3</v>
      </c>
      <c r="J16" s="143">
        <v>1.07</v>
      </c>
      <c r="K16" s="165">
        <f t="shared" si="2"/>
        <v>1.0653202831638828</v>
      </c>
    </row>
    <row r="17" spans="2:12" x14ac:dyDescent="0.2">
      <c r="B17" s="142" t="s">
        <v>306</v>
      </c>
      <c r="C17" s="142"/>
      <c r="D17" s="162" t="s">
        <v>258</v>
      </c>
      <c r="E17" s="163">
        <v>11057.74</v>
      </c>
      <c r="F17" s="163">
        <v>236030</v>
      </c>
      <c r="G17" s="146">
        <v>0.3</v>
      </c>
      <c r="H17" s="164">
        <f t="shared" si="0"/>
        <v>4.6848875142990298E-2</v>
      </c>
      <c r="I17" s="164">
        <f t="shared" si="1"/>
        <v>4.4752281112773948E-2</v>
      </c>
      <c r="J17" s="143">
        <v>0.99</v>
      </c>
      <c r="K17" s="165">
        <f t="shared" si="2"/>
        <v>0.95856462780483875</v>
      </c>
    </row>
    <row r="18" spans="2:12" x14ac:dyDescent="0.2">
      <c r="B18" s="142" t="s">
        <v>308</v>
      </c>
      <c r="C18" s="142"/>
      <c r="D18" s="162" t="s">
        <v>258</v>
      </c>
      <c r="E18" s="163">
        <v>153.04</v>
      </c>
      <c r="F18" s="163">
        <v>33709.69</v>
      </c>
      <c r="G18" s="146">
        <v>0.3</v>
      </c>
      <c r="H18" s="164">
        <f t="shared" si="0"/>
        <v>4.5399408894000503E-3</v>
      </c>
      <c r="I18" s="164">
        <f t="shared" si="1"/>
        <v>4.5194229762337522E-3</v>
      </c>
      <c r="J18" s="143">
        <v>1.0780000000000001</v>
      </c>
      <c r="K18" s="165">
        <f t="shared" si="2"/>
        <v>1.0745850132913157</v>
      </c>
    </row>
    <row r="21" spans="2:12" x14ac:dyDescent="0.2">
      <c r="E21" s="1"/>
      <c r="F21" s="147" t="s">
        <v>259</v>
      </c>
      <c r="G21" s="149">
        <f>AVERAGE(G14:G18)</f>
        <v>0.3</v>
      </c>
      <c r="H21" s="153">
        <f t="shared" ref="H21:K21" si="3">AVERAGE(H14:H18)</f>
        <v>5.960879021130118E-2</v>
      </c>
      <c r="I21" s="153">
        <f t="shared" si="3"/>
        <v>5.1819214493620078E-2</v>
      </c>
      <c r="J21" s="151">
        <f t="shared" si="3"/>
        <v>1.0976000000000001</v>
      </c>
      <c r="K21" s="151">
        <f t="shared" si="3"/>
        <v>1.0532516627309354</v>
      </c>
    </row>
    <row r="22" spans="2:12" x14ac:dyDescent="0.2">
      <c r="E22" s="1"/>
      <c r="F22" s="148" t="s">
        <v>152</v>
      </c>
      <c r="G22" s="150">
        <f>MEDIAN(G14:G18)</f>
        <v>0.3</v>
      </c>
      <c r="H22" s="154">
        <f t="shared" ref="H22:K22" si="4">MEDIAN(H14:H18)</f>
        <v>3.2532064560057437E-2</v>
      </c>
      <c r="I22" s="154">
        <f t="shared" si="4"/>
        <v>3.1507074382158523E-2</v>
      </c>
      <c r="J22" s="152">
        <f>MEDIAN(J14:J18)</f>
        <v>1.0780000000000001</v>
      </c>
      <c r="K22" s="152">
        <f t="shared" si="4"/>
        <v>1.0745850132913157</v>
      </c>
    </row>
    <row r="25" spans="2:12" x14ac:dyDescent="0.2">
      <c r="B25" s="148" t="s">
        <v>260</v>
      </c>
      <c r="C25" s="148"/>
      <c r="D25" s="141"/>
      <c r="E25" s="141"/>
      <c r="G25" s="148" t="s">
        <v>262</v>
      </c>
      <c r="H25" s="141"/>
      <c r="I25" s="141"/>
      <c r="J25" s="141"/>
      <c r="K25" s="141"/>
    </row>
    <row r="26" spans="2:12" x14ac:dyDescent="0.2">
      <c r="C26" s="1"/>
    </row>
    <row r="27" spans="2:12" x14ac:dyDescent="0.2">
      <c r="B27" t="s">
        <v>278</v>
      </c>
      <c r="C27" s="1"/>
      <c r="E27" s="186">
        <f>269/E14</f>
        <v>9.5685270159712579E-2</v>
      </c>
      <c r="G27" t="s">
        <v>263</v>
      </c>
      <c r="K27" s="158">
        <v>7.3899999999999993E-2</v>
      </c>
      <c r="L27" s="185" t="s">
        <v>340</v>
      </c>
    </row>
    <row r="28" spans="2:12" x14ac:dyDescent="0.2">
      <c r="B28" s="46" t="s">
        <v>251</v>
      </c>
      <c r="C28" s="46"/>
      <c r="D28" s="46"/>
      <c r="E28" s="187">
        <f>G18</f>
        <v>0.3</v>
      </c>
      <c r="G28" t="s">
        <v>264</v>
      </c>
      <c r="K28" s="158">
        <f>'Data&gt;'!G12-WACC!K27</f>
        <v>8.0217391304347851E-2</v>
      </c>
    </row>
    <row r="29" spans="2:12" ht="17.25" x14ac:dyDescent="0.2">
      <c r="B29" s="156" t="s">
        <v>261</v>
      </c>
      <c r="C29" s="156"/>
      <c r="D29" s="156"/>
      <c r="E29" s="157">
        <f>E27*(1-E28)</f>
        <v>6.6979689111798801E-2</v>
      </c>
      <c r="G29" t="s">
        <v>265</v>
      </c>
      <c r="K29" s="144">
        <f>K38</f>
        <v>1.0935446872920354</v>
      </c>
    </row>
    <row r="30" spans="2:12" x14ac:dyDescent="0.2">
      <c r="C30" s="1"/>
      <c r="G30" s="156" t="s">
        <v>266</v>
      </c>
      <c r="H30" s="156"/>
      <c r="I30" s="156"/>
      <c r="J30" s="156"/>
      <c r="K30" s="160">
        <f>K27+(K28*K29)</f>
        <v>0.1616213020892959</v>
      </c>
    </row>
    <row r="31" spans="2:12" x14ac:dyDescent="0.2">
      <c r="C31" s="1"/>
    </row>
    <row r="32" spans="2:12" x14ac:dyDescent="0.2">
      <c r="C32" s="1"/>
    </row>
    <row r="33" spans="2:14" x14ac:dyDescent="0.2">
      <c r="B33" s="148" t="s">
        <v>267</v>
      </c>
      <c r="C33" s="148"/>
      <c r="D33" s="141"/>
      <c r="E33" s="141"/>
      <c r="G33" s="148" t="s">
        <v>272</v>
      </c>
      <c r="H33" s="148"/>
      <c r="I33" s="141"/>
      <c r="J33" s="141"/>
      <c r="K33" s="141"/>
      <c r="M33" s="46"/>
      <c r="N33" s="46"/>
    </row>
    <row r="34" spans="2:14" x14ac:dyDescent="0.2">
      <c r="C34" s="1"/>
      <c r="M34" s="46"/>
      <c r="N34" s="46"/>
    </row>
    <row r="35" spans="2:14" x14ac:dyDescent="0.2">
      <c r="C35" s="1"/>
      <c r="D35" s="155" t="s">
        <v>268</v>
      </c>
      <c r="E35" s="155" t="s">
        <v>269</v>
      </c>
      <c r="G35" t="s">
        <v>273</v>
      </c>
      <c r="K35" s="144">
        <f>K21</f>
        <v>1.0532516627309354</v>
      </c>
      <c r="M35" s="46"/>
      <c r="N35" s="46"/>
    </row>
    <row r="36" spans="2:14" x14ac:dyDescent="0.2">
      <c r="B36" t="s">
        <v>249</v>
      </c>
      <c r="C36" s="163">
        <f>E14</f>
        <v>2811.3</v>
      </c>
      <c r="D36" s="39">
        <f>C36/$C$38</f>
        <v>3.1507074382158523E-2</v>
      </c>
      <c r="E36" s="158">
        <f>I21</f>
        <v>5.1819214493620078E-2</v>
      </c>
      <c r="G36" t="s">
        <v>274</v>
      </c>
      <c r="K36" s="40">
        <f>E40</f>
        <v>5.4651196571069309E-2</v>
      </c>
      <c r="M36" s="46"/>
      <c r="N36" s="46"/>
    </row>
    <row r="37" spans="2:14" x14ac:dyDescent="0.2">
      <c r="B37" t="s">
        <v>270</v>
      </c>
      <c r="C37" s="163">
        <f>F14</f>
        <v>86416.28</v>
      </c>
      <c r="D37" s="39">
        <f>C37/$C$38</f>
        <v>0.96849292561784139</v>
      </c>
      <c r="E37" s="40">
        <f>E38-E36</f>
        <v>0.94818078550637996</v>
      </c>
      <c r="G37" t="s">
        <v>251</v>
      </c>
      <c r="K37" s="94">
        <f>E28</f>
        <v>0.3</v>
      </c>
      <c r="M37" s="46"/>
      <c r="N37" s="46"/>
    </row>
    <row r="38" spans="2:14" x14ac:dyDescent="0.2">
      <c r="B38" s="156" t="s">
        <v>271</v>
      </c>
      <c r="C38" s="168">
        <f>SUM(C36:C37)</f>
        <v>89227.58</v>
      </c>
      <c r="D38" s="159">
        <f>C38/$C$38</f>
        <v>1</v>
      </c>
      <c r="E38" s="159">
        <f>D38</f>
        <v>1</v>
      </c>
      <c r="G38" s="156" t="s">
        <v>275</v>
      </c>
      <c r="H38" s="156"/>
      <c r="I38" s="156"/>
      <c r="J38" s="156"/>
      <c r="K38" s="161">
        <f>K35*(1+(1-K37)*K36)</f>
        <v>1.0935446872920354</v>
      </c>
      <c r="M38" s="46"/>
      <c r="N38" s="46"/>
    </row>
    <row r="40" spans="2:14" x14ac:dyDescent="0.2">
      <c r="B40" t="s">
        <v>276</v>
      </c>
      <c r="D40" s="166">
        <f>D36/D37</f>
        <v>3.2532064560057437E-2</v>
      </c>
      <c r="E40" s="166">
        <f>E36/E37</f>
        <v>5.4651196571069309E-2</v>
      </c>
      <c r="G40" s="148" t="s">
        <v>277</v>
      </c>
      <c r="H40" s="148"/>
      <c r="I40" s="141"/>
      <c r="J40" s="141"/>
      <c r="K40" s="141"/>
    </row>
    <row r="42" spans="2:14" x14ac:dyDescent="0.2">
      <c r="B42" s="169" t="s">
        <v>279</v>
      </c>
      <c r="G42" t="s">
        <v>262</v>
      </c>
      <c r="J42" s="181"/>
      <c r="K42" s="191">
        <f>K30</f>
        <v>0.1616213020892959</v>
      </c>
    </row>
    <row r="43" spans="2:14" x14ac:dyDescent="0.2">
      <c r="B43" s="170" t="s">
        <v>281</v>
      </c>
      <c r="G43" t="s">
        <v>348</v>
      </c>
      <c r="J43" s="167"/>
      <c r="K43" s="167">
        <f>E37</f>
        <v>0.94818078550637996</v>
      </c>
    </row>
    <row r="44" spans="2:14" x14ac:dyDescent="0.2">
      <c r="B44" s="170" t="s">
        <v>347</v>
      </c>
      <c r="G44" s="46"/>
      <c r="H44" s="46"/>
      <c r="I44" s="46"/>
      <c r="J44" s="167"/>
      <c r="K44" s="167"/>
    </row>
    <row r="45" spans="2:14" x14ac:dyDescent="0.2">
      <c r="B45" s="170" t="s">
        <v>280</v>
      </c>
      <c r="G45" s="46" t="s">
        <v>260</v>
      </c>
      <c r="H45" s="46"/>
      <c r="I45" s="46"/>
      <c r="J45" s="46"/>
      <c r="K45" s="189">
        <f>E29</f>
        <v>6.6979689111798801E-2</v>
      </c>
    </row>
    <row r="46" spans="2:14" x14ac:dyDescent="0.2">
      <c r="B46" s="170" t="s">
        <v>282</v>
      </c>
      <c r="G46" s="188" t="s">
        <v>349</v>
      </c>
      <c r="K46" s="190">
        <f>E36</f>
        <v>5.1819214493620078E-2</v>
      </c>
    </row>
    <row r="48" spans="2:14" x14ac:dyDescent="0.2">
      <c r="G48" s="192" t="s">
        <v>350</v>
      </c>
      <c r="H48" s="192"/>
      <c r="I48" s="192"/>
      <c r="J48" s="192"/>
      <c r="K48" s="193">
        <f>(K42*K43)+(K45*K46)</f>
        <v>0.15671704804639283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646D-00B1-464D-BCA3-D9970E18D213}">
  <dimension ref="B5:AQ114"/>
  <sheetViews>
    <sheetView showGridLines="0" topLeftCell="M1" zoomScale="110" zoomScaleNormal="110" workbookViewId="0">
      <selection activeCell="U1" sqref="U1"/>
    </sheetView>
  </sheetViews>
  <sheetFormatPr defaultRowHeight="15" x14ac:dyDescent="0.2"/>
  <cols>
    <col min="1" max="1" width="2.6875" customWidth="1"/>
    <col min="2" max="4" width="12.64453125" customWidth="1"/>
    <col min="5" max="5" width="2.6875" customWidth="1"/>
    <col min="6" max="6" width="12.64453125" customWidth="1"/>
    <col min="7" max="7" width="12.64453125" style="1" customWidth="1"/>
    <col min="8" max="8" width="2.6875" style="1" customWidth="1"/>
    <col min="9" max="9" width="12.64453125" style="1" customWidth="1"/>
    <col min="10" max="10" width="12.64453125" customWidth="1"/>
    <col min="11" max="11" width="2.6875" style="1" customWidth="1"/>
    <col min="12" max="13" width="12.64453125" style="1" customWidth="1"/>
    <col min="14" max="14" width="2.6875" style="1" customWidth="1"/>
    <col min="15" max="16" width="12.64453125" style="1" customWidth="1"/>
    <col min="17" max="17" width="2.6875" style="1" customWidth="1"/>
    <col min="18" max="18" width="12.64453125" customWidth="1"/>
    <col min="19" max="19" width="14.390625" bestFit="1" customWidth="1"/>
    <col min="20" max="20" width="12.64453125" customWidth="1"/>
    <col min="21" max="21" width="18.83203125" bestFit="1" customWidth="1"/>
    <col min="22" max="22" width="20.4453125" bestFit="1" customWidth="1"/>
    <col min="23" max="25" width="10.76171875" customWidth="1"/>
    <col min="37" max="37" width="18.29296875" bestFit="1" customWidth="1"/>
  </cols>
  <sheetData>
    <row r="5" spans="2:43" x14ac:dyDescent="0.2">
      <c r="B5" s="35" t="s">
        <v>304</v>
      </c>
      <c r="AL5" t="s">
        <v>242</v>
      </c>
      <c r="AM5" t="s">
        <v>339</v>
      </c>
      <c r="AN5" t="s">
        <v>338</v>
      </c>
    </row>
    <row r="6" spans="2:43" x14ac:dyDescent="0.2">
      <c r="AJ6" s="1">
        <v>1</v>
      </c>
      <c r="AK6" s="1" t="s">
        <v>322</v>
      </c>
      <c r="AL6" s="1">
        <v>8314.4</v>
      </c>
      <c r="AM6" s="1">
        <v>240025.4</v>
      </c>
      <c r="AN6" s="1">
        <v>11057.74</v>
      </c>
      <c r="AO6" s="1">
        <v>0.2</v>
      </c>
    </row>
    <row r="7" spans="2:43" x14ac:dyDescent="0.2">
      <c r="B7" s="280" t="s">
        <v>289</v>
      </c>
      <c r="C7" s="280"/>
      <c r="D7" s="280"/>
      <c r="F7" s="280" t="s">
        <v>313</v>
      </c>
      <c r="G7" s="280"/>
      <c r="I7" s="280" t="s">
        <v>320</v>
      </c>
      <c r="J7" s="280"/>
      <c r="L7" s="280" t="s">
        <v>317</v>
      </c>
      <c r="M7" s="280"/>
      <c r="O7" s="280" t="s">
        <v>321</v>
      </c>
      <c r="P7" s="280"/>
      <c r="R7" s="280" t="s">
        <v>290</v>
      </c>
      <c r="S7" s="280"/>
      <c r="T7" s="176"/>
      <c r="U7" s="280" t="s">
        <v>298</v>
      </c>
      <c r="V7" s="280"/>
      <c r="AJ7" s="1">
        <v>2</v>
      </c>
      <c r="AK7" s="1" t="s">
        <v>323</v>
      </c>
      <c r="AL7" s="1">
        <v>24000.5</v>
      </c>
      <c r="AM7" s="1">
        <v>86595.6</v>
      </c>
      <c r="AN7" s="1">
        <v>2811.13</v>
      </c>
      <c r="AO7" s="1">
        <v>0.15</v>
      </c>
    </row>
    <row r="8" spans="2:43" x14ac:dyDescent="0.2">
      <c r="U8" s="280" t="s">
        <v>316</v>
      </c>
      <c r="V8" s="280"/>
      <c r="W8" s="1"/>
      <c r="X8" s="1"/>
      <c r="Y8" t="s">
        <v>291</v>
      </c>
      <c r="Z8" s="144">
        <f>SLOPE(D11:D114,S11:S114)</f>
        <v>1.1103520412500056</v>
      </c>
      <c r="AA8" t="s">
        <v>295</v>
      </c>
      <c r="AJ8" s="1">
        <v>3</v>
      </c>
      <c r="AK8" s="1" t="s">
        <v>324</v>
      </c>
      <c r="AL8" s="1">
        <v>419.15</v>
      </c>
      <c r="AM8" s="1">
        <v>83228.289999999994</v>
      </c>
      <c r="AN8" s="1">
        <v>522.73</v>
      </c>
      <c r="AO8" s="1">
        <v>0.02</v>
      </c>
    </row>
    <row r="9" spans="2:43" x14ac:dyDescent="0.2">
      <c r="B9" s="175" t="s">
        <v>286</v>
      </c>
      <c r="C9" s="175" t="s">
        <v>287</v>
      </c>
      <c r="D9" s="175" t="s">
        <v>288</v>
      </c>
      <c r="F9" s="183" t="s">
        <v>311</v>
      </c>
      <c r="G9" s="183" t="s">
        <v>312</v>
      </c>
      <c r="H9" s="182"/>
      <c r="I9" s="183" t="s">
        <v>311</v>
      </c>
      <c r="J9" s="183" t="s">
        <v>312</v>
      </c>
      <c r="L9" s="183" t="s">
        <v>311</v>
      </c>
      <c r="M9" s="183" t="s">
        <v>312</v>
      </c>
      <c r="O9" s="183" t="s">
        <v>311</v>
      </c>
      <c r="P9" s="183" t="s">
        <v>312</v>
      </c>
      <c r="R9" s="184" t="s">
        <v>287</v>
      </c>
      <c r="S9" s="184" t="s">
        <v>288</v>
      </c>
      <c r="U9" s="178" t="s">
        <v>299</v>
      </c>
      <c r="V9" s="144">
        <f>Z11</f>
        <v>1.1103520412500045</v>
      </c>
      <c r="W9" s="1"/>
      <c r="X9" s="1"/>
      <c r="Y9" t="s">
        <v>292</v>
      </c>
      <c r="Z9" s="144">
        <f>_xlfn.COVARIANCE.S(D11:D114,S11:S114)/_xlfn.VAR.S(S10:S114)</f>
        <v>1.110352041250005</v>
      </c>
      <c r="AA9" t="s">
        <v>296</v>
      </c>
      <c r="AJ9" s="1">
        <v>4</v>
      </c>
      <c r="AK9" s="1" t="s">
        <v>325</v>
      </c>
      <c r="AL9" s="1">
        <v>2039</v>
      </c>
      <c r="AM9" s="1">
        <v>38227.21</v>
      </c>
      <c r="AN9" s="1">
        <v>3855</v>
      </c>
      <c r="AO9" s="1">
        <v>0.25</v>
      </c>
    </row>
    <row r="10" spans="2:43" x14ac:dyDescent="0.2">
      <c r="B10" s="174">
        <v>44396</v>
      </c>
      <c r="C10" s="144">
        <v>27703.449218999998</v>
      </c>
      <c r="F10" s="144">
        <v>3013.29126</v>
      </c>
      <c r="G10" s="144"/>
      <c r="H10" s="144"/>
      <c r="I10" s="144">
        <v>389.37347399999999</v>
      </c>
      <c r="L10" s="144">
        <v>7411.3808589999999</v>
      </c>
      <c r="O10" s="144">
        <v>2251.4658199999999</v>
      </c>
      <c r="R10" s="144">
        <v>15856.049805000001</v>
      </c>
      <c r="U10" t="s">
        <v>300</v>
      </c>
      <c r="V10" s="40">
        <v>0.75</v>
      </c>
      <c r="W10" s="1"/>
      <c r="X10" s="1"/>
      <c r="AJ10" s="1">
        <v>5</v>
      </c>
      <c r="AK10" s="1" t="s">
        <v>326</v>
      </c>
      <c r="AL10" s="1">
        <v>1799.55</v>
      </c>
      <c r="AM10" s="1">
        <v>33793.29</v>
      </c>
      <c r="AN10" s="1">
        <v>153.04</v>
      </c>
      <c r="AO10" s="1">
        <v>0.01</v>
      </c>
    </row>
    <row r="11" spans="2:43" x14ac:dyDescent="0.2">
      <c r="B11" s="174">
        <v>44403</v>
      </c>
      <c r="C11" s="144">
        <v>28039.884765999999</v>
      </c>
      <c r="D11" s="39">
        <f>C11/C10-1</f>
        <v>1.2144175418029146E-2</v>
      </c>
      <c r="F11" s="144">
        <v>3191.2546390000002</v>
      </c>
      <c r="G11" s="39">
        <f>F11/F10-1</f>
        <v>5.9059468084741384E-2</v>
      </c>
      <c r="H11" s="39"/>
      <c r="I11" s="144">
        <v>397.93914799999999</v>
      </c>
      <c r="J11" s="38">
        <f>I11/I10-1</f>
        <v>2.1998606921025177E-2</v>
      </c>
      <c r="L11" s="144">
        <v>7538.9228519999997</v>
      </c>
      <c r="M11" s="39">
        <f>L11/L10-1</f>
        <v>1.7208937905966559E-2</v>
      </c>
      <c r="O11" s="144">
        <v>2305.9333499999998</v>
      </c>
      <c r="P11" s="39">
        <f>O11/O10-1</f>
        <v>2.419203059453956E-2</v>
      </c>
      <c r="R11" s="144">
        <v>15763.049805000001</v>
      </c>
      <c r="S11" s="39">
        <f>R11/R10-1</f>
        <v>-5.8652691650018518E-3</v>
      </c>
      <c r="U11" s="1"/>
      <c r="V11" s="40"/>
      <c r="W11" s="1"/>
      <c r="X11" s="1"/>
      <c r="Y11" t="s">
        <v>293</v>
      </c>
      <c r="Z11" s="144">
        <f>Z32</f>
        <v>1.1103520412500045</v>
      </c>
      <c r="AA11" t="s">
        <v>297</v>
      </c>
      <c r="AJ11" s="1">
        <v>6</v>
      </c>
      <c r="AK11" s="1" t="s">
        <v>327</v>
      </c>
      <c r="AL11" s="1">
        <v>3279.55</v>
      </c>
      <c r="AM11" s="1">
        <v>25340.51</v>
      </c>
      <c r="AN11" s="1">
        <v>5292.18</v>
      </c>
      <c r="AO11" s="1">
        <v>1.1299999999999999</v>
      </c>
      <c r="AQ11" s="38"/>
    </row>
    <row r="12" spans="2:43" x14ac:dyDescent="0.2">
      <c r="B12" s="174">
        <v>44410</v>
      </c>
      <c r="C12" s="144">
        <v>28159.767577999999</v>
      </c>
      <c r="D12" s="39">
        <f t="shared" ref="D12:D75" si="0">C12/C11-1</f>
        <v>4.2754388258172682E-3</v>
      </c>
      <c r="F12" s="144">
        <v>3288.2416990000002</v>
      </c>
      <c r="G12" s="39">
        <f t="shared" ref="G12:G75" si="1">F12/F11-1</f>
        <v>3.0391513987862551E-2</v>
      </c>
      <c r="H12" s="39"/>
      <c r="I12" s="144">
        <v>390.92208900000003</v>
      </c>
      <c r="J12" s="38">
        <f t="shared" ref="J12:J75" si="2">I12/I11-1</f>
        <v>-1.7633497571844736E-2</v>
      </c>
      <c r="L12" s="144">
        <v>7448.3369140000004</v>
      </c>
      <c r="M12" s="39">
        <f t="shared" ref="M12:M75" si="3">L12/L11-1</f>
        <v>-1.2015766678918571E-2</v>
      </c>
      <c r="O12" s="144">
        <v>2255.1259770000001</v>
      </c>
      <c r="P12" s="39">
        <f t="shared" ref="P12:P75" si="4">O12/O11-1</f>
        <v>-2.2033322428854918E-2</v>
      </c>
      <c r="R12" s="144">
        <v>16238.200194999999</v>
      </c>
      <c r="S12" s="39">
        <f t="shared" ref="S12:S75" si="5">R12/R11-1</f>
        <v>3.0143303223547635E-2</v>
      </c>
      <c r="U12" t="s">
        <v>302</v>
      </c>
      <c r="V12" s="177">
        <v>1</v>
      </c>
      <c r="W12" s="1"/>
      <c r="X12" s="1"/>
      <c r="AJ12" s="1">
        <v>7</v>
      </c>
      <c r="AK12" s="1" t="s">
        <v>328</v>
      </c>
      <c r="AL12" s="1">
        <v>922.15</v>
      </c>
      <c r="AM12" s="1">
        <v>21789.71</v>
      </c>
      <c r="AN12" s="1">
        <v>4507.1099999999997</v>
      </c>
      <c r="AO12" s="1">
        <v>0.66</v>
      </c>
    </row>
    <row r="13" spans="2:43" x14ac:dyDescent="0.2">
      <c r="B13" s="174">
        <v>44417</v>
      </c>
      <c r="C13" s="144">
        <v>26387.841797000001</v>
      </c>
      <c r="D13" s="39">
        <f t="shared" si="0"/>
        <v>-6.2924020096825184E-2</v>
      </c>
      <c r="F13" s="144">
        <v>3073.4938959999999</v>
      </c>
      <c r="G13" s="39">
        <f t="shared" si="1"/>
        <v>-6.5307791414879302E-2</v>
      </c>
      <c r="H13" s="39"/>
      <c r="I13" s="144">
        <v>389.51873799999998</v>
      </c>
      <c r="J13" s="38">
        <f t="shared" si="2"/>
        <v>-3.5898483086230781E-3</v>
      </c>
      <c r="L13" s="144">
        <v>7418.1162109999996</v>
      </c>
      <c r="M13" s="39">
        <f t="shared" si="3"/>
        <v>-4.0573759416276944E-3</v>
      </c>
      <c r="O13" s="144">
        <v>2223.5822750000002</v>
      </c>
      <c r="P13" s="39">
        <f t="shared" si="4"/>
        <v>-1.3987556492060182E-2</v>
      </c>
      <c r="R13" s="144">
        <v>16529.099609000001</v>
      </c>
      <c r="S13" s="39">
        <f t="shared" si="5"/>
        <v>1.79145108760006E-2</v>
      </c>
      <c r="U13" s="1" t="s">
        <v>301</v>
      </c>
      <c r="V13" s="40">
        <v>0.25</v>
      </c>
      <c r="W13" s="1"/>
      <c r="X13" s="1"/>
      <c r="AJ13" s="1">
        <v>8</v>
      </c>
      <c r="AK13" s="1" t="s">
        <v>329</v>
      </c>
      <c r="AL13" s="1">
        <v>357.6</v>
      </c>
      <c r="AM13" s="1">
        <v>12771.93</v>
      </c>
      <c r="AN13" s="1">
        <v>4785.1400000000003</v>
      </c>
      <c r="AO13" s="1">
        <v>0.54</v>
      </c>
    </row>
    <row r="14" spans="2:43" x14ac:dyDescent="0.2">
      <c r="B14" s="174">
        <v>44424</v>
      </c>
      <c r="C14" s="144">
        <v>26081.0625</v>
      </c>
      <c r="D14" s="39">
        <f t="shared" si="0"/>
        <v>-1.1625782030983633E-2</v>
      </c>
      <c r="F14" s="144">
        <v>3076.5573730000001</v>
      </c>
      <c r="G14" s="39">
        <f t="shared" si="1"/>
        <v>9.967408765598762E-4</v>
      </c>
      <c r="H14" s="39"/>
      <c r="I14" s="144">
        <v>379.21087599999998</v>
      </c>
      <c r="J14" s="38">
        <f t="shared" si="2"/>
        <v>-2.6463070949875545E-2</v>
      </c>
      <c r="L14" s="144">
        <v>7450.580078</v>
      </c>
      <c r="M14" s="39">
        <f t="shared" si="3"/>
        <v>4.3762952852990367E-3</v>
      </c>
      <c r="O14" s="144">
        <v>2206.1965329999998</v>
      </c>
      <c r="P14" s="39">
        <f t="shared" si="4"/>
        <v>-7.8187986095547002E-3</v>
      </c>
      <c r="R14" s="144">
        <v>16450.5</v>
      </c>
      <c r="S14" s="39">
        <f t="shared" si="5"/>
        <v>-4.7552262893499897E-3</v>
      </c>
      <c r="W14" s="1"/>
      <c r="X14" s="1"/>
      <c r="AJ14" s="1">
        <v>9</v>
      </c>
      <c r="AK14" s="1" t="s">
        <v>330</v>
      </c>
      <c r="AL14" s="1">
        <v>1223.5</v>
      </c>
      <c r="AM14" s="1">
        <v>9422.15</v>
      </c>
      <c r="AN14" s="1">
        <v>4462.2700000000004</v>
      </c>
      <c r="AO14" s="1">
        <v>0.75</v>
      </c>
    </row>
    <row r="15" spans="2:43" x14ac:dyDescent="0.2">
      <c r="B15" s="174">
        <v>44431</v>
      </c>
      <c r="C15" s="144">
        <v>26682.814452999999</v>
      </c>
      <c r="D15" s="39">
        <f t="shared" si="0"/>
        <v>2.3072371112181411E-2</v>
      </c>
      <c r="F15" s="144">
        <v>3088.5646969999998</v>
      </c>
      <c r="G15" s="39">
        <f t="shared" si="1"/>
        <v>3.9028441677624315E-3</v>
      </c>
      <c r="H15" s="39"/>
      <c r="I15" s="144">
        <v>396.874481</v>
      </c>
      <c r="J15" s="38">
        <f t="shared" si="2"/>
        <v>4.6579900835966637E-2</v>
      </c>
      <c r="L15" s="144">
        <v>7522.4174800000001</v>
      </c>
      <c r="M15" s="39">
        <f t="shared" si="3"/>
        <v>9.6418535534059657E-3</v>
      </c>
      <c r="O15" s="144">
        <v>2261.6274410000001</v>
      </c>
      <c r="P15" s="39">
        <f t="shared" si="4"/>
        <v>2.5125099768253722E-2</v>
      </c>
      <c r="R15" s="144">
        <v>16705.199218999998</v>
      </c>
      <c r="S15" s="39">
        <f t="shared" si="5"/>
        <v>1.5482764596820742E-2</v>
      </c>
      <c r="U15" s="179" t="s">
        <v>303</v>
      </c>
      <c r="V15" s="145">
        <f>(V9*V10)+(V12*V13)</f>
        <v>1.0827640309375033</v>
      </c>
      <c r="W15" s="1"/>
      <c r="X15" s="1"/>
      <c r="Y15" t="s">
        <v>160</v>
      </c>
      <c r="AJ15" s="1">
        <v>10</v>
      </c>
      <c r="AK15" s="1" t="s">
        <v>331</v>
      </c>
      <c r="AL15" s="1">
        <v>677.2</v>
      </c>
      <c r="AM15" s="1">
        <v>7968.66</v>
      </c>
      <c r="AN15" s="1">
        <v>1879.73</v>
      </c>
      <c r="AO15" s="1">
        <v>0.67</v>
      </c>
    </row>
    <row r="16" spans="2:43" ht="15.75" thickBot="1" x14ac:dyDescent="0.25">
      <c r="B16" s="174">
        <v>44438</v>
      </c>
      <c r="C16" s="144">
        <v>30197.552734000001</v>
      </c>
      <c r="D16" s="39">
        <f t="shared" si="0"/>
        <v>0.13172292177764744</v>
      </c>
      <c r="F16" s="144">
        <v>3458.7121579999998</v>
      </c>
      <c r="G16" s="39">
        <f t="shared" si="1"/>
        <v>0.11984449001814124</v>
      </c>
      <c r="H16" s="39"/>
      <c r="I16" s="144">
        <v>423.05532799999997</v>
      </c>
      <c r="J16" s="38">
        <f t="shared" si="2"/>
        <v>6.5967574770825266E-2</v>
      </c>
      <c r="L16" s="144">
        <v>7884.5883789999998</v>
      </c>
      <c r="M16" s="39">
        <f t="shared" si="3"/>
        <v>4.8145546290525809E-2</v>
      </c>
      <c r="O16" s="144">
        <v>2378.0751949999999</v>
      </c>
      <c r="P16" s="39">
        <f t="shared" si="4"/>
        <v>5.1488477672746669E-2</v>
      </c>
      <c r="R16" s="144">
        <v>17323.599609000001</v>
      </c>
      <c r="S16" s="39">
        <f t="shared" si="5"/>
        <v>3.7018438504860862E-2</v>
      </c>
      <c r="W16" s="1"/>
      <c r="X16" s="1"/>
      <c r="AJ16" s="1">
        <v>11</v>
      </c>
      <c r="AK16" s="1" t="s">
        <v>332</v>
      </c>
      <c r="AL16" s="1">
        <v>212.45</v>
      </c>
      <c r="AM16" s="1">
        <v>6583.75</v>
      </c>
      <c r="AN16" s="1">
        <v>2945.28</v>
      </c>
      <c r="AO16" s="1">
        <v>0.51</v>
      </c>
    </row>
    <row r="17" spans="2:41" x14ac:dyDescent="0.2">
      <c r="B17" s="174">
        <v>44445</v>
      </c>
      <c r="C17" s="144">
        <v>30426.259765999999</v>
      </c>
      <c r="D17" s="39">
        <f t="shared" si="0"/>
        <v>7.5736942663731099E-3</v>
      </c>
      <c r="F17" s="144">
        <v>3457.3781739999999</v>
      </c>
      <c r="G17" s="39">
        <f t="shared" si="1"/>
        <v>-3.8568806511241061E-4</v>
      </c>
      <c r="H17" s="39"/>
      <c r="I17" s="144">
        <v>424.26516700000002</v>
      </c>
      <c r="J17" s="38">
        <f t="shared" si="2"/>
        <v>2.8597654252922045E-3</v>
      </c>
      <c r="L17" s="144">
        <v>7894.3325199999999</v>
      </c>
      <c r="M17" s="39">
        <f t="shared" si="3"/>
        <v>1.2358465060715584E-3</v>
      </c>
      <c r="O17" s="144">
        <v>2368.2026369999999</v>
      </c>
      <c r="P17" s="39">
        <f t="shared" si="4"/>
        <v>-4.1514910969836505E-3</v>
      </c>
      <c r="R17" s="144">
        <v>17369.25</v>
      </c>
      <c r="S17" s="39">
        <f t="shared" si="5"/>
        <v>2.6351562048503308E-3</v>
      </c>
      <c r="W17" s="1"/>
      <c r="X17" s="1"/>
      <c r="Y17" s="79" t="s">
        <v>161</v>
      </c>
      <c r="Z17" s="79"/>
      <c r="AJ17" s="1">
        <v>12</v>
      </c>
      <c r="AK17" s="1" t="s">
        <v>333</v>
      </c>
      <c r="AL17" s="1">
        <v>125.85</v>
      </c>
      <c r="AM17" s="1">
        <v>6334.76</v>
      </c>
      <c r="AN17" s="1">
        <v>1650.9</v>
      </c>
      <c r="AO17" s="1">
        <v>1.36</v>
      </c>
    </row>
    <row r="18" spans="2:41" x14ac:dyDescent="0.2">
      <c r="B18" s="174">
        <v>44452</v>
      </c>
      <c r="C18" s="144">
        <v>30315.253906000002</v>
      </c>
      <c r="D18" s="39">
        <f t="shared" si="0"/>
        <v>-3.6483570722696257E-3</v>
      </c>
      <c r="F18" s="144">
        <v>3339.7272950000001</v>
      </c>
      <c r="G18" s="39">
        <f t="shared" si="1"/>
        <v>-3.4028929749355119E-2</v>
      </c>
      <c r="H18" s="39"/>
      <c r="I18" s="144">
        <v>406.311218</v>
      </c>
      <c r="J18" s="38">
        <f t="shared" si="2"/>
        <v>-4.231775407571936E-2</v>
      </c>
      <c r="L18" s="144">
        <v>7667.8330079999996</v>
      </c>
      <c r="M18" s="39">
        <f t="shared" si="3"/>
        <v>-2.8691407592240648E-2</v>
      </c>
      <c r="O18" s="144">
        <v>2306.6557619999999</v>
      </c>
      <c r="P18" s="39">
        <f t="shared" si="4"/>
        <v>-2.5988855023810986E-2</v>
      </c>
      <c r="R18" s="144">
        <v>17585.150390999999</v>
      </c>
      <c r="S18" s="39">
        <f t="shared" si="5"/>
        <v>1.2430035321041366E-2</v>
      </c>
      <c r="U18" s="280" t="s">
        <v>305</v>
      </c>
      <c r="V18" s="280"/>
      <c r="W18" s="1"/>
      <c r="X18" s="1"/>
      <c r="Y18" s="76" t="s">
        <v>162</v>
      </c>
      <c r="Z18" s="76">
        <v>0.52247084007449729</v>
      </c>
      <c r="AJ18" s="1">
        <v>13</v>
      </c>
      <c r="AK18" s="1" t="s">
        <v>334</v>
      </c>
      <c r="AL18" s="1">
        <v>143.4</v>
      </c>
      <c r="AM18" s="1">
        <v>5795.95</v>
      </c>
      <c r="AN18" s="1">
        <v>35.35</v>
      </c>
      <c r="AO18" s="1">
        <v>0.01</v>
      </c>
    </row>
    <row r="19" spans="2:41" x14ac:dyDescent="0.2">
      <c r="B19" s="174">
        <v>44459</v>
      </c>
      <c r="C19" s="144">
        <v>29176.775390999999</v>
      </c>
      <c r="D19" s="39">
        <f t="shared" si="0"/>
        <v>-3.7554642244796543E-2</v>
      </c>
      <c r="F19" s="144">
        <v>3097.9038089999999</v>
      </c>
      <c r="G19" s="39">
        <f t="shared" si="1"/>
        <v>-7.2408153313008761E-2</v>
      </c>
      <c r="H19" s="39"/>
      <c r="I19" s="144">
        <v>397.50363199999998</v>
      </c>
      <c r="J19" s="38">
        <f t="shared" si="2"/>
        <v>-2.1676945183433327E-2</v>
      </c>
      <c r="L19" s="144">
        <v>7478.5693359999996</v>
      </c>
      <c r="M19" s="39">
        <f t="shared" si="3"/>
        <v>-2.4682810880536588E-2</v>
      </c>
      <c r="O19" s="144">
        <v>2214.0947270000001</v>
      </c>
      <c r="P19" s="39">
        <f t="shared" si="4"/>
        <v>-4.0127806031942992E-2</v>
      </c>
      <c r="R19" s="144">
        <v>17853.199218999998</v>
      </c>
      <c r="S19" s="39">
        <f t="shared" si="5"/>
        <v>1.5242907910368864E-2</v>
      </c>
      <c r="W19" s="1"/>
      <c r="X19" s="1"/>
      <c r="Y19" s="76" t="s">
        <v>163</v>
      </c>
      <c r="Z19" s="76">
        <v>0.27297577872815093</v>
      </c>
      <c r="AJ19" s="1">
        <v>14</v>
      </c>
      <c r="AK19" s="1" t="s">
        <v>335</v>
      </c>
      <c r="AL19" s="1">
        <v>176</v>
      </c>
      <c r="AM19" s="1">
        <v>3988.41</v>
      </c>
      <c r="AN19" s="1">
        <v>181.67</v>
      </c>
      <c r="AO19" s="1">
        <v>0.12</v>
      </c>
    </row>
    <row r="20" spans="2:41" x14ac:dyDescent="0.2">
      <c r="B20" s="174">
        <v>44466</v>
      </c>
      <c r="C20" s="144">
        <v>28867.019531000002</v>
      </c>
      <c r="D20" s="39">
        <f t="shared" si="0"/>
        <v>-1.0616521388979283E-2</v>
      </c>
      <c r="F20" s="144">
        <v>3170.786865</v>
      </c>
      <c r="G20" s="39">
        <f t="shared" si="1"/>
        <v>2.3526571673484709E-2</v>
      </c>
      <c r="H20" s="39"/>
      <c r="I20" s="144">
        <v>389.32510400000001</v>
      </c>
      <c r="J20" s="38">
        <f t="shared" si="2"/>
        <v>-2.0574725214082989E-2</v>
      </c>
      <c r="L20" s="144">
        <v>7440.8354490000002</v>
      </c>
      <c r="M20" s="39">
        <f t="shared" si="3"/>
        <v>-5.0456023478123724E-3</v>
      </c>
      <c r="O20" s="144">
        <v>2155.100586</v>
      </c>
      <c r="P20" s="39">
        <f t="shared" si="4"/>
        <v>-2.6644813467368911E-2</v>
      </c>
      <c r="R20" s="144">
        <v>17532.050781000002</v>
      </c>
      <c r="S20" s="39">
        <f t="shared" si="5"/>
        <v>-1.7988285128091697E-2</v>
      </c>
      <c r="U20" t="s">
        <v>314</v>
      </c>
      <c r="V20" s="144">
        <f>_xlfn.COVARIANCE.S(G11:G114,S11:S114)/_xlfn.VAR.S(S10:S114)</f>
        <v>1.3236314701244842</v>
      </c>
      <c r="W20" s="1"/>
      <c r="X20" s="1"/>
      <c r="Y20" s="76" t="s">
        <v>164</v>
      </c>
      <c r="Z20" s="76">
        <v>0.26584809028430928</v>
      </c>
      <c r="AJ20" s="1">
        <v>15</v>
      </c>
      <c r="AK20" s="1" t="s">
        <v>336</v>
      </c>
      <c r="AL20" s="1">
        <v>147.15</v>
      </c>
      <c r="AM20" s="1">
        <v>3014.67</v>
      </c>
      <c r="AN20" s="1">
        <v>398.31</v>
      </c>
      <c r="AO20" s="1">
        <v>0.25</v>
      </c>
    </row>
    <row r="21" spans="2:41" x14ac:dyDescent="0.2">
      <c r="B21" s="174">
        <v>44473</v>
      </c>
      <c r="C21" s="144">
        <v>27535.345702999999</v>
      </c>
      <c r="D21" s="39">
        <f t="shared" si="0"/>
        <v>-4.6131323899577859E-2</v>
      </c>
      <c r="F21" s="144">
        <v>3355.5886230000001</v>
      </c>
      <c r="G21" s="39">
        <f t="shared" si="1"/>
        <v>5.8282617491541844E-2</v>
      </c>
      <c r="H21" s="39"/>
      <c r="I21" s="144">
        <v>390.09939600000001</v>
      </c>
      <c r="J21" s="38">
        <f t="shared" si="2"/>
        <v>1.988805735989807E-3</v>
      </c>
      <c r="L21" s="144">
        <v>7293.8793949999999</v>
      </c>
      <c r="M21" s="39">
        <f t="shared" si="3"/>
        <v>-1.9749940044669345E-2</v>
      </c>
      <c r="O21" s="144">
        <v>2158.375</v>
      </c>
      <c r="P21" s="39">
        <f t="shared" si="4"/>
        <v>1.5193787340002096E-3</v>
      </c>
      <c r="R21" s="144">
        <v>17895.199218999998</v>
      </c>
      <c r="S21" s="39">
        <f t="shared" si="5"/>
        <v>2.0713403271313213E-2</v>
      </c>
      <c r="U21" t="s">
        <v>300</v>
      </c>
      <c r="V21" s="40">
        <v>0.75</v>
      </c>
      <c r="W21" s="1"/>
      <c r="X21" s="1"/>
      <c r="Y21" s="76" t="s">
        <v>165</v>
      </c>
      <c r="Z21" s="76">
        <v>3.6305392938796928E-2</v>
      </c>
    </row>
    <row r="22" spans="2:41" ht="15.75" thickBot="1" x14ac:dyDescent="0.25">
      <c r="B22" s="174">
        <v>44480</v>
      </c>
      <c r="C22" s="144">
        <v>27733.054688</v>
      </c>
      <c r="D22" s="39">
        <f t="shared" si="0"/>
        <v>7.1801889517755235E-3</v>
      </c>
      <c r="F22" s="144">
        <v>3415.3774410000001</v>
      </c>
      <c r="G22" s="39">
        <f t="shared" si="1"/>
        <v>1.781768408385731E-2</v>
      </c>
      <c r="H22" s="39"/>
      <c r="I22" s="144">
        <v>395.61627199999998</v>
      </c>
      <c r="J22" s="38">
        <f t="shared" si="2"/>
        <v>1.4142231586536491E-2</v>
      </c>
      <c r="L22" s="144">
        <v>7353.2885740000002</v>
      </c>
      <c r="M22" s="39">
        <f t="shared" si="3"/>
        <v>8.1450728456966548E-3</v>
      </c>
      <c r="O22" s="144">
        <v>2224.7858890000002</v>
      </c>
      <c r="P22" s="39">
        <f t="shared" si="4"/>
        <v>3.0768929866218819E-2</v>
      </c>
      <c r="R22" s="144">
        <v>18338.550781000002</v>
      </c>
      <c r="S22" s="39">
        <f t="shared" si="5"/>
        <v>2.4774888313580767E-2</v>
      </c>
      <c r="W22" s="1"/>
      <c r="X22" s="1"/>
      <c r="Y22" s="77" t="s">
        <v>166</v>
      </c>
      <c r="Z22" s="77">
        <v>104</v>
      </c>
    </row>
    <row r="23" spans="2:41" x14ac:dyDescent="0.2">
      <c r="B23" s="174">
        <v>44487</v>
      </c>
      <c r="C23" s="144">
        <v>27516.546875</v>
      </c>
      <c r="D23" s="39">
        <f t="shared" si="0"/>
        <v>-7.8068505411948985E-3</v>
      </c>
      <c r="F23" s="144">
        <v>3137.7299800000001</v>
      </c>
      <c r="G23" s="39">
        <f t="shared" si="1"/>
        <v>-8.1293346283480394E-2</v>
      </c>
      <c r="H23" s="39"/>
      <c r="I23" s="144">
        <v>364.01535000000001</v>
      </c>
      <c r="J23" s="38">
        <f t="shared" si="2"/>
        <v>-7.9877710389020473E-2</v>
      </c>
      <c r="L23" s="144">
        <v>7108.7919920000004</v>
      </c>
      <c r="M23" s="39">
        <f t="shared" si="3"/>
        <v>-3.3249964222062278E-2</v>
      </c>
      <c r="O23" s="144">
        <v>2130.5876459999999</v>
      </c>
      <c r="P23" s="39">
        <f t="shared" si="4"/>
        <v>-4.2340363387660895E-2</v>
      </c>
      <c r="R23" s="144">
        <v>18114.900390999999</v>
      </c>
      <c r="S23" s="39">
        <f t="shared" si="5"/>
        <v>-1.2195641447944716E-2</v>
      </c>
      <c r="U23" t="s">
        <v>315</v>
      </c>
      <c r="V23" s="144">
        <v>1</v>
      </c>
      <c r="W23" s="1"/>
      <c r="X23" s="1"/>
    </row>
    <row r="24" spans="2:41" ht="15.75" thickBot="1" x14ac:dyDescent="0.25">
      <c r="B24" s="174">
        <v>44494</v>
      </c>
      <c r="C24" s="144">
        <v>28406.431640999999</v>
      </c>
      <c r="D24" s="39">
        <f t="shared" si="0"/>
        <v>3.2339986919234454E-2</v>
      </c>
      <c r="F24" s="144">
        <v>3276.7761230000001</v>
      </c>
      <c r="G24" s="39">
        <f t="shared" si="1"/>
        <v>4.4314247524893879E-2</v>
      </c>
      <c r="H24" s="39"/>
      <c r="I24" s="144">
        <v>391.793182</v>
      </c>
      <c r="J24" s="38">
        <f t="shared" si="2"/>
        <v>7.6309507277646293E-2</v>
      </c>
      <c r="L24" s="144">
        <v>7592.4653319999998</v>
      </c>
      <c r="M24" s="39">
        <f t="shared" si="3"/>
        <v>6.8038752652252121E-2</v>
      </c>
      <c r="O24" s="144">
        <v>2247.4685060000002</v>
      </c>
      <c r="P24" s="39">
        <f t="shared" si="4"/>
        <v>5.4858508270914985E-2</v>
      </c>
      <c r="R24" s="144">
        <v>17671.650390999999</v>
      </c>
      <c r="S24" s="39">
        <f t="shared" si="5"/>
        <v>-2.4468806917658736E-2</v>
      </c>
      <c r="U24" t="s">
        <v>301</v>
      </c>
      <c r="V24" s="40">
        <v>0.25</v>
      </c>
      <c r="W24" s="1"/>
      <c r="X24" s="1"/>
      <c r="Y24" t="s">
        <v>167</v>
      </c>
    </row>
    <row r="25" spans="2:41" x14ac:dyDescent="0.2">
      <c r="B25" s="174">
        <v>44501</v>
      </c>
      <c r="C25" s="144">
        <v>28815.087890999999</v>
      </c>
      <c r="D25" s="39">
        <f t="shared" si="0"/>
        <v>1.4386046623686921E-2</v>
      </c>
      <c r="F25" s="144">
        <v>3465.8771969999998</v>
      </c>
      <c r="G25" s="39">
        <f t="shared" si="1"/>
        <v>5.7709488503862483E-2</v>
      </c>
      <c r="H25" s="39"/>
      <c r="I25" s="144">
        <v>399.92327899999998</v>
      </c>
      <c r="J25" s="38">
        <f t="shared" si="2"/>
        <v>2.0750991526953033E-2</v>
      </c>
      <c r="L25" s="144">
        <v>7835.8183589999999</v>
      </c>
      <c r="M25" s="39">
        <f t="shared" si="3"/>
        <v>3.2051911514740627E-2</v>
      </c>
      <c r="O25" s="144">
        <v>2341.9079590000001</v>
      </c>
      <c r="P25" s="39">
        <f t="shared" si="4"/>
        <v>4.202036769275197E-2</v>
      </c>
      <c r="R25" s="144">
        <v>17916.800781000002</v>
      </c>
      <c r="S25" s="39">
        <f t="shared" si="5"/>
        <v>1.3872523764099309E-2</v>
      </c>
      <c r="W25" s="1"/>
      <c r="X25" s="1"/>
      <c r="Y25" s="78"/>
      <c r="Z25" s="78" t="s">
        <v>171</v>
      </c>
      <c r="AA25" s="78" t="s">
        <v>172</v>
      </c>
      <c r="AB25" s="78" t="s">
        <v>173</v>
      </c>
      <c r="AC25" s="78" t="s">
        <v>174</v>
      </c>
      <c r="AD25" s="78" t="s">
        <v>175</v>
      </c>
    </row>
    <row r="26" spans="2:41" x14ac:dyDescent="0.2">
      <c r="B26" s="174">
        <v>44508</v>
      </c>
      <c r="C26" s="144">
        <v>29154.058593999998</v>
      </c>
      <c r="D26" s="39">
        <f t="shared" si="0"/>
        <v>1.176365327366824E-2</v>
      </c>
      <c r="F26" s="144">
        <v>3634.2246089999999</v>
      </c>
      <c r="G26" s="39">
        <f t="shared" si="1"/>
        <v>4.8572815028102623E-2</v>
      </c>
      <c r="H26" s="39"/>
      <c r="I26" s="144">
        <v>409.263214</v>
      </c>
      <c r="J26" s="38">
        <f t="shared" si="2"/>
        <v>2.3354316916370355E-2</v>
      </c>
      <c r="L26" s="144">
        <v>8034.626953</v>
      </c>
      <c r="M26" s="39">
        <f t="shared" si="3"/>
        <v>2.5371771637821894E-2</v>
      </c>
      <c r="O26" s="144">
        <v>2477.233643</v>
      </c>
      <c r="P26" s="39">
        <f t="shared" si="4"/>
        <v>5.7784373412260059E-2</v>
      </c>
      <c r="R26" s="144">
        <v>18102.75</v>
      </c>
      <c r="S26" s="39">
        <f t="shared" si="5"/>
        <v>1.0378483372834646E-2</v>
      </c>
      <c r="U26" s="179" t="s">
        <v>303</v>
      </c>
      <c r="V26" s="145">
        <f>(V20*V21)+(V23*V24)</f>
        <v>1.2427236025933632</v>
      </c>
      <c r="W26" s="1"/>
      <c r="X26" s="1"/>
      <c r="Y26" s="76" t="s">
        <v>168</v>
      </c>
      <c r="Z26" s="76">
        <v>1</v>
      </c>
      <c r="AA26" s="76">
        <v>5.0479807322024006E-2</v>
      </c>
      <c r="AB26" s="76">
        <v>5.0479807322024006E-2</v>
      </c>
      <c r="AC26" s="76">
        <v>38.29793920973114</v>
      </c>
      <c r="AD26" s="76">
        <v>1.2794053328187246E-8</v>
      </c>
    </row>
    <row r="27" spans="2:41" x14ac:dyDescent="0.2">
      <c r="B27" s="174">
        <v>44515</v>
      </c>
      <c r="C27" s="144">
        <v>26950.210938</v>
      </c>
      <c r="D27" s="39">
        <f t="shared" si="0"/>
        <v>-7.5593168233995311E-2</v>
      </c>
      <c r="F27" s="144">
        <v>3472.251221</v>
      </c>
      <c r="G27" s="39">
        <f t="shared" si="1"/>
        <v>-4.4568898575745641E-2</v>
      </c>
      <c r="H27" s="39"/>
      <c r="I27" s="144">
        <v>387.970123</v>
      </c>
      <c r="J27" s="38">
        <f t="shared" si="2"/>
        <v>-5.2027864395357115E-2</v>
      </c>
      <c r="L27" s="144">
        <v>7723.3642579999996</v>
      </c>
      <c r="M27" s="39">
        <f t="shared" si="3"/>
        <v>-3.8740155183406455E-2</v>
      </c>
      <c r="O27" s="144">
        <v>2350.6245119999999</v>
      </c>
      <c r="P27" s="39">
        <f t="shared" si="4"/>
        <v>-5.1109079419199621E-2</v>
      </c>
      <c r="R27" s="144">
        <v>17764.800781000002</v>
      </c>
      <c r="S27" s="39">
        <f t="shared" si="5"/>
        <v>-1.8668391211279944E-2</v>
      </c>
      <c r="W27" s="1"/>
      <c r="X27" s="1"/>
      <c r="Y27" s="76" t="s">
        <v>169</v>
      </c>
      <c r="Z27" s="76">
        <v>102</v>
      </c>
      <c r="AA27" s="76">
        <v>0.1344443187569255</v>
      </c>
      <c r="AB27" s="76">
        <v>1.318081556440446E-3</v>
      </c>
      <c r="AC27" s="76"/>
      <c r="AD27" s="76"/>
    </row>
    <row r="28" spans="2:41" ht="15.75" thickBot="1" x14ac:dyDescent="0.25">
      <c r="B28" s="174">
        <v>44522</v>
      </c>
      <c r="C28" s="144">
        <v>25738.472656000002</v>
      </c>
      <c r="D28" s="39">
        <f t="shared" si="0"/>
        <v>-4.4962107524414208E-2</v>
      </c>
      <c r="F28" s="144">
        <v>3204.6835940000001</v>
      </c>
      <c r="G28" s="39">
        <f t="shared" si="1"/>
        <v>-7.7058833007751404E-2</v>
      </c>
      <c r="H28" s="39"/>
      <c r="I28" s="144">
        <v>360.38586400000003</v>
      </c>
      <c r="J28" s="38">
        <f t="shared" si="2"/>
        <v>-7.109892583146149E-2</v>
      </c>
      <c r="L28" s="144">
        <v>7352.5424800000001</v>
      </c>
      <c r="M28" s="39">
        <f t="shared" si="3"/>
        <v>-4.8012985742048264E-2</v>
      </c>
      <c r="O28" s="144">
        <v>2226.3752439999998</v>
      </c>
      <c r="P28" s="39">
        <f t="shared" si="4"/>
        <v>-5.2857981938716381E-2</v>
      </c>
      <c r="R28" s="144">
        <v>17026.449218999998</v>
      </c>
      <c r="S28" s="39">
        <f t="shared" si="5"/>
        <v>-4.1562614245001406E-2</v>
      </c>
      <c r="W28" s="1"/>
      <c r="X28" s="1"/>
      <c r="Y28" s="77" t="s">
        <v>38</v>
      </c>
      <c r="Z28" s="77">
        <v>103</v>
      </c>
      <c r="AA28" s="77">
        <v>0.18492412607894951</v>
      </c>
      <c r="AB28" s="77"/>
      <c r="AC28" s="77"/>
      <c r="AD28" s="77"/>
    </row>
    <row r="29" spans="2:41" ht="15.75" thickBot="1" x14ac:dyDescent="0.25">
      <c r="B29" s="174">
        <v>44529</v>
      </c>
      <c r="C29" s="144">
        <v>25706.976563</v>
      </c>
      <c r="D29" s="39">
        <f t="shared" si="0"/>
        <v>-1.2236970476435793E-3</v>
      </c>
      <c r="F29" s="144">
        <v>3289.0798340000001</v>
      </c>
      <c r="G29" s="39">
        <f t="shared" si="1"/>
        <v>2.6335280075078682E-2</v>
      </c>
      <c r="H29" s="39"/>
      <c r="I29" s="144">
        <v>364.49929800000001</v>
      </c>
      <c r="J29" s="38">
        <f t="shared" si="2"/>
        <v>1.1413971553556834E-2</v>
      </c>
      <c r="L29" s="144">
        <v>7290.5986329999996</v>
      </c>
      <c r="M29" s="39">
        <f t="shared" si="3"/>
        <v>-8.4248200086564085E-3</v>
      </c>
      <c r="O29" s="144">
        <v>2178.890625</v>
      </c>
      <c r="P29" s="39">
        <f t="shared" si="4"/>
        <v>-2.1328219098720735E-2</v>
      </c>
      <c r="R29" s="144">
        <v>17196.699218999998</v>
      </c>
      <c r="S29" s="39">
        <f t="shared" si="5"/>
        <v>9.9991488424970854E-3</v>
      </c>
      <c r="U29" s="280" t="s">
        <v>320</v>
      </c>
      <c r="V29" s="280"/>
      <c r="W29" s="1"/>
      <c r="X29" s="1"/>
    </row>
    <row r="30" spans="2:41" x14ac:dyDescent="0.2">
      <c r="B30" s="174">
        <v>44536</v>
      </c>
      <c r="C30" s="144">
        <v>26195.439452999999</v>
      </c>
      <c r="D30" s="39">
        <f t="shared" si="0"/>
        <v>1.9001180041648302E-2</v>
      </c>
      <c r="F30" s="144">
        <v>3376.5888669999999</v>
      </c>
      <c r="G30" s="39">
        <f t="shared" si="1"/>
        <v>2.6605931572532215E-2</v>
      </c>
      <c r="H30" s="39"/>
      <c r="I30" s="144">
        <v>365.51556399999998</v>
      </c>
      <c r="J30" s="38">
        <f t="shared" si="2"/>
        <v>2.7881151090720646E-3</v>
      </c>
      <c r="L30" s="144">
        <v>7397.9819340000004</v>
      </c>
      <c r="M30" s="39">
        <f t="shared" si="3"/>
        <v>1.4729010113647467E-2</v>
      </c>
      <c r="O30" s="144">
        <v>2230.2761230000001</v>
      </c>
      <c r="P30" s="39">
        <f t="shared" si="4"/>
        <v>2.3583330622664933E-2</v>
      </c>
      <c r="R30" s="144">
        <v>17511.300781000002</v>
      </c>
      <c r="S30" s="39">
        <f t="shared" si="5"/>
        <v>1.8294299271828462E-2</v>
      </c>
      <c r="U30" s="1"/>
      <c r="V30" s="1"/>
      <c r="W30" s="1"/>
      <c r="X30" s="1"/>
      <c r="Y30" s="78"/>
      <c r="Z30" s="78" t="s">
        <v>176</v>
      </c>
      <c r="AA30" s="78" t="s">
        <v>165</v>
      </c>
      <c r="AB30" s="78" t="s">
        <v>177</v>
      </c>
      <c r="AC30" s="78" t="s">
        <v>178</v>
      </c>
      <c r="AD30" s="78" t="s">
        <v>179</v>
      </c>
      <c r="AE30" s="78" t="s">
        <v>180</v>
      </c>
      <c r="AF30" s="78" t="s">
        <v>181</v>
      </c>
      <c r="AG30" s="78" t="s">
        <v>182</v>
      </c>
    </row>
    <row r="31" spans="2:41" x14ac:dyDescent="0.2">
      <c r="B31" s="174">
        <v>44543</v>
      </c>
      <c r="C31" s="144">
        <v>26015.291015999999</v>
      </c>
      <c r="D31" s="39">
        <f t="shared" si="0"/>
        <v>-6.8770916144859084E-3</v>
      </c>
      <c r="F31" s="144">
        <v>3421.3071289999998</v>
      </c>
      <c r="G31" s="39">
        <f t="shared" si="1"/>
        <v>1.3243620636506748E-2</v>
      </c>
      <c r="H31" s="39"/>
      <c r="I31" s="144">
        <v>356.756348</v>
      </c>
      <c r="J31" s="38">
        <f t="shared" si="2"/>
        <v>-2.396400280235389E-2</v>
      </c>
      <c r="L31" s="144">
        <v>7295.4702150000003</v>
      </c>
      <c r="M31" s="39">
        <f t="shared" si="3"/>
        <v>-1.3856713886914451E-2</v>
      </c>
      <c r="O31" s="144">
        <v>2133.4770509999998</v>
      </c>
      <c r="P31" s="39">
        <f t="shared" si="4"/>
        <v>-4.3402281449255398E-2</v>
      </c>
      <c r="R31" s="144">
        <v>16985.199218999998</v>
      </c>
      <c r="S31" s="39">
        <f t="shared" si="5"/>
        <v>-3.0043545512668635E-2</v>
      </c>
      <c r="U31" s="1" t="s">
        <v>314</v>
      </c>
      <c r="V31" s="144">
        <f>_xlfn.COVARIANCE.S(J10:J114,S10:S114)/_xlfn.VAR.S(S10:S114)</f>
        <v>1.0919002026838205</v>
      </c>
      <c r="W31" s="1"/>
      <c r="X31" s="1"/>
      <c r="Y31" s="76" t="s">
        <v>170</v>
      </c>
      <c r="Z31" s="76">
        <v>-2.998901826753643E-3</v>
      </c>
      <c r="AA31" s="76">
        <v>3.5837222041730865E-3</v>
      </c>
      <c r="AB31" s="76">
        <v>-0.83681202277943134</v>
      </c>
      <c r="AC31" s="76">
        <v>0.40465451538432251</v>
      </c>
      <c r="AD31" s="76">
        <v>-1.0107197826737477E-2</v>
      </c>
      <c r="AE31" s="76">
        <v>4.1093941732301912E-3</v>
      </c>
      <c r="AF31" s="76">
        <v>-1.0107197826737477E-2</v>
      </c>
      <c r="AG31" s="76">
        <v>4.1093941732301912E-3</v>
      </c>
    </row>
    <row r="32" spans="2:41" ht="15.75" thickBot="1" x14ac:dyDescent="0.25">
      <c r="B32" s="174">
        <v>44550</v>
      </c>
      <c r="C32" s="144">
        <v>26100.703125</v>
      </c>
      <c r="D32" s="39">
        <f t="shared" si="0"/>
        <v>3.2831502421968306E-3</v>
      </c>
      <c r="F32" s="144">
        <v>3397.3420409999999</v>
      </c>
      <c r="G32" s="39">
        <f t="shared" si="1"/>
        <v>-7.0046584818020952E-3</v>
      </c>
      <c r="H32" s="39"/>
      <c r="I32" s="144">
        <v>356.07882699999999</v>
      </c>
      <c r="J32" s="38">
        <f t="shared" si="2"/>
        <v>-1.899114069863761E-3</v>
      </c>
      <c r="L32" s="144">
        <v>7183.5625</v>
      </c>
      <c r="M32" s="39">
        <f t="shared" si="3"/>
        <v>-1.5339342318184013E-2</v>
      </c>
      <c r="O32" s="144">
        <v>2047.7548830000001</v>
      </c>
      <c r="P32" s="39">
        <f t="shared" si="4"/>
        <v>-4.0179559447250823E-2</v>
      </c>
      <c r="R32" s="144">
        <v>17003.75</v>
      </c>
      <c r="S32" s="39">
        <f t="shared" si="5"/>
        <v>1.0921732951623131E-3</v>
      </c>
      <c r="U32" s="1" t="s">
        <v>300</v>
      </c>
      <c r="V32" s="40">
        <v>0.75</v>
      </c>
      <c r="W32" s="1"/>
      <c r="X32" s="1"/>
      <c r="Y32" s="77" t="s">
        <v>294</v>
      </c>
      <c r="Z32" s="77">
        <v>1.1103520412500045</v>
      </c>
      <c r="AA32" s="77">
        <v>0.17942088419640256</v>
      </c>
      <c r="AB32" s="77">
        <v>6.1885328802335007</v>
      </c>
      <c r="AC32" s="77">
        <v>1.2794053328187246E-8</v>
      </c>
      <c r="AD32" s="77">
        <v>0.75447156815928029</v>
      </c>
      <c r="AE32" s="77">
        <v>1.4662325143407289</v>
      </c>
      <c r="AF32" s="77">
        <v>0.75447156815928029</v>
      </c>
      <c r="AG32" s="77">
        <v>1.4662325143407289</v>
      </c>
    </row>
    <row r="33" spans="2:22" x14ac:dyDescent="0.2">
      <c r="B33" s="174">
        <v>44557</v>
      </c>
      <c r="C33" s="144">
        <v>26771.798827999999</v>
      </c>
      <c r="D33" s="39">
        <f t="shared" si="0"/>
        <v>2.5711786375486767E-2</v>
      </c>
      <c r="F33" s="144">
        <v>3358.899414</v>
      </c>
      <c r="G33" s="39">
        <f t="shared" si="1"/>
        <v>-1.1315500922799204E-2</v>
      </c>
      <c r="H33" s="39"/>
      <c r="I33" s="144">
        <v>365.37039199999998</v>
      </c>
      <c r="J33" s="38">
        <f t="shared" si="2"/>
        <v>2.6094123816016612E-2</v>
      </c>
      <c r="L33" s="144">
        <v>7547.7221680000002</v>
      </c>
      <c r="M33" s="39">
        <f t="shared" si="3"/>
        <v>5.0693464141225331E-2</v>
      </c>
      <c r="O33" s="144">
        <v>2134.1513669999999</v>
      </c>
      <c r="P33" s="39">
        <f t="shared" si="4"/>
        <v>4.219083285662939E-2</v>
      </c>
      <c r="R33" s="144">
        <v>17354.050781000002</v>
      </c>
      <c r="S33" s="39">
        <f t="shared" si="5"/>
        <v>2.0601383871204915E-2</v>
      </c>
      <c r="U33" s="1"/>
      <c r="V33" s="1"/>
    </row>
    <row r="34" spans="2:22" x14ac:dyDescent="0.2">
      <c r="B34" s="174">
        <v>44564</v>
      </c>
      <c r="C34" s="144">
        <v>26830.126952999999</v>
      </c>
      <c r="D34" s="39">
        <f t="shared" si="0"/>
        <v>2.1787151985841469E-3</v>
      </c>
      <c r="F34" s="144">
        <v>3492.3618160000001</v>
      </c>
      <c r="G34" s="39">
        <f t="shared" si="1"/>
        <v>3.973396805028595E-2</v>
      </c>
      <c r="H34" s="39"/>
      <c r="I34" s="144">
        <v>384.48577899999998</v>
      </c>
      <c r="J34" s="38">
        <f t="shared" si="2"/>
        <v>5.2317832584529711E-2</v>
      </c>
      <c r="L34" s="144">
        <v>7514.8115230000003</v>
      </c>
      <c r="M34" s="39">
        <f t="shared" si="3"/>
        <v>-4.3603413410645553E-3</v>
      </c>
      <c r="O34" s="144">
        <v>2200.4660640000002</v>
      </c>
      <c r="P34" s="39">
        <f t="shared" si="4"/>
        <v>3.1073099136927462E-2</v>
      </c>
      <c r="R34" s="144">
        <v>17812.699218999998</v>
      </c>
      <c r="S34" s="39">
        <f t="shared" si="5"/>
        <v>2.6428898001275014E-2</v>
      </c>
      <c r="U34" s="1" t="s">
        <v>315</v>
      </c>
      <c r="V34" s="144">
        <v>1</v>
      </c>
    </row>
    <row r="35" spans="2:22" x14ac:dyDescent="0.2">
      <c r="B35" s="174">
        <v>44571</v>
      </c>
      <c r="C35" s="144">
        <v>26862.070313</v>
      </c>
      <c r="D35" s="39">
        <f t="shared" si="0"/>
        <v>1.1905780414664946E-3</v>
      </c>
      <c r="F35" s="144">
        <v>3451.0534670000002</v>
      </c>
      <c r="G35" s="39">
        <f t="shared" si="1"/>
        <v>-1.1828198559138081E-2</v>
      </c>
      <c r="H35" s="39"/>
      <c r="I35" s="144">
        <v>389.760651</v>
      </c>
      <c r="J35" s="38">
        <f t="shared" si="2"/>
        <v>1.3719290252345084E-2</v>
      </c>
      <c r="L35" s="144">
        <v>7616.8251950000003</v>
      </c>
      <c r="M35" s="39">
        <f t="shared" si="3"/>
        <v>1.3575014048958556E-2</v>
      </c>
      <c r="O35" s="144">
        <v>2271.2592770000001</v>
      </c>
      <c r="P35" s="39">
        <f t="shared" si="4"/>
        <v>3.2171917648805781E-2</v>
      </c>
      <c r="R35" s="144">
        <v>18255.75</v>
      </c>
      <c r="S35" s="39">
        <f t="shared" si="5"/>
        <v>2.4872748119354027E-2</v>
      </c>
      <c r="U35" s="1" t="s">
        <v>301</v>
      </c>
      <c r="V35" s="40">
        <v>0.25</v>
      </c>
    </row>
    <row r="36" spans="2:22" x14ac:dyDescent="0.2">
      <c r="B36" s="174">
        <v>44578</v>
      </c>
      <c r="C36" s="144">
        <v>24837.130859000001</v>
      </c>
      <c r="D36" s="39">
        <f t="shared" si="0"/>
        <v>-7.538285137389511E-2</v>
      </c>
      <c r="F36" s="144">
        <v>3357.9604490000002</v>
      </c>
      <c r="G36" s="39">
        <f t="shared" si="1"/>
        <v>-2.6975246512458639E-2</v>
      </c>
      <c r="H36" s="39"/>
      <c r="I36" s="144">
        <v>356.80471799999998</v>
      </c>
      <c r="J36" s="38">
        <f t="shared" si="2"/>
        <v>-8.4554284572969873E-2</v>
      </c>
      <c r="L36" s="144">
        <v>7315.654297</v>
      </c>
      <c r="M36" s="39">
        <f t="shared" si="3"/>
        <v>-3.9540213972312444E-2</v>
      </c>
      <c r="O36" s="144">
        <v>2134.1513669999999</v>
      </c>
      <c r="P36" s="39">
        <f t="shared" si="4"/>
        <v>-6.0366472198233434E-2</v>
      </c>
      <c r="R36" s="144">
        <v>17617.150390999999</v>
      </c>
      <c r="S36" s="39">
        <f t="shared" si="5"/>
        <v>-3.4980738068827621E-2</v>
      </c>
      <c r="U36" s="1"/>
      <c r="V36" s="1"/>
    </row>
    <row r="37" spans="2:22" x14ac:dyDescent="0.2">
      <c r="B37" s="174">
        <v>44585</v>
      </c>
      <c r="C37" s="144">
        <v>23931.923827999999</v>
      </c>
      <c r="D37" s="39">
        <f t="shared" si="0"/>
        <v>-3.6445716541852136E-2</v>
      </c>
      <c r="F37" s="144">
        <v>3213.2316890000002</v>
      </c>
      <c r="G37" s="39">
        <f t="shared" si="1"/>
        <v>-4.3100197932081086E-2</v>
      </c>
      <c r="H37" s="39"/>
      <c r="I37" s="144">
        <v>349.110229</v>
      </c>
      <c r="J37" s="38">
        <f t="shared" si="2"/>
        <v>-2.1564986705136513E-2</v>
      </c>
      <c r="L37" s="144">
        <v>7069.2690430000002</v>
      </c>
      <c r="M37" s="39">
        <f t="shared" si="3"/>
        <v>-3.3679182202614122E-2</v>
      </c>
      <c r="O37" s="144">
        <v>2134.3439939999998</v>
      </c>
      <c r="P37" s="39">
        <f t="shared" si="4"/>
        <v>9.025929602679561E-5</v>
      </c>
      <c r="R37" s="144">
        <v>17101.949218999998</v>
      </c>
      <c r="S37" s="39">
        <f t="shared" si="5"/>
        <v>-2.9244296640800638E-2</v>
      </c>
      <c r="U37" s="179" t="s">
        <v>303</v>
      </c>
      <c r="V37" s="145">
        <f>(V31*V32)+(V34*V35)</f>
        <v>1.0689251520128653</v>
      </c>
    </row>
    <row r="38" spans="2:22" x14ac:dyDescent="0.2">
      <c r="B38" s="174">
        <v>44592</v>
      </c>
      <c r="C38" s="144">
        <v>24526.482422000001</v>
      </c>
      <c r="D38" s="39">
        <f t="shared" si="0"/>
        <v>2.4843744208494334E-2</v>
      </c>
      <c r="F38" s="144">
        <v>3298.320068</v>
      </c>
      <c r="G38" s="39">
        <f t="shared" si="1"/>
        <v>2.6480623632365807E-2</v>
      </c>
      <c r="H38" s="39"/>
      <c r="I38" s="144">
        <v>368.17718500000001</v>
      </c>
      <c r="J38" s="38">
        <f t="shared" si="2"/>
        <v>5.4615861742624672E-2</v>
      </c>
      <c r="L38" s="144">
        <v>7397.1865230000003</v>
      </c>
      <c r="M38" s="39">
        <f t="shared" si="3"/>
        <v>4.6386334712314348E-2</v>
      </c>
      <c r="O38" s="144">
        <v>2190.97876</v>
      </c>
      <c r="P38" s="39">
        <f t="shared" si="4"/>
        <v>2.6534975692395379E-2</v>
      </c>
      <c r="R38" s="144">
        <v>17516.300781000002</v>
      </c>
      <c r="S38" s="39">
        <f t="shared" si="5"/>
        <v>2.4228323724623468E-2</v>
      </c>
    </row>
    <row r="39" spans="2:22" x14ac:dyDescent="0.2">
      <c r="B39" s="174">
        <v>44599</v>
      </c>
      <c r="C39" s="144">
        <v>24701.328125</v>
      </c>
      <c r="D39" s="39">
        <f t="shared" si="0"/>
        <v>7.1288536200022623E-3</v>
      </c>
      <c r="F39" s="144">
        <v>3158.7797850000002</v>
      </c>
      <c r="G39" s="39">
        <f t="shared" si="1"/>
        <v>-4.2306471210543428E-2</v>
      </c>
      <c r="H39" s="39"/>
      <c r="I39" s="144">
        <v>356.07882699999999</v>
      </c>
      <c r="J39" s="38">
        <f t="shared" si="2"/>
        <v>-3.2860151288298889E-2</v>
      </c>
      <c r="L39" s="144">
        <v>7281.798828</v>
      </c>
      <c r="M39" s="39">
        <f t="shared" si="3"/>
        <v>-1.5598862437931849E-2</v>
      </c>
      <c r="O39" s="144">
        <v>2166.5141600000002</v>
      </c>
      <c r="P39" s="39">
        <f t="shared" si="4"/>
        <v>-1.1166059866321909E-2</v>
      </c>
      <c r="R39" s="144">
        <v>17374.75</v>
      </c>
      <c r="S39" s="39">
        <f t="shared" si="5"/>
        <v>-8.0810887395552644E-3</v>
      </c>
    </row>
    <row r="40" spans="2:22" x14ac:dyDescent="0.2">
      <c r="B40" s="174">
        <v>44606</v>
      </c>
      <c r="C40" s="144">
        <v>24197.736327999999</v>
      </c>
      <c r="D40" s="39">
        <f t="shared" si="0"/>
        <v>-2.0387235635735745E-2</v>
      </c>
      <c r="F40" s="144">
        <v>2942.9960940000001</v>
      </c>
      <c r="G40" s="39">
        <f t="shared" si="1"/>
        <v>-6.8312356570307764E-2</v>
      </c>
      <c r="H40" s="39"/>
      <c r="I40" s="144">
        <v>327.47833300000002</v>
      </c>
      <c r="J40" s="38">
        <f t="shared" si="2"/>
        <v>-8.0320681352952117E-2</v>
      </c>
      <c r="L40" s="144">
        <v>6877.1220700000003</v>
      </c>
      <c r="M40" s="39">
        <f t="shared" si="3"/>
        <v>-5.5573734946361752E-2</v>
      </c>
      <c r="O40" s="144">
        <v>2100.8254390000002</v>
      </c>
      <c r="P40" s="39">
        <f t="shared" si="4"/>
        <v>-3.0320005385979121E-2</v>
      </c>
      <c r="R40" s="144">
        <v>17276.300781000002</v>
      </c>
      <c r="S40" s="39">
        <f t="shared" si="5"/>
        <v>-5.66622362911684E-3</v>
      </c>
      <c r="U40" s="280" t="s">
        <v>318</v>
      </c>
      <c r="V40" s="280"/>
    </row>
    <row r="41" spans="2:22" x14ac:dyDescent="0.2">
      <c r="B41" s="174">
        <v>44613</v>
      </c>
      <c r="C41" s="144">
        <v>23833.916015999999</v>
      </c>
      <c r="D41" s="39">
        <f t="shared" si="0"/>
        <v>-1.5035303594866045E-2</v>
      </c>
      <c r="F41" s="144">
        <v>2760.2695309999999</v>
      </c>
      <c r="G41" s="39">
        <f t="shared" si="1"/>
        <v>-6.208861893243145E-2</v>
      </c>
      <c r="H41" s="39"/>
      <c r="I41" s="144">
        <v>298.78100599999999</v>
      </c>
      <c r="J41" s="38">
        <f t="shared" si="2"/>
        <v>-8.7631223528916724E-2</v>
      </c>
      <c r="L41" s="144">
        <v>6532.7485349999997</v>
      </c>
      <c r="M41" s="39">
        <f t="shared" si="3"/>
        <v>-5.0075239539844385E-2</v>
      </c>
      <c r="O41" s="144">
        <v>1983.7037350000001</v>
      </c>
      <c r="P41" s="39">
        <f t="shared" si="4"/>
        <v>-5.5750326431571851E-2</v>
      </c>
      <c r="R41" s="144">
        <v>16658.400390999999</v>
      </c>
      <c r="S41" s="39">
        <f t="shared" si="5"/>
        <v>-3.5765780987070617E-2</v>
      </c>
      <c r="U41" s="1"/>
      <c r="V41" s="1"/>
    </row>
    <row r="42" spans="2:22" x14ac:dyDescent="0.2">
      <c r="B42" s="174">
        <v>44620</v>
      </c>
      <c r="C42" s="144">
        <v>22409.753906000002</v>
      </c>
      <c r="D42" s="39">
        <f t="shared" si="0"/>
        <v>-5.9753592697227798E-2</v>
      </c>
      <c r="F42" s="144">
        <v>2608.623047</v>
      </c>
      <c r="G42" s="39">
        <f t="shared" si="1"/>
        <v>-5.4939013127845104E-2</v>
      </c>
      <c r="H42" s="39"/>
      <c r="I42" s="144">
        <v>283.19833399999999</v>
      </c>
      <c r="J42" s="38">
        <f t="shared" si="2"/>
        <v>-5.2154158688387353E-2</v>
      </c>
      <c r="L42" s="144">
        <v>6015.7661129999997</v>
      </c>
      <c r="M42" s="39">
        <f t="shared" si="3"/>
        <v>-7.9137046103979536E-2</v>
      </c>
      <c r="O42" s="144">
        <v>1936.5081789999999</v>
      </c>
      <c r="P42" s="39">
        <f t="shared" si="4"/>
        <v>-2.3791635397611532E-2</v>
      </c>
      <c r="R42" s="144">
        <v>16245.349609000001</v>
      </c>
      <c r="S42" s="39">
        <f t="shared" si="5"/>
        <v>-2.479534482933643E-2</v>
      </c>
      <c r="U42" s="1" t="s">
        <v>314</v>
      </c>
      <c r="V42" s="144">
        <f>_xlfn.COVARIANCE.S(M10:M114,S10:S114)/_xlfn.VAR.S(S10:S114)</f>
        <v>0.99425942341826545</v>
      </c>
    </row>
    <row r="43" spans="2:22" x14ac:dyDescent="0.2">
      <c r="B43" s="174">
        <v>44627</v>
      </c>
      <c r="C43" s="144">
        <v>22254.972656000002</v>
      </c>
      <c r="D43" s="39">
        <f t="shared" si="0"/>
        <v>-6.9068696893881398E-3</v>
      </c>
      <c r="F43" s="144">
        <v>2269.111328</v>
      </c>
      <c r="G43" s="39">
        <f t="shared" si="1"/>
        <v>-0.13014978127654331</v>
      </c>
      <c r="H43" s="39"/>
      <c r="I43" s="144">
        <v>284.021027</v>
      </c>
      <c r="J43" s="38">
        <f t="shared" si="2"/>
        <v>2.9050064962601319E-3</v>
      </c>
      <c r="L43" s="144">
        <v>5986.6337890000004</v>
      </c>
      <c r="M43" s="39">
        <f t="shared" si="3"/>
        <v>-4.8426623397217483E-3</v>
      </c>
      <c r="O43" s="144">
        <v>1966.7036129999999</v>
      </c>
      <c r="P43" s="39">
        <f t="shared" si="4"/>
        <v>1.5592722162212969E-2</v>
      </c>
      <c r="R43" s="144">
        <v>16630.449218999998</v>
      </c>
      <c r="S43" s="39">
        <f t="shared" si="5"/>
        <v>2.3705221449137115E-2</v>
      </c>
      <c r="U43" s="1" t="s">
        <v>300</v>
      </c>
      <c r="V43" s="40">
        <v>0.75</v>
      </c>
    </row>
    <row r="44" spans="2:22" x14ac:dyDescent="0.2">
      <c r="B44" s="174">
        <v>44634</v>
      </c>
      <c r="C44" s="144">
        <v>23940.001952999999</v>
      </c>
      <c r="D44" s="39">
        <f t="shared" si="0"/>
        <v>7.5714732300320664E-2</v>
      </c>
      <c r="F44" s="144">
        <v>2485.438232</v>
      </c>
      <c r="G44" s="39">
        <f t="shared" si="1"/>
        <v>9.5335518064100899E-2</v>
      </c>
      <c r="H44" s="39"/>
      <c r="I44" s="144">
        <v>296.36135899999999</v>
      </c>
      <c r="J44" s="38">
        <f t="shared" si="2"/>
        <v>4.3448656355995707E-2</v>
      </c>
      <c r="L44" s="144">
        <v>6337.2211909999996</v>
      </c>
      <c r="M44" s="39">
        <f t="shared" si="3"/>
        <v>5.8561691654528403E-2</v>
      </c>
      <c r="O44" s="144">
        <v>2044.4798579999999</v>
      </c>
      <c r="P44" s="39">
        <f t="shared" si="4"/>
        <v>3.9546500289060038E-2</v>
      </c>
      <c r="R44" s="144">
        <v>17287.050781000002</v>
      </c>
      <c r="S44" s="39">
        <f t="shared" si="5"/>
        <v>3.9481889716475482E-2</v>
      </c>
      <c r="U44" s="1"/>
      <c r="V44" s="1"/>
    </row>
    <row r="45" spans="2:22" x14ac:dyDescent="0.2">
      <c r="B45" s="174">
        <v>44641</v>
      </c>
      <c r="C45" s="144">
        <v>23114.330077999999</v>
      </c>
      <c r="D45" s="39">
        <f t="shared" si="0"/>
        <v>-3.4489215022663444E-2</v>
      </c>
      <c r="F45" s="144">
        <v>2254.139404</v>
      </c>
      <c r="G45" s="39">
        <f t="shared" si="1"/>
        <v>-9.3061587699919124E-2</v>
      </c>
      <c r="H45" s="39"/>
      <c r="I45" s="144">
        <v>288.23123199999998</v>
      </c>
      <c r="J45" s="38">
        <f t="shared" si="2"/>
        <v>-2.7433154671152704E-2</v>
      </c>
      <c r="L45" s="144">
        <v>6276.6689450000003</v>
      </c>
      <c r="M45" s="39">
        <f t="shared" si="3"/>
        <v>-9.5550153884472744E-3</v>
      </c>
      <c r="O45" s="144">
        <v>1988.182495</v>
      </c>
      <c r="P45" s="39">
        <f t="shared" si="4"/>
        <v>-2.7536276662110226E-2</v>
      </c>
      <c r="R45" s="144">
        <v>17153</v>
      </c>
      <c r="S45" s="39">
        <f t="shared" si="5"/>
        <v>-7.7544043051771538E-3</v>
      </c>
      <c r="U45" s="1" t="s">
        <v>315</v>
      </c>
      <c r="V45" s="144">
        <v>1</v>
      </c>
    </row>
    <row r="46" spans="2:22" x14ac:dyDescent="0.2">
      <c r="B46" s="174">
        <v>44648</v>
      </c>
      <c r="C46" s="144">
        <v>24459.394531000002</v>
      </c>
      <c r="D46" s="39">
        <f t="shared" si="0"/>
        <v>5.8191799133310074E-2</v>
      </c>
      <c r="F46" s="144">
        <v>2502.732422</v>
      </c>
      <c r="G46" s="39">
        <f t="shared" si="1"/>
        <v>0.1102828944646761</v>
      </c>
      <c r="H46" s="39"/>
      <c r="I46" s="144">
        <v>295.15152</v>
      </c>
      <c r="J46" s="38">
        <f t="shared" si="2"/>
        <v>2.4009500816344564E-2</v>
      </c>
      <c r="L46" s="144">
        <v>6632.4760740000002</v>
      </c>
      <c r="M46" s="39">
        <f t="shared" si="3"/>
        <v>5.668725435701627E-2</v>
      </c>
      <c r="O46" s="144">
        <v>2071.7856449999999</v>
      </c>
      <c r="P46" s="39">
        <f t="shared" si="4"/>
        <v>4.2050038268745427E-2</v>
      </c>
      <c r="R46" s="144">
        <v>17670.449218999998</v>
      </c>
      <c r="S46" s="39">
        <f t="shared" si="5"/>
        <v>3.0166689150585846E-2</v>
      </c>
      <c r="U46" s="1" t="s">
        <v>301</v>
      </c>
      <c r="V46" s="40">
        <v>0.25</v>
      </c>
    </row>
    <row r="47" spans="2:22" x14ac:dyDescent="0.2">
      <c r="B47" s="174">
        <v>44655</v>
      </c>
      <c r="C47" s="144">
        <v>25103.15625</v>
      </c>
      <c r="D47" s="39">
        <f t="shared" si="0"/>
        <v>2.6319609759108742E-2</v>
      </c>
      <c r="F47" s="144">
        <v>2765.0129390000002</v>
      </c>
      <c r="G47" s="39">
        <f t="shared" si="1"/>
        <v>0.10479766622050812</v>
      </c>
      <c r="H47" s="39"/>
      <c r="I47" s="144">
        <v>333.45632899999998</v>
      </c>
      <c r="J47" s="38">
        <f t="shared" si="2"/>
        <v>0.12978015156418632</v>
      </c>
      <c r="L47" s="144">
        <v>6797.9760740000002</v>
      </c>
      <c r="M47" s="39">
        <f t="shared" si="3"/>
        <v>2.4952973543135304E-2</v>
      </c>
      <c r="O47" s="144">
        <v>2090.6159670000002</v>
      </c>
      <c r="P47" s="39">
        <f t="shared" si="4"/>
        <v>9.0889335223673928E-3</v>
      </c>
      <c r="R47" s="144">
        <v>17784.349609000001</v>
      </c>
      <c r="S47" s="39">
        <f t="shared" si="5"/>
        <v>6.4458117950692007E-3</v>
      </c>
      <c r="U47" s="1"/>
      <c r="V47" s="1"/>
    </row>
    <row r="48" spans="2:22" x14ac:dyDescent="0.2">
      <c r="B48" s="174">
        <v>44662</v>
      </c>
      <c r="C48" s="144">
        <v>25205.414063</v>
      </c>
      <c r="D48" s="39">
        <f t="shared" si="0"/>
        <v>4.0735042231989649E-3</v>
      </c>
      <c r="F48" s="144">
        <v>2762.9870609999998</v>
      </c>
      <c r="G48" s="39">
        <f t="shared" si="1"/>
        <v>-7.3268300897466609E-4</v>
      </c>
      <c r="H48" s="39"/>
      <c r="I48" s="144">
        <v>364.93872099999999</v>
      </c>
      <c r="J48" s="38">
        <f t="shared" si="2"/>
        <v>9.4412339074241958E-2</v>
      </c>
      <c r="L48" s="144">
        <v>6691.6362300000001</v>
      </c>
      <c r="M48" s="39">
        <f t="shared" si="3"/>
        <v>-1.5642868236432128E-2</v>
      </c>
      <c r="O48" s="144">
        <v>2186.2634280000002</v>
      </c>
      <c r="P48" s="39">
        <f t="shared" si="4"/>
        <v>4.575085166753623E-2</v>
      </c>
      <c r="R48" s="144">
        <v>17475.650390999999</v>
      </c>
      <c r="S48" s="39">
        <f t="shared" si="5"/>
        <v>-1.7357914390289553E-2</v>
      </c>
      <c r="U48" s="179" t="s">
        <v>303</v>
      </c>
      <c r="V48" s="145">
        <f>(V42*V43)+(V45*V46)</f>
        <v>0.99569456756369912</v>
      </c>
    </row>
    <row r="49" spans="2:22" x14ac:dyDescent="0.2">
      <c r="B49" s="174">
        <v>44669</v>
      </c>
      <c r="C49" s="144">
        <v>25694.046875</v>
      </c>
      <c r="D49" s="39">
        <f t="shared" si="0"/>
        <v>1.9386025985475897E-2</v>
      </c>
      <c r="F49" s="144">
        <v>2616.9243160000001</v>
      </c>
      <c r="G49" s="39">
        <f t="shared" si="1"/>
        <v>-5.2864071302286764E-2</v>
      </c>
      <c r="H49" s="39"/>
      <c r="I49" s="144">
        <v>369.881012</v>
      </c>
      <c r="J49" s="38">
        <f t="shared" si="2"/>
        <v>1.3542796956314218E-2</v>
      </c>
      <c r="L49" s="144">
        <v>6705.6064450000003</v>
      </c>
      <c r="M49" s="39">
        <f t="shared" si="3"/>
        <v>2.0877128582346138E-3</v>
      </c>
      <c r="O49" s="144">
        <v>2240.3103030000002</v>
      </c>
      <c r="P49" s="39">
        <f t="shared" si="4"/>
        <v>2.4721117459043818E-2</v>
      </c>
      <c r="R49" s="144">
        <v>17171.949218999998</v>
      </c>
      <c r="S49" s="39">
        <f t="shared" si="5"/>
        <v>-1.7378533285170805E-2</v>
      </c>
    </row>
    <row r="50" spans="2:22" x14ac:dyDescent="0.2">
      <c r="B50" s="174">
        <v>44676</v>
      </c>
      <c r="C50" s="144">
        <v>25759.882813</v>
      </c>
      <c r="D50" s="39">
        <f t="shared" si="0"/>
        <v>2.5623031794208551E-3</v>
      </c>
      <c r="F50" s="144">
        <v>2615.985596</v>
      </c>
      <c r="G50" s="39">
        <f t="shared" si="1"/>
        <v>-3.5871117642216621E-4</v>
      </c>
      <c r="H50" s="39"/>
      <c r="I50" s="144">
        <v>367.90408300000001</v>
      </c>
      <c r="J50" s="38">
        <f t="shared" si="2"/>
        <v>-5.3447701716572427E-3</v>
      </c>
      <c r="L50" s="144">
        <v>6592.40625</v>
      </c>
      <c r="M50" s="39">
        <f t="shared" si="3"/>
        <v>-1.688142540551385E-2</v>
      </c>
      <c r="O50" s="144">
        <v>2305.2946780000002</v>
      </c>
      <c r="P50" s="39">
        <f t="shared" si="4"/>
        <v>2.9006863430025565E-2</v>
      </c>
      <c r="R50" s="144">
        <v>17102.550781000002</v>
      </c>
      <c r="S50" s="39">
        <f t="shared" si="5"/>
        <v>-4.041383835634127E-3</v>
      </c>
    </row>
    <row r="51" spans="2:22" x14ac:dyDescent="0.2">
      <c r="B51" s="174">
        <v>44683</v>
      </c>
      <c r="C51" s="144">
        <v>23824.179688</v>
      </c>
      <c r="D51" s="39">
        <f t="shared" si="0"/>
        <v>-7.5144096696865614E-2</v>
      </c>
      <c r="F51" s="144">
        <v>2399.5598140000002</v>
      </c>
      <c r="G51" s="39">
        <f t="shared" si="1"/>
        <v>-8.2732023574949354E-2</v>
      </c>
      <c r="H51" s="39"/>
      <c r="I51" s="144">
        <v>361.18255599999998</v>
      </c>
      <c r="J51" s="38">
        <f t="shared" si="2"/>
        <v>-1.8269780930917356E-2</v>
      </c>
      <c r="L51" s="144">
        <v>6164.8110349999997</v>
      </c>
      <c r="M51" s="39">
        <f t="shared" si="3"/>
        <v>-6.4861781690107478E-2</v>
      </c>
      <c r="O51" s="144">
        <v>2222.6904300000001</v>
      </c>
      <c r="P51" s="39">
        <f t="shared" si="4"/>
        <v>-3.5832403027826754E-2</v>
      </c>
      <c r="R51" s="144">
        <v>16411.25</v>
      </c>
      <c r="S51" s="39">
        <f t="shared" si="5"/>
        <v>-4.0420916730619982E-2</v>
      </c>
      <c r="U51" s="280" t="s">
        <v>319</v>
      </c>
      <c r="V51" s="280"/>
    </row>
    <row r="52" spans="2:22" x14ac:dyDescent="0.2">
      <c r="B52" s="174">
        <v>44690</v>
      </c>
      <c r="C52" s="144">
        <v>22424.660156000002</v>
      </c>
      <c r="D52" s="39">
        <f t="shared" si="0"/>
        <v>-5.8743660865894221E-2</v>
      </c>
      <c r="F52" s="144">
        <v>2275.8312989999999</v>
      </c>
      <c r="G52" s="39">
        <f t="shared" si="1"/>
        <v>-5.1563005130406903E-2</v>
      </c>
      <c r="H52" s="39"/>
      <c r="I52" s="144">
        <v>354.95529199999999</v>
      </c>
      <c r="J52" s="38">
        <f t="shared" si="2"/>
        <v>-1.724131992686817E-2</v>
      </c>
      <c r="L52" s="144">
        <v>6161.1816410000001</v>
      </c>
      <c r="M52" s="39">
        <f t="shared" si="3"/>
        <v>-5.8872753429006774E-4</v>
      </c>
      <c r="O52" s="144">
        <v>2091.8801269999999</v>
      </c>
      <c r="P52" s="39">
        <f t="shared" si="4"/>
        <v>-5.8852236566295124E-2</v>
      </c>
      <c r="R52" s="144">
        <v>15782.150390999999</v>
      </c>
      <c r="S52" s="39">
        <f t="shared" si="5"/>
        <v>-3.8333436453652281E-2</v>
      </c>
      <c r="U52" s="1"/>
      <c r="V52" s="1"/>
    </row>
    <row r="53" spans="2:22" x14ac:dyDescent="0.2">
      <c r="B53" s="174">
        <v>44697</v>
      </c>
      <c r="C53" s="144">
        <v>21864.025390999999</v>
      </c>
      <c r="D53" s="39">
        <f t="shared" si="0"/>
        <v>-2.500081433118162E-2</v>
      </c>
      <c r="F53" s="144">
        <v>2420.3620609999998</v>
      </c>
      <c r="G53" s="39">
        <f t="shared" si="1"/>
        <v>6.3506799499376987E-2</v>
      </c>
      <c r="H53" s="39"/>
      <c r="I53" s="144">
        <v>358.810272</v>
      </c>
      <c r="J53" s="38">
        <f t="shared" si="2"/>
        <v>1.0860466337264896E-2</v>
      </c>
      <c r="L53" s="144">
        <v>6093.6689450000003</v>
      </c>
      <c r="M53" s="39">
        <f t="shared" si="3"/>
        <v>-1.0957751277893224E-2</v>
      </c>
      <c r="O53" s="144">
        <v>2216.701904</v>
      </c>
      <c r="P53" s="39">
        <f t="shared" si="4"/>
        <v>5.9669660507272626E-2</v>
      </c>
      <c r="R53" s="144">
        <v>16266.150390999999</v>
      </c>
      <c r="S53" s="39">
        <f t="shared" si="5"/>
        <v>3.0667557209187901E-2</v>
      </c>
      <c r="U53" s="1" t="s">
        <v>314</v>
      </c>
      <c r="V53" s="144">
        <f>_xlfn.COVARIANCE.S(P10:P114,S10:S114)/_xlfn.VAR.S(S10:S114)</f>
        <v>1.07714213259435</v>
      </c>
    </row>
    <row r="54" spans="2:22" x14ac:dyDescent="0.2">
      <c r="B54" s="174">
        <v>44704</v>
      </c>
      <c r="C54" s="144">
        <v>21790.339843999998</v>
      </c>
      <c r="D54" s="39">
        <f t="shared" si="0"/>
        <v>-3.3701729522475077E-3</v>
      </c>
      <c r="F54" s="144">
        <v>2314.1752929999998</v>
      </c>
      <c r="G54" s="39">
        <f t="shared" si="1"/>
        <v>-4.3872265935340216E-2</v>
      </c>
      <c r="H54" s="39"/>
      <c r="I54" s="144">
        <v>362.07217400000002</v>
      </c>
      <c r="J54" s="38">
        <f t="shared" si="2"/>
        <v>9.0908824371673802E-3</v>
      </c>
      <c r="L54" s="144">
        <v>5914.0502930000002</v>
      </c>
      <c r="M54" s="39">
        <f t="shared" si="3"/>
        <v>-2.947627342758441E-2</v>
      </c>
      <c r="O54" s="144">
        <v>2175.77124</v>
      </c>
      <c r="P54" s="39">
        <f t="shared" si="4"/>
        <v>-1.8464667678654179E-2</v>
      </c>
      <c r="R54" s="144">
        <v>16352.450194999999</v>
      </c>
      <c r="S54" s="39">
        <f t="shared" si="5"/>
        <v>5.3054842064996777E-3</v>
      </c>
      <c r="U54" s="1" t="s">
        <v>300</v>
      </c>
      <c r="V54" s="40">
        <v>0.75</v>
      </c>
    </row>
    <row r="55" spans="2:22" x14ac:dyDescent="0.2">
      <c r="B55" s="174">
        <v>44711</v>
      </c>
      <c r="C55" s="144">
        <v>20509.326172000001</v>
      </c>
      <c r="D55" s="39">
        <f t="shared" si="0"/>
        <v>-5.8788145626500032E-2</v>
      </c>
      <c r="F55" s="144">
        <v>2119.7377929999998</v>
      </c>
      <c r="G55" s="39">
        <f t="shared" si="1"/>
        <v>-8.4020212551806917E-2</v>
      </c>
      <c r="H55" s="39"/>
      <c r="I55" s="144">
        <v>362.66525300000001</v>
      </c>
      <c r="J55" s="38">
        <f t="shared" si="2"/>
        <v>1.6380131989928159E-3</v>
      </c>
      <c r="L55" s="144">
        <v>5646.4365230000003</v>
      </c>
      <c r="M55" s="39">
        <f t="shared" si="3"/>
        <v>-4.525050629291294E-2</v>
      </c>
      <c r="O55" s="144">
        <v>2111.4794919999999</v>
      </c>
      <c r="P55" s="39">
        <f t="shared" si="4"/>
        <v>-2.9548946515167707E-2</v>
      </c>
      <c r="R55" s="144">
        <v>16584.300781000002</v>
      </c>
      <c r="S55" s="39">
        <f t="shared" si="5"/>
        <v>1.4178339223494207E-2</v>
      </c>
      <c r="U55" s="1"/>
      <c r="V55" s="1"/>
    </row>
    <row r="56" spans="2:22" x14ac:dyDescent="0.2">
      <c r="B56" s="174">
        <v>44718</v>
      </c>
      <c r="C56" s="144">
        <v>19059.275390999999</v>
      </c>
      <c r="D56" s="39">
        <f t="shared" si="0"/>
        <v>-7.0702019600217714E-2</v>
      </c>
      <c r="F56" s="144">
        <v>2125.173096</v>
      </c>
      <c r="G56" s="39">
        <f t="shared" si="1"/>
        <v>2.5641393090924947E-3</v>
      </c>
      <c r="H56" s="39"/>
      <c r="I56" s="144">
        <v>360.93542500000001</v>
      </c>
      <c r="J56" s="38">
        <f t="shared" si="2"/>
        <v>-4.7697649159678113E-3</v>
      </c>
      <c r="L56" s="144">
        <v>5479.5942379999997</v>
      </c>
      <c r="M56" s="39">
        <f t="shared" si="3"/>
        <v>-2.9548244157246994E-2</v>
      </c>
      <c r="O56" s="144">
        <v>2113.7561040000001</v>
      </c>
      <c r="P56" s="39">
        <f t="shared" si="4"/>
        <v>1.0782070148565026E-3</v>
      </c>
      <c r="R56" s="144">
        <v>16201.799805000001</v>
      </c>
      <c r="S56" s="39">
        <f t="shared" si="5"/>
        <v>-2.3064039964724836E-2</v>
      </c>
      <c r="U56" s="1" t="s">
        <v>315</v>
      </c>
      <c r="V56" s="144">
        <v>1</v>
      </c>
    </row>
    <row r="57" spans="2:22" x14ac:dyDescent="0.2">
      <c r="B57" s="174">
        <v>44725</v>
      </c>
      <c r="C57" s="144">
        <v>17933.238281000002</v>
      </c>
      <c r="D57" s="39">
        <f t="shared" si="0"/>
        <v>-5.9080793309263191E-2</v>
      </c>
      <c r="F57" s="144">
        <v>2016.1697999999999</v>
      </c>
      <c r="G57" s="39">
        <f t="shared" si="1"/>
        <v>-5.1291490657945027E-2</v>
      </c>
      <c r="H57" s="39"/>
      <c r="I57" s="144">
        <v>353.22546399999999</v>
      </c>
      <c r="J57" s="38">
        <f t="shared" si="2"/>
        <v>-2.1361053712031786E-2</v>
      </c>
      <c r="L57" s="144">
        <v>5147.7490230000003</v>
      </c>
      <c r="M57" s="39">
        <f t="shared" si="3"/>
        <v>-6.0560180295597954E-2</v>
      </c>
      <c r="O57" s="144">
        <v>2034.2700199999999</v>
      </c>
      <c r="P57" s="39">
        <f t="shared" si="4"/>
        <v>-3.7604188983574427E-2</v>
      </c>
      <c r="R57" s="144">
        <v>15293.5</v>
      </c>
      <c r="S57" s="39">
        <f t="shared" si="5"/>
        <v>-5.606166079892505E-2</v>
      </c>
      <c r="U57" s="1" t="s">
        <v>301</v>
      </c>
      <c r="V57" s="40">
        <v>0.25</v>
      </c>
    </row>
    <row r="58" spans="2:22" x14ac:dyDescent="0.2">
      <c r="B58" s="174">
        <v>44732</v>
      </c>
      <c r="C58" s="144">
        <v>18676.476563</v>
      </c>
      <c r="D58" s="39">
        <f t="shared" si="0"/>
        <v>4.1444733536354583E-2</v>
      </c>
      <c r="F58" s="144">
        <v>2034.99585</v>
      </c>
      <c r="G58" s="39">
        <f t="shared" si="1"/>
        <v>9.3375319876332075E-3</v>
      </c>
      <c r="H58" s="39"/>
      <c r="I58" s="144">
        <v>356.43795799999998</v>
      </c>
      <c r="J58" s="38">
        <f t="shared" si="2"/>
        <v>9.0947406894763549E-3</v>
      </c>
      <c r="L58" s="144">
        <v>5437.0883789999998</v>
      </c>
      <c r="M58" s="39">
        <f t="shared" si="3"/>
        <v>5.6206966327853047E-2</v>
      </c>
      <c r="O58" s="144">
        <v>2076.9331050000001</v>
      </c>
      <c r="P58" s="39">
        <f t="shared" si="4"/>
        <v>2.0972183918829046E-2</v>
      </c>
      <c r="R58" s="144">
        <v>15699.25</v>
      </c>
      <c r="S58" s="39">
        <f t="shared" si="5"/>
        <v>2.6530879131657192E-2</v>
      </c>
      <c r="U58" s="1"/>
      <c r="V58" s="1"/>
    </row>
    <row r="59" spans="2:22" x14ac:dyDescent="0.2">
      <c r="B59" s="174">
        <v>44739</v>
      </c>
      <c r="C59" s="144">
        <v>19094.003906000002</v>
      </c>
      <c r="D59" s="39">
        <f t="shared" si="0"/>
        <v>2.2355787591497034E-2</v>
      </c>
      <c r="F59" s="144">
        <v>2121.813232</v>
      </c>
      <c r="G59" s="39">
        <f t="shared" si="1"/>
        <v>4.266219117842418E-2</v>
      </c>
      <c r="H59" s="39"/>
      <c r="I59" s="144">
        <v>363.30773900000003</v>
      </c>
      <c r="J59" s="38">
        <f t="shared" si="2"/>
        <v>1.9273427102284302E-2</v>
      </c>
      <c r="L59" s="144">
        <v>5659.2133789999998</v>
      </c>
      <c r="M59" s="39">
        <f t="shared" si="3"/>
        <v>4.0853667352167111E-2</v>
      </c>
      <c r="O59" s="144">
        <v>2145.1347660000001</v>
      </c>
      <c r="P59" s="39">
        <f t="shared" si="4"/>
        <v>3.2837678226521394E-2</v>
      </c>
      <c r="R59" s="144">
        <v>15752.049805000001</v>
      </c>
      <c r="S59" s="39">
        <f t="shared" si="5"/>
        <v>3.3632055671448668E-3</v>
      </c>
      <c r="U59" s="179" t="s">
        <v>303</v>
      </c>
      <c r="V59" s="145">
        <f>(V53*V54)+(V56*V57)</f>
        <v>1.0578565994457625</v>
      </c>
    </row>
    <row r="60" spans="2:22" x14ac:dyDescent="0.2">
      <c r="B60" s="174">
        <v>44746</v>
      </c>
      <c r="C60" s="144">
        <v>19808.523438</v>
      </c>
      <c r="D60" s="39">
        <f t="shared" si="0"/>
        <v>3.742114726264778E-2</v>
      </c>
      <c r="F60" s="144">
        <v>2229.8286130000001</v>
      </c>
      <c r="G60" s="39">
        <f t="shared" si="1"/>
        <v>5.0907110659398569E-2</v>
      </c>
      <c r="H60" s="39"/>
      <c r="I60" s="144">
        <v>364.19738799999999</v>
      </c>
      <c r="J60" s="38">
        <f t="shared" si="2"/>
        <v>2.4487477267858271E-3</v>
      </c>
      <c r="L60" s="144">
        <v>5805.7719729999999</v>
      </c>
      <c r="M60" s="39">
        <f t="shared" si="3"/>
        <v>2.5897343709259113E-2</v>
      </c>
      <c r="O60" s="144">
        <v>2147.3620609999998</v>
      </c>
      <c r="P60" s="39">
        <f t="shared" si="4"/>
        <v>1.0383007330363458E-3</v>
      </c>
      <c r="R60" s="144">
        <v>16220.599609000001</v>
      </c>
      <c r="S60" s="39">
        <f t="shared" si="5"/>
        <v>2.9745322659611828E-2</v>
      </c>
    </row>
    <row r="61" spans="2:22" x14ac:dyDescent="0.2">
      <c r="B61" s="174">
        <v>44753</v>
      </c>
      <c r="C61" s="144">
        <v>19578.962890999999</v>
      </c>
      <c r="D61" s="39">
        <f t="shared" si="0"/>
        <v>-1.1588978235481218E-2</v>
      </c>
      <c r="F61" s="144">
        <v>2152.9428710000002</v>
      </c>
      <c r="G61" s="39">
        <f t="shared" si="1"/>
        <v>-3.4480561219706551E-2</v>
      </c>
      <c r="H61" s="39"/>
      <c r="I61" s="144">
        <v>364.88928199999998</v>
      </c>
      <c r="J61" s="38">
        <f t="shared" si="2"/>
        <v>1.8997774909905729E-3</v>
      </c>
      <c r="L61" s="144">
        <v>5773.9047849999997</v>
      </c>
      <c r="M61" s="39">
        <f t="shared" si="3"/>
        <v>-5.4888804018139448E-3</v>
      </c>
      <c r="O61" s="144">
        <v>2118.6560060000002</v>
      </c>
      <c r="P61" s="39">
        <f t="shared" si="4"/>
        <v>-1.3368055402185663E-2</v>
      </c>
      <c r="R61" s="144">
        <v>16049.200194999999</v>
      </c>
      <c r="S61" s="39">
        <f t="shared" si="5"/>
        <v>-1.0566774233481513E-2</v>
      </c>
    </row>
    <row r="62" spans="2:22" x14ac:dyDescent="0.2">
      <c r="B62" s="174">
        <v>44760</v>
      </c>
      <c r="C62" s="144">
        <v>20697.097656000002</v>
      </c>
      <c r="D62" s="39">
        <f t="shared" si="0"/>
        <v>5.7108988419094731E-2</v>
      </c>
      <c r="F62" s="144">
        <v>2305.0832519999999</v>
      </c>
      <c r="G62" s="39">
        <f t="shared" si="1"/>
        <v>7.0666241566053944E-2</v>
      </c>
      <c r="H62" s="39"/>
      <c r="I62" s="144">
        <v>368.25003099999998</v>
      </c>
      <c r="J62" s="38">
        <f t="shared" si="2"/>
        <v>9.2103253391806472E-3</v>
      </c>
      <c r="L62" s="144">
        <v>6421.8354490000002</v>
      </c>
      <c r="M62" s="39">
        <f t="shared" si="3"/>
        <v>0.11221706767372686</v>
      </c>
      <c r="O62" s="144">
        <v>2169.7329100000002</v>
      </c>
      <c r="P62" s="39">
        <f t="shared" si="4"/>
        <v>2.4108162842552572E-2</v>
      </c>
      <c r="R62" s="144">
        <v>16719.449218999998</v>
      </c>
      <c r="S62" s="39">
        <f t="shared" si="5"/>
        <v>4.1762144895470144E-2</v>
      </c>
    </row>
    <row r="63" spans="2:22" x14ac:dyDescent="0.2">
      <c r="B63" s="174">
        <v>44767</v>
      </c>
      <c r="C63" s="144">
        <v>20416.220702999999</v>
      </c>
      <c r="D63" s="39">
        <f t="shared" si="0"/>
        <v>-1.3570837692722493E-2</v>
      </c>
      <c r="F63" s="144">
        <v>2474.7155760000001</v>
      </c>
      <c r="G63" s="39">
        <f t="shared" si="1"/>
        <v>7.3590541188835124E-2</v>
      </c>
      <c r="H63" s="39"/>
      <c r="I63" s="144">
        <v>370.47406000000001</v>
      </c>
      <c r="J63" s="38">
        <f t="shared" si="2"/>
        <v>6.039453666739858E-3</v>
      </c>
      <c r="L63" s="144">
        <v>6507.4438479999999</v>
      </c>
      <c r="M63" s="39">
        <f t="shared" si="3"/>
        <v>1.3330830364600921E-2</v>
      </c>
      <c r="O63" s="144">
        <v>2204.8234859999998</v>
      </c>
      <c r="P63" s="39">
        <f t="shared" si="4"/>
        <v>1.6172762941591534E-2</v>
      </c>
      <c r="R63" s="144">
        <v>17158.25</v>
      </c>
      <c r="S63" s="39">
        <f t="shared" si="5"/>
        <v>2.6244930395275645E-2</v>
      </c>
    </row>
    <row r="64" spans="2:22" x14ac:dyDescent="0.2">
      <c r="B64" s="174">
        <v>44774</v>
      </c>
      <c r="C64" s="144">
        <v>21152.671875</v>
      </c>
      <c r="D64" s="39">
        <f t="shared" si="0"/>
        <v>3.6071865734278008E-2</v>
      </c>
      <c r="F64" s="144">
        <v>2591.1311040000001</v>
      </c>
      <c r="G64" s="39">
        <f t="shared" si="1"/>
        <v>4.7041982977360064E-2</v>
      </c>
      <c r="H64" s="39"/>
      <c r="I64" s="144">
        <v>378.23345899999998</v>
      </c>
      <c r="J64" s="38">
        <f t="shared" si="2"/>
        <v>2.0944513632074502E-2</v>
      </c>
      <c r="L64" s="144">
        <v>6736.529297</v>
      </c>
      <c r="M64" s="39">
        <f t="shared" si="3"/>
        <v>3.5203599808303787E-2</v>
      </c>
      <c r="O64" s="144">
        <v>2231.9460450000001</v>
      </c>
      <c r="P64" s="39">
        <f t="shared" si="4"/>
        <v>1.2301465025305047E-2</v>
      </c>
      <c r="R64" s="144">
        <v>17397.5</v>
      </c>
      <c r="S64" s="39">
        <f t="shared" si="5"/>
        <v>1.3943729692713402E-2</v>
      </c>
    </row>
    <row r="65" spans="2:19" x14ac:dyDescent="0.2">
      <c r="B65" s="174">
        <v>44781</v>
      </c>
      <c r="C65" s="144">
        <v>21067.810547000001</v>
      </c>
      <c r="D65" s="39">
        <f t="shared" si="0"/>
        <v>-4.0118491177606463E-3</v>
      </c>
      <c r="F65" s="144">
        <v>2647.8500979999999</v>
      </c>
      <c r="G65" s="39">
        <f t="shared" si="1"/>
        <v>2.1889665834523564E-2</v>
      </c>
      <c r="H65" s="39"/>
      <c r="I65" s="144">
        <v>380.35864299999997</v>
      </c>
      <c r="J65" s="38">
        <f t="shared" si="2"/>
        <v>5.6187096869184661E-3</v>
      </c>
      <c r="L65" s="144">
        <v>6559.2998049999997</v>
      </c>
      <c r="M65" s="39">
        <f t="shared" si="3"/>
        <v>-2.6308724297974373E-2</v>
      </c>
      <c r="O65" s="144">
        <v>2205.0217290000001</v>
      </c>
      <c r="P65" s="39">
        <f t="shared" si="4"/>
        <v>-1.2063157198766494E-2</v>
      </c>
      <c r="R65" s="144">
        <v>17698.150390999999</v>
      </c>
      <c r="S65" s="39">
        <f t="shared" si="5"/>
        <v>1.7281241040379314E-2</v>
      </c>
    </row>
    <row r="66" spans="2:19" x14ac:dyDescent="0.2">
      <c r="B66" s="174">
        <v>44788</v>
      </c>
      <c r="C66" s="144">
        <v>21337.730468999998</v>
      </c>
      <c r="D66" s="39">
        <f t="shared" si="0"/>
        <v>1.2811958860073913E-2</v>
      </c>
      <c r="F66" s="144">
        <v>2708.5</v>
      </c>
      <c r="G66" s="39">
        <f t="shared" si="1"/>
        <v>2.2905338200909009E-2</v>
      </c>
      <c r="H66" s="39"/>
      <c r="I66" s="144">
        <v>415.59719799999999</v>
      </c>
      <c r="J66" s="38">
        <f t="shared" si="2"/>
        <v>9.2645600799454053E-2</v>
      </c>
      <c r="L66" s="144">
        <v>6647.5498049999997</v>
      </c>
      <c r="M66" s="39">
        <f t="shared" si="3"/>
        <v>1.3454179961819968E-2</v>
      </c>
      <c r="O66" s="144">
        <v>2327.022461</v>
      </c>
      <c r="P66" s="39">
        <f t="shared" si="4"/>
        <v>5.5328584927518465E-2</v>
      </c>
      <c r="R66" s="144">
        <v>17758.449218999998</v>
      </c>
      <c r="S66" s="39">
        <f t="shared" si="5"/>
        <v>3.4070694771959342E-3</v>
      </c>
    </row>
    <row r="67" spans="2:19" x14ac:dyDescent="0.2">
      <c r="B67" s="174">
        <v>44795</v>
      </c>
      <c r="C67" s="144">
        <v>22009.740234000001</v>
      </c>
      <c r="D67" s="39">
        <f t="shared" si="0"/>
        <v>3.1493966332376111E-2</v>
      </c>
      <c r="F67" s="144">
        <v>2650.6499020000001</v>
      </c>
      <c r="G67" s="39">
        <f t="shared" si="1"/>
        <v>-2.1358721801735259E-2</v>
      </c>
      <c r="H67" s="39"/>
      <c r="I67" s="144">
        <v>398.20031699999998</v>
      </c>
      <c r="J67" s="38">
        <f t="shared" si="2"/>
        <v>-4.185995739076187E-2</v>
      </c>
      <c r="L67" s="144">
        <v>6517.1499020000001</v>
      </c>
      <c r="M67" s="39">
        <f t="shared" si="3"/>
        <v>-1.961623557929848E-2</v>
      </c>
      <c r="O67" s="144">
        <v>2262.3347170000002</v>
      </c>
      <c r="P67" s="39">
        <f t="shared" si="4"/>
        <v>-2.779850434799902E-2</v>
      </c>
      <c r="R67" s="144">
        <v>17558.900390999999</v>
      </c>
      <c r="S67" s="39">
        <f t="shared" si="5"/>
        <v>-1.1236838619134604E-2</v>
      </c>
    </row>
    <row r="68" spans="2:19" x14ac:dyDescent="0.2">
      <c r="B68" s="174">
        <v>44802</v>
      </c>
      <c r="C68" s="144">
        <v>21004.267577999999</v>
      </c>
      <c r="D68" s="39">
        <f t="shared" si="0"/>
        <v>-4.568307691550022E-2</v>
      </c>
      <c r="F68" s="144">
        <v>2705.25</v>
      </c>
      <c r="G68" s="39">
        <f t="shared" si="1"/>
        <v>2.0598758802059303E-2</v>
      </c>
      <c r="H68" s="39"/>
      <c r="I68" s="144">
        <v>410.80319200000002</v>
      </c>
      <c r="J68" s="38">
        <f t="shared" si="2"/>
        <v>3.1649585552690596E-2</v>
      </c>
      <c r="L68" s="144">
        <v>6577.5</v>
      </c>
      <c r="M68" s="39">
        <f t="shared" si="3"/>
        <v>9.2601979250899191E-3</v>
      </c>
      <c r="O68" s="144">
        <v>2266.8386230000001</v>
      </c>
      <c r="P68" s="39">
        <f t="shared" si="4"/>
        <v>1.9908221211282218E-3</v>
      </c>
      <c r="R68" s="144">
        <v>17539.449218999998</v>
      </c>
      <c r="S68" s="39">
        <f t="shared" si="5"/>
        <v>-1.1077670905844661E-3</v>
      </c>
    </row>
    <row r="69" spans="2:19" x14ac:dyDescent="0.2">
      <c r="B69" s="174">
        <v>44809</v>
      </c>
      <c r="C69" s="144">
        <v>24407.833984000001</v>
      </c>
      <c r="D69" s="39">
        <f t="shared" si="0"/>
        <v>0.16204166097964379</v>
      </c>
      <c r="F69" s="144">
        <v>2840.6999510000001</v>
      </c>
      <c r="G69" s="39">
        <f t="shared" si="1"/>
        <v>5.0069291562702123E-2</v>
      </c>
      <c r="H69" s="39"/>
      <c r="I69" s="144">
        <v>449.45187399999998</v>
      </c>
      <c r="J69" s="38">
        <f t="shared" si="2"/>
        <v>9.4080773354847658E-2</v>
      </c>
      <c r="L69" s="144">
        <v>6783.6499020000001</v>
      </c>
      <c r="M69" s="39">
        <f t="shared" si="3"/>
        <v>3.1341680273660133E-2</v>
      </c>
      <c r="O69" s="144">
        <v>2341.623047</v>
      </c>
      <c r="P69" s="39">
        <f t="shared" si="4"/>
        <v>3.299062546456355E-2</v>
      </c>
      <c r="R69" s="144">
        <v>17833.349609000001</v>
      </c>
      <c r="S69" s="39">
        <f t="shared" si="5"/>
        <v>1.6756534730955508E-2</v>
      </c>
    </row>
    <row r="70" spans="2:19" x14ac:dyDescent="0.2">
      <c r="B70" s="174">
        <v>44816</v>
      </c>
      <c r="C70" s="144">
        <v>23224.671875</v>
      </c>
      <c r="D70" s="39">
        <f t="shared" si="0"/>
        <v>-4.847468684749312E-2</v>
      </c>
      <c r="F70" s="144">
        <v>2833.3500979999999</v>
      </c>
      <c r="G70" s="39">
        <f t="shared" si="1"/>
        <v>-2.5873387287569383E-3</v>
      </c>
      <c r="H70" s="39"/>
      <c r="I70" s="144">
        <v>510.736267</v>
      </c>
      <c r="J70" s="38">
        <f t="shared" si="2"/>
        <v>0.13635362659540284</v>
      </c>
      <c r="L70" s="144">
        <v>6481.3999020000001</v>
      </c>
      <c r="M70" s="39">
        <f t="shared" si="3"/>
        <v>-4.4555660207477477E-2</v>
      </c>
      <c r="O70" s="144">
        <v>2585.030518</v>
      </c>
      <c r="P70" s="39">
        <f t="shared" si="4"/>
        <v>0.1039481872677348</v>
      </c>
      <c r="R70" s="144">
        <v>17530.849609000001</v>
      </c>
      <c r="S70" s="39">
        <f t="shared" si="5"/>
        <v>-1.6962601341440453E-2</v>
      </c>
    </row>
    <row r="71" spans="2:19" x14ac:dyDescent="0.2">
      <c r="B71" s="174">
        <v>44823</v>
      </c>
      <c r="C71" s="144">
        <v>21116.865234000001</v>
      </c>
      <c r="D71" s="39">
        <f t="shared" si="0"/>
        <v>-9.0757219406355949E-2</v>
      </c>
      <c r="F71" s="144">
        <v>2664.8999020000001</v>
      </c>
      <c r="G71" s="39">
        <f t="shared" si="1"/>
        <v>-5.9452658575057549E-2</v>
      </c>
      <c r="H71" s="39"/>
      <c r="I71" s="144">
        <v>533.12481700000001</v>
      </c>
      <c r="J71" s="38">
        <f t="shared" si="2"/>
        <v>4.3835833573181437E-2</v>
      </c>
      <c r="L71" s="144">
        <v>6139.9501950000003</v>
      </c>
      <c r="M71" s="39">
        <f t="shared" si="3"/>
        <v>-5.2681475015086909E-2</v>
      </c>
      <c r="O71" s="144">
        <v>2463.6728520000001</v>
      </c>
      <c r="P71" s="39">
        <f t="shared" si="4"/>
        <v>-4.6946318488298777E-2</v>
      </c>
      <c r="R71" s="144">
        <v>17327.349609000001</v>
      </c>
      <c r="S71" s="39">
        <f t="shared" si="5"/>
        <v>-1.1608108251383698E-2</v>
      </c>
    </row>
    <row r="72" spans="2:19" x14ac:dyDescent="0.2">
      <c r="B72" s="174">
        <v>44830</v>
      </c>
      <c r="C72" s="144">
        <v>20949.1875</v>
      </c>
      <c r="D72" s="39">
        <f t="shared" si="0"/>
        <v>-7.9404652225570915E-3</v>
      </c>
      <c r="F72" s="144">
        <v>2625.6499020000001</v>
      </c>
      <c r="G72" s="39">
        <f t="shared" si="1"/>
        <v>-1.472850817794058E-2</v>
      </c>
      <c r="H72" s="39"/>
      <c r="I72" s="144">
        <v>509.648956</v>
      </c>
      <c r="J72" s="38">
        <f t="shared" si="2"/>
        <v>-4.4034455443480169E-2</v>
      </c>
      <c r="L72" s="144">
        <v>6255.1000979999999</v>
      </c>
      <c r="M72" s="39">
        <f t="shared" si="3"/>
        <v>1.8754207989141403E-2</v>
      </c>
      <c r="O72" s="144">
        <v>2391.1655270000001</v>
      </c>
      <c r="P72" s="39">
        <f t="shared" si="4"/>
        <v>-2.94305816379552E-2</v>
      </c>
      <c r="R72" s="144">
        <v>17094.349609000001</v>
      </c>
      <c r="S72" s="39">
        <f t="shared" si="5"/>
        <v>-1.3446949779265527E-2</v>
      </c>
    </row>
    <row r="73" spans="2:19" x14ac:dyDescent="0.2">
      <c r="B73" s="174">
        <v>44837</v>
      </c>
      <c r="C73" s="144">
        <v>21198.837890999999</v>
      </c>
      <c r="D73" s="39">
        <f t="shared" si="0"/>
        <v>1.1916948616742307E-2</v>
      </c>
      <c r="F73" s="144">
        <v>2569.25</v>
      </c>
      <c r="G73" s="39">
        <f t="shared" si="1"/>
        <v>-2.1480358808323774E-2</v>
      </c>
      <c r="H73" s="39"/>
      <c r="I73" s="144">
        <v>515.77740500000004</v>
      </c>
      <c r="J73" s="38">
        <f t="shared" si="2"/>
        <v>1.2024843625893844E-2</v>
      </c>
      <c r="L73" s="144">
        <v>6203.5</v>
      </c>
      <c r="M73" s="39">
        <f t="shared" si="3"/>
        <v>-8.2492841347971968E-3</v>
      </c>
      <c r="O73" s="144">
        <v>2360.5786130000001</v>
      </c>
      <c r="P73" s="39">
        <f t="shared" si="4"/>
        <v>-1.2791633893440624E-2</v>
      </c>
      <c r="R73" s="144">
        <v>17314.650390999999</v>
      </c>
      <c r="S73" s="39">
        <f t="shared" si="5"/>
        <v>1.2887345060733635E-2</v>
      </c>
    </row>
    <row r="74" spans="2:19" x14ac:dyDescent="0.2">
      <c r="B74" s="174">
        <v>44844</v>
      </c>
      <c r="C74" s="144">
        <v>21103.96875</v>
      </c>
      <c r="D74" s="39">
        <f t="shared" si="0"/>
        <v>-4.4752047960268104E-3</v>
      </c>
      <c r="F74" s="144">
        <v>2479.1499020000001</v>
      </c>
      <c r="G74" s="39">
        <f t="shared" si="1"/>
        <v>-3.5068637929356772E-2</v>
      </c>
      <c r="H74" s="39"/>
      <c r="I74" s="144">
        <v>496.05767800000001</v>
      </c>
      <c r="J74" s="38">
        <f t="shared" si="2"/>
        <v>-3.8233018369620231E-2</v>
      </c>
      <c r="L74" s="144">
        <v>6192</v>
      </c>
      <c r="M74" s="39">
        <f t="shared" si="3"/>
        <v>-1.8537922140726693E-3</v>
      </c>
      <c r="O74" s="144">
        <v>2220.9089359999998</v>
      </c>
      <c r="P74" s="39">
        <f t="shared" si="4"/>
        <v>-5.9167560118871698E-2</v>
      </c>
      <c r="R74" s="144">
        <v>17185.699218999998</v>
      </c>
      <c r="S74" s="39">
        <f t="shared" si="5"/>
        <v>-7.4475180894804094E-3</v>
      </c>
    </row>
    <row r="75" spans="2:19" x14ac:dyDescent="0.2">
      <c r="B75" s="174">
        <v>44851</v>
      </c>
      <c r="C75" s="144">
        <v>20851.675781000002</v>
      </c>
      <c r="D75" s="39">
        <f t="shared" si="0"/>
        <v>-1.1954764148331076E-2</v>
      </c>
      <c r="F75" s="144">
        <v>2651.1499020000001</v>
      </c>
      <c r="G75" s="39">
        <f t="shared" si="1"/>
        <v>6.9378620413893755E-2</v>
      </c>
      <c r="H75" s="39"/>
      <c r="I75" s="144">
        <v>506.68356299999999</v>
      </c>
      <c r="J75" s="38">
        <f t="shared" si="2"/>
        <v>2.1420664312346238E-2</v>
      </c>
      <c r="L75" s="144">
        <v>6362.8999020000001</v>
      </c>
      <c r="M75" s="39">
        <f t="shared" si="3"/>
        <v>2.7600113372093116E-2</v>
      </c>
      <c r="O75" s="144">
        <v>2233.6782229999999</v>
      </c>
      <c r="P75" s="39">
        <f t="shared" si="4"/>
        <v>5.7495770281326131E-3</v>
      </c>
      <c r="R75" s="144">
        <v>17576.300781000002</v>
      </c>
      <c r="S75" s="39">
        <f t="shared" si="5"/>
        <v>2.2728290366455628E-2</v>
      </c>
    </row>
    <row r="76" spans="2:19" x14ac:dyDescent="0.2">
      <c r="B76" s="174">
        <v>44858</v>
      </c>
      <c r="C76" s="144">
        <v>21692.957031000002</v>
      </c>
      <c r="D76" s="39">
        <f t="shared" ref="D76:D114" si="6">C76/C75-1</f>
        <v>4.0345977888576856E-2</v>
      </c>
      <c r="F76" s="144">
        <v>2598.4499510000001</v>
      </c>
      <c r="G76" s="39">
        <f t="shared" ref="G76:G114" si="7">F76/F75-1</f>
        <v>-1.9878148331123668E-2</v>
      </c>
      <c r="H76" s="39"/>
      <c r="I76" s="144">
        <v>514.09704599999998</v>
      </c>
      <c r="J76" s="38">
        <f t="shared" ref="J76:J114" si="8">I76/I75-1</f>
        <v>1.4631386414245995E-2</v>
      </c>
      <c r="L76" s="144">
        <v>6445.8500979999999</v>
      </c>
      <c r="M76" s="39">
        <f t="shared" ref="M76:M114" si="9">L76/L75-1</f>
        <v>1.3036539514620804E-2</v>
      </c>
      <c r="O76" s="144">
        <v>2300.889893</v>
      </c>
      <c r="P76" s="39">
        <f t="shared" ref="P76:P114" si="10">O76/O75-1</f>
        <v>3.0090130846926355E-2</v>
      </c>
      <c r="R76" s="144">
        <v>17786.800781000002</v>
      </c>
      <c r="S76" s="39">
        <f t="shared" ref="S76:S114" si="11">R76/R75-1</f>
        <v>1.197635399068453E-2</v>
      </c>
    </row>
    <row r="77" spans="2:19" x14ac:dyDescent="0.2">
      <c r="B77" s="174">
        <v>44865</v>
      </c>
      <c r="C77" s="144">
        <v>22871.984375</v>
      </c>
      <c r="D77" s="39">
        <f t="shared" si="6"/>
        <v>5.4350697432126394E-2</v>
      </c>
      <c r="F77" s="144">
        <v>2780.25</v>
      </c>
      <c r="G77" s="39">
        <f t="shared" si="7"/>
        <v>6.9964806876513075E-2</v>
      </c>
      <c r="H77" s="39"/>
      <c r="I77" s="144">
        <v>552.152649</v>
      </c>
      <c r="J77" s="38">
        <f t="shared" si="8"/>
        <v>7.4024161967271906E-2</v>
      </c>
      <c r="L77" s="144">
        <v>6893.0498049999997</v>
      </c>
      <c r="M77" s="39">
        <f t="shared" si="9"/>
        <v>6.937792536297982E-2</v>
      </c>
      <c r="O77" s="144">
        <v>2455.5561520000001</v>
      </c>
      <c r="P77" s="39">
        <f t="shared" si="10"/>
        <v>6.722019140096247E-2</v>
      </c>
      <c r="R77" s="144">
        <v>18117.150390999999</v>
      </c>
      <c r="S77" s="39">
        <f t="shared" si="11"/>
        <v>1.8572739081492262E-2</v>
      </c>
    </row>
    <row r="78" spans="2:19" x14ac:dyDescent="0.2">
      <c r="B78" s="174">
        <v>44872</v>
      </c>
      <c r="C78" s="144">
        <v>22772.783202999999</v>
      </c>
      <c r="D78" s="39">
        <f t="shared" si="6"/>
        <v>-4.3372350371326807E-3</v>
      </c>
      <c r="F78" s="144">
        <v>2816.5</v>
      </c>
      <c r="G78" s="39">
        <f t="shared" si="7"/>
        <v>1.3038395827713378E-2</v>
      </c>
      <c r="H78" s="39"/>
      <c r="I78" s="144">
        <v>551.11480700000004</v>
      </c>
      <c r="J78" s="38">
        <f t="shared" si="8"/>
        <v>-1.8796287618643159E-3</v>
      </c>
      <c r="L78" s="144">
        <v>6813.2001950000003</v>
      </c>
      <c r="M78" s="39">
        <f t="shared" si="9"/>
        <v>-1.1584075591921428E-2</v>
      </c>
      <c r="O78" s="144">
        <v>2366.4187010000001</v>
      </c>
      <c r="P78" s="39">
        <f t="shared" si="10"/>
        <v>-3.6300310594567065E-2</v>
      </c>
      <c r="R78" s="144">
        <v>18349.699218999998</v>
      </c>
      <c r="S78" s="39">
        <f t="shared" si="11"/>
        <v>1.2835839134808014E-2</v>
      </c>
    </row>
    <row r="79" spans="2:19" x14ac:dyDescent="0.2">
      <c r="B79" s="174">
        <v>44879</v>
      </c>
      <c r="C79" s="144">
        <v>23055.650390999999</v>
      </c>
      <c r="D79" s="39">
        <f t="shared" si="6"/>
        <v>1.2421283137791228E-2</v>
      </c>
      <c r="F79" s="144">
        <v>2925.5</v>
      </c>
      <c r="G79" s="39">
        <f t="shared" si="7"/>
        <v>3.8700514823362342E-2</v>
      </c>
      <c r="H79" s="39"/>
      <c r="I79" s="144">
        <v>567.47375499999998</v>
      </c>
      <c r="J79" s="38">
        <f t="shared" si="8"/>
        <v>2.9683375935860123E-2</v>
      </c>
      <c r="L79" s="144">
        <v>6814.4501950000003</v>
      </c>
      <c r="M79" s="39">
        <f t="shared" si="9"/>
        <v>1.8346738158636633E-4</v>
      </c>
      <c r="O79" s="144">
        <v>2435.758789</v>
      </c>
      <c r="P79" s="39">
        <f t="shared" si="10"/>
        <v>2.930169879518707E-2</v>
      </c>
      <c r="R79" s="144">
        <v>18307.650390999999</v>
      </c>
      <c r="S79" s="39">
        <f t="shared" si="11"/>
        <v>-2.2915268254892762E-3</v>
      </c>
    </row>
    <row r="80" spans="2:19" x14ac:dyDescent="0.2">
      <c r="B80" s="174">
        <v>44886</v>
      </c>
      <c r="C80" s="144">
        <v>23111.775390999999</v>
      </c>
      <c r="D80" s="39">
        <f t="shared" si="6"/>
        <v>2.4343273361704387E-3</v>
      </c>
      <c r="F80" s="144">
        <v>3014.5</v>
      </c>
      <c r="G80" s="39">
        <f t="shared" si="7"/>
        <v>3.0422150059818742E-2</v>
      </c>
      <c r="H80" s="39"/>
      <c r="I80" s="144">
        <v>558.13287400000002</v>
      </c>
      <c r="J80" s="38">
        <f t="shared" si="8"/>
        <v>-1.6460463444692652E-2</v>
      </c>
      <c r="L80" s="144">
        <v>6874</v>
      </c>
      <c r="M80" s="39">
        <f t="shared" si="9"/>
        <v>8.738754161516038E-3</v>
      </c>
      <c r="O80" s="144">
        <v>2481.836914</v>
      </c>
      <c r="P80" s="39">
        <f t="shared" si="10"/>
        <v>1.8917359636796194E-2</v>
      </c>
      <c r="R80" s="144">
        <v>18512.75</v>
      </c>
      <c r="S80" s="39">
        <f t="shared" si="11"/>
        <v>1.1202945469224623E-2</v>
      </c>
    </row>
    <row r="81" spans="2:19" x14ac:dyDescent="0.2">
      <c r="B81" s="174">
        <v>44893</v>
      </c>
      <c r="C81" s="144">
        <v>23998.720702999999</v>
      </c>
      <c r="D81" s="39">
        <f t="shared" si="6"/>
        <v>3.837633833813503E-2</v>
      </c>
      <c r="F81" s="144">
        <v>3236.3500979999999</v>
      </c>
      <c r="G81" s="39">
        <f t="shared" si="7"/>
        <v>7.3594326754022221E-2</v>
      </c>
      <c r="H81" s="39"/>
      <c r="I81" s="144">
        <v>571.27929700000004</v>
      </c>
      <c r="J81" s="38">
        <f t="shared" si="8"/>
        <v>2.3554288973847592E-2</v>
      </c>
      <c r="L81" s="144">
        <v>7237.0498049999997</v>
      </c>
      <c r="M81" s="39">
        <f t="shared" si="9"/>
        <v>5.2814926534768603E-2</v>
      </c>
      <c r="O81" s="144">
        <v>2582.8527829999998</v>
      </c>
      <c r="P81" s="39">
        <f t="shared" si="10"/>
        <v>4.070205758894585E-2</v>
      </c>
      <c r="R81" s="144">
        <v>18696.099609000001</v>
      </c>
      <c r="S81" s="39">
        <f t="shared" si="11"/>
        <v>9.9039639707769744E-3</v>
      </c>
    </row>
    <row r="82" spans="2:19" x14ac:dyDescent="0.2">
      <c r="B82" s="174">
        <v>44900</v>
      </c>
      <c r="C82" s="144">
        <v>24344.039063</v>
      </c>
      <c r="D82" s="39">
        <f t="shared" si="6"/>
        <v>1.4389031993560897E-2</v>
      </c>
      <c r="F82" s="144">
        <v>3163.8000489999999</v>
      </c>
      <c r="G82" s="39">
        <f t="shared" si="7"/>
        <v>-2.241724374777454E-2</v>
      </c>
      <c r="H82" s="39"/>
      <c r="I82" s="144">
        <v>574.294128</v>
      </c>
      <c r="J82" s="38">
        <f t="shared" si="8"/>
        <v>5.2773328489794658E-3</v>
      </c>
      <c r="L82" s="144">
        <v>7077.3999020000001</v>
      </c>
      <c r="M82" s="39">
        <f t="shared" si="9"/>
        <v>-2.2060080737554055E-2</v>
      </c>
      <c r="O82" s="144">
        <v>2592.9494629999999</v>
      </c>
      <c r="P82" s="39">
        <f t="shared" si="10"/>
        <v>3.9091194304434751E-3</v>
      </c>
      <c r="R82" s="144">
        <v>18496.599609000001</v>
      </c>
      <c r="S82" s="39">
        <f t="shared" si="11"/>
        <v>-1.0670674855838058E-2</v>
      </c>
    </row>
    <row r="83" spans="2:19" x14ac:dyDescent="0.2">
      <c r="B83" s="174">
        <v>44907</v>
      </c>
      <c r="C83" s="144">
        <v>23631.144531000002</v>
      </c>
      <c r="D83" s="39">
        <f t="shared" si="6"/>
        <v>-2.9284151662552715E-2</v>
      </c>
      <c r="F83" s="144">
        <v>3061</v>
      </c>
      <c r="G83" s="39">
        <f t="shared" si="7"/>
        <v>-3.2492587207744839E-2</v>
      </c>
      <c r="H83" s="39"/>
      <c r="I83" s="144">
        <v>549.63207999999997</v>
      </c>
      <c r="J83" s="38">
        <f t="shared" si="8"/>
        <v>-4.2943235526169299E-2</v>
      </c>
      <c r="L83" s="144">
        <v>7014.1000979999999</v>
      </c>
      <c r="M83" s="39">
        <f t="shared" si="9"/>
        <v>-8.9439349021541714E-3</v>
      </c>
      <c r="O83" s="144">
        <v>2590.2270509999998</v>
      </c>
      <c r="P83" s="39">
        <f t="shared" si="10"/>
        <v>-1.0499286773025807E-3</v>
      </c>
      <c r="R83" s="144">
        <v>18269</v>
      </c>
      <c r="S83" s="39">
        <f t="shared" si="11"/>
        <v>-1.2304943276668867E-2</v>
      </c>
    </row>
    <row r="84" spans="2:19" x14ac:dyDescent="0.2">
      <c r="B84" s="174">
        <v>44914</v>
      </c>
      <c r="C84" s="144">
        <v>23178.558593999998</v>
      </c>
      <c r="D84" s="39">
        <f t="shared" si="6"/>
        <v>-1.9152095507108835E-2</v>
      </c>
      <c r="F84" s="144">
        <v>2928.5</v>
      </c>
      <c r="G84" s="39">
        <f t="shared" si="7"/>
        <v>-4.3286507677229635E-2</v>
      </c>
      <c r="H84" s="39"/>
      <c r="I84" s="144">
        <v>485.57998700000002</v>
      </c>
      <c r="J84" s="38">
        <f t="shared" si="8"/>
        <v>-0.1165363073421769</v>
      </c>
      <c r="L84" s="144">
        <v>6909.3999020000001</v>
      </c>
      <c r="M84" s="39">
        <f t="shared" si="9"/>
        <v>-1.4927103197437064E-2</v>
      </c>
      <c r="O84" s="144">
        <v>2350.036865</v>
      </c>
      <c r="P84" s="39">
        <f t="shared" si="10"/>
        <v>-9.2729394478090366E-2</v>
      </c>
      <c r="R84" s="144">
        <v>17806.800781000002</v>
      </c>
      <c r="S84" s="39">
        <f t="shared" si="11"/>
        <v>-2.529964524604511E-2</v>
      </c>
    </row>
    <row r="85" spans="2:19" x14ac:dyDescent="0.2">
      <c r="B85" s="174">
        <v>44921</v>
      </c>
      <c r="C85" s="144">
        <v>23196.535156000002</v>
      </c>
      <c r="D85" s="39">
        <f t="shared" si="6"/>
        <v>7.7556858969907161E-4</v>
      </c>
      <c r="F85" s="144">
        <v>2920.6000979999999</v>
      </c>
      <c r="G85" s="39">
        <f t="shared" si="7"/>
        <v>-2.6975933071539115E-3</v>
      </c>
      <c r="H85" s="39"/>
      <c r="I85" s="144">
        <v>518.05084199999999</v>
      </c>
      <c r="J85" s="38">
        <f t="shared" si="8"/>
        <v>6.6870249741161514E-2</v>
      </c>
      <c r="L85" s="144">
        <v>6959.0498049999997</v>
      </c>
      <c r="M85" s="39">
        <f t="shared" si="9"/>
        <v>7.1858488007949806E-3</v>
      </c>
      <c r="O85" s="144">
        <v>2416.852539</v>
      </c>
      <c r="P85" s="39">
        <f t="shared" si="10"/>
        <v>2.8431755686521898E-2</v>
      </c>
      <c r="R85" s="144">
        <v>18105.300781000002</v>
      </c>
      <c r="S85" s="39">
        <f t="shared" si="11"/>
        <v>1.6763258244484991E-2</v>
      </c>
    </row>
    <row r="86" spans="2:19" x14ac:dyDescent="0.2">
      <c r="B86" s="174">
        <v>44928</v>
      </c>
      <c r="C86" s="144">
        <v>23757.886718999998</v>
      </c>
      <c r="D86" s="39">
        <f t="shared" si="6"/>
        <v>2.4199802221531286E-2</v>
      </c>
      <c r="F86" s="144">
        <v>2873.6499020000001</v>
      </c>
      <c r="G86" s="39">
        <f t="shared" si="7"/>
        <v>-1.6075530515852199E-2</v>
      </c>
      <c r="H86" s="39"/>
      <c r="I86" s="144">
        <v>513.800476</v>
      </c>
      <c r="J86" s="38">
        <f t="shared" si="8"/>
        <v>-8.2045344885279814E-3</v>
      </c>
      <c r="L86" s="144">
        <v>6982.2001950000003</v>
      </c>
      <c r="M86" s="39">
        <f t="shared" si="9"/>
        <v>3.3266596228938017E-3</v>
      </c>
      <c r="O86" s="144">
        <v>2391.4626459999999</v>
      </c>
      <c r="P86" s="39">
        <f t="shared" si="10"/>
        <v>-1.0505354625609642E-2</v>
      </c>
      <c r="R86" s="144">
        <v>17859.449218999998</v>
      </c>
      <c r="S86" s="39">
        <f t="shared" si="11"/>
        <v>-1.3578982474458767E-2</v>
      </c>
    </row>
    <row r="87" spans="2:19" x14ac:dyDescent="0.2">
      <c r="B87" s="174">
        <v>44935</v>
      </c>
      <c r="C87" s="144">
        <v>24043.443359000001</v>
      </c>
      <c r="D87" s="39">
        <f t="shared" si="6"/>
        <v>1.2019446147608415E-2</v>
      </c>
      <c r="F87" s="144">
        <v>2902.9499510000001</v>
      </c>
      <c r="G87" s="39">
        <f t="shared" si="7"/>
        <v>1.0196109477221826E-2</v>
      </c>
      <c r="H87" s="39"/>
      <c r="I87" s="144">
        <v>512.66375700000003</v>
      </c>
      <c r="J87" s="38">
        <f t="shared" si="8"/>
        <v>-2.2123743614437252E-3</v>
      </c>
      <c r="L87" s="144">
        <v>7248.8999020000001</v>
      </c>
      <c r="M87" s="39">
        <f t="shared" si="9"/>
        <v>3.8197086813836378E-2</v>
      </c>
      <c r="O87" s="144">
        <v>2343.2065429999998</v>
      </c>
      <c r="P87" s="39">
        <f t="shared" si="10"/>
        <v>-2.0178489127026134E-2</v>
      </c>
      <c r="R87" s="144">
        <v>17956.599609000001</v>
      </c>
      <c r="S87" s="39">
        <f t="shared" si="11"/>
        <v>5.4397192661825855E-3</v>
      </c>
    </row>
    <row r="88" spans="2:19" x14ac:dyDescent="0.2">
      <c r="B88" s="174">
        <v>44942</v>
      </c>
      <c r="C88" s="144">
        <v>24323.521484000001</v>
      </c>
      <c r="D88" s="39">
        <f t="shared" si="6"/>
        <v>1.1648835851756578E-2</v>
      </c>
      <c r="F88" s="144">
        <v>2845.75</v>
      </c>
      <c r="G88" s="39">
        <f t="shared" si="7"/>
        <v>-1.970407756437409E-2</v>
      </c>
      <c r="H88" s="39"/>
      <c r="I88" s="144">
        <v>511.77417000000003</v>
      </c>
      <c r="J88" s="38">
        <f t="shared" si="8"/>
        <v>-1.7352250629255606E-3</v>
      </c>
      <c r="L88" s="144">
        <v>7177.1499020000001</v>
      </c>
      <c r="M88" s="39">
        <f t="shared" si="9"/>
        <v>-9.8980536315868006E-3</v>
      </c>
      <c r="O88" s="144">
        <v>2331.724365</v>
      </c>
      <c r="P88" s="39">
        <f t="shared" si="10"/>
        <v>-4.9001988468755364E-3</v>
      </c>
      <c r="R88" s="144">
        <v>18027.650390999999</v>
      </c>
      <c r="S88" s="39">
        <f t="shared" si="11"/>
        <v>3.9568060516528281E-3</v>
      </c>
    </row>
    <row r="89" spans="2:19" x14ac:dyDescent="0.2">
      <c r="B89" s="174">
        <v>44949</v>
      </c>
      <c r="C89" s="144">
        <v>21813.822265999999</v>
      </c>
      <c r="D89" s="39">
        <f t="shared" si="6"/>
        <v>-0.10317992892809047</v>
      </c>
      <c r="F89" s="144">
        <v>2586.1499020000001</v>
      </c>
      <c r="G89" s="39">
        <f t="shared" si="7"/>
        <v>-9.1223789159272539E-2</v>
      </c>
      <c r="H89" s="39"/>
      <c r="I89" s="144">
        <v>376.05886800000002</v>
      </c>
      <c r="J89" s="38">
        <f t="shared" si="8"/>
        <v>-0.26518591588942442</v>
      </c>
      <c r="L89" s="144">
        <v>6715.6000979999999</v>
      </c>
      <c r="M89" s="39">
        <f t="shared" si="9"/>
        <v>-6.4308229631846459E-2</v>
      </c>
      <c r="O89" s="144">
        <v>1860.697388</v>
      </c>
      <c r="P89" s="39">
        <f t="shared" si="10"/>
        <v>-0.20200800063261337</v>
      </c>
      <c r="R89" s="144">
        <v>17604.349609000001</v>
      </c>
      <c r="S89" s="39">
        <f t="shared" si="11"/>
        <v>-2.3480640727941093E-2</v>
      </c>
    </row>
    <row r="90" spans="2:19" x14ac:dyDescent="0.2">
      <c r="B90" s="174">
        <v>44956</v>
      </c>
      <c r="C90" s="144">
        <v>24369.984375</v>
      </c>
      <c r="D90" s="39">
        <f t="shared" si="6"/>
        <v>0.11718084422940178</v>
      </c>
      <c r="F90" s="144">
        <v>2629.4499510000001</v>
      </c>
      <c r="G90" s="39">
        <f t="shared" si="7"/>
        <v>1.6743054594984486E-2</v>
      </c>
      <c r="H90" s="39"/>
      <c r="I90" s="144">
        <v>369.28793300000001</v>
      </c>
      <c r="J90" s="38">
        <f t="shared" si="8"/>
        <v>-1.8004986921356214E-2</v>
      </c>
      <c r="L90" s="144">
        <v>7189.2001950000003</v>
      </c>
      <c r="M90" s="39">
        <f t="shared" si="9"/>
        <v>7.0522379249628786E-2</v>
      </c>
      <c r="O90" s="144">
        <v>1907.2208250000001</v>
      </c>
      <c r="P90" s="39">
        <f t="shared" si="10"/>
        <v>2.5003225833517551E-2</v>
      </c>
      <c r="R90" s="144">
        <v>17854.050781000002</v>
      </c>
      <c r="S90" s="39">
        <f t="shared" si="11"/>
        <v>1.4184061186352848E-2</v>
      </c>
    </row>
    <row r="91" spans="2:19" x14ac:dyDescent="0.2">
      <c r="B91" s="174">
        <v>44963</v>
      </c>
      <c r="C91" s="144">
        <v>23874.966797000001</v>
      </c>
      <c r="D91" s="39">
        <f t="shared" si="6"/>
        <v>-2.0312593163080317E-2</v>
      </c>
      <c r="F91" s="144">
        <v>2802.9499510000001</v>
      </c>
      <c r="G91" s="39">
        <f t="shared" si="7"/>
        <v>6.598338178447416E-2</v>
      </c>
      <c r="H91" s="39"/>
      <c r="I91" s="144">
        <v>356.635651</v>
      </c>
      <c r="J91" s="38">
        <f t="shared" si="8"/>
        <v>-3.4261292799946497E-2</v>
      </c>
      <c r="L91" s="144">
        <v>7206.0498049999997</v>
      </c>
      <c r="M91" s="39">
        <f t="shared" si="9"/>
        <v>2.3437391563692067E-3</v>
      </c>
      <c r="O91" s="144">
        <v>1861.3408199999999</v>
      </c>
      <c r="P91" s="39">
        <f t="shared" si="10"/>
        <v>-2.4055948004867322E-2</v>
      </c>
      <c r="R91" s="144">
        <v>17856.5</v>
      </c>
      <c r="S91" s="39">
        <f t="shared" si="11"/>
        <v>1.371800175793414E-4</v>
      </c>
    </row>
    <row r="92" spans="2:19" x14ac:dyDescent="0.2">
      <c r="B92" s="174">
        <v>44970</v>
      </c>
      <c r="C92" s="144">
        <v>25654.640625</v>
      </c>
      <c r="D92" s="39">
        <f t="shared" si="6"/>
        <v>7.4541415832403368E-2</v>
      </c>
      <c r="F92" s="144">
        <v>2840.6999510000001</v>
      </c>
      <c r="G92" s="39">
        <f t="shared" si="7"/>
        <v>1.3467953641673747E-2</v>
      </c>
      <c r="H92" s="39"/>
      <c r="I92" s="144">
        <v>349.22219799999999</v>
      </c>
      <c r="J92" s="38">
        <f t="shared" si="8"/>
        <v>-2.0787189893138325E-2</v>
      </c>
      <c r="L92" s="144">
        <v>7297.8500979999999</v>
      </c>
      <c r="M92" s="39">
        <f t="shared" si="9"/>
        <v>1.2739336458138739E-2</v>
      </c>
      <c r="O92" s="144">
        <v>1820.756226</v>
      </c>
      <c r="P92" s="39">
        <f t="shared" si="10"/>
        <v>-2.1803956354430554E-2</v>
      </c>
      <c r="R92" s="144">
        <v>17944.199218999998</v>
      </c>
      <c r="S92" s="39">
        <f t="shared" si="11"/>
        <v>4.9113330719905424E-3</v>
      </c>
    </row>
    <row r="93" spans="2:19" x14ac:dyDescent="0.2">
      <c r="B93" s="174">
        <v>44977</v>
      </c>
      <c r="C93" s="144">
        <v>25357.259765999999</v>
      </c>
      <c r="D93" s="39">
        <f t="shared" si="6"/>
        <v>-1.1591698490222013E-2</v>
      </c>
      <c r="F93" s="144">
        <v>2786.5</v>
      </c>
      <c r="G93" s="39">
        <f t="shared" si="7"/>
        <v>-1.9079787353437405E-2</v>
      </c>
      <c r="H93" s="39"/>
      <c r="I93" s="144">
        <v>341.26513699999998</v>
      </c>
      <c r="J93" s="38">
        <f t="shared" si="8"/>
        <v>-2.2785095121587884E-2</v>
      </c>
      <c r="L93" s="144">
        <v>7216.7001950000003</v>
      </c>
      <c r="M93" s="39">
        <f t="shared" si="9"/>
        <v>-1.1119699899322266E-2</v>
      </c>
      <c r="O93" s="144">
        <v>1712.4650879999999</v>
      </c>
      <c r="P93" s="39">
        <f t="shared" si="10"/>
        <v>-5.9475912510212114E-2</v>
      </c>
      <c r="R93" s="144">
        <v>17465.800781000002</v>
      </c>
      <c r="S93" s="39">
        <f t="shared" si="11"/>
        <v>-2.6660339208308015E-2</v>
      </c>
    </row>
    <row r="94" spans="2:19" x14ac:dyDescent="0.2">
      <c r="B94" s="174">
        <v>44984</v>
      </c>
      <c r="C94" s="144">
        <v>25599.828125</v>
      </c>
      <c r="D94" s="39">
        <f t="shared" si="6"/>
        <v>9.5660320254811193E-3</v>
      </c>
      <c r="F94" s="144">
        <v>2849.8999020000001</v>
      </c>
      <c r="G94" s="39">
        <f t="shared" si="7"/>
        <v>2.2752521801543191E-2</v>
      </c>
      <c r="H94" s="39"/>
      <c r="I94" s="144">
        <v>387.327271</v>
      </c>
      <c r="J94" s="38">
        <f t="shared" si="8"/>
        <v>0.13497462531603399</v>
      </c>
      <c r="L94" s="144">
        <v>7215.9501950000003</v>
      </c>
      <c r="M94" s="39">
        <f t="shared" si="9"/>
        <v>-1.0392561416361357E-4</v>
      </c>
      <c r="O94" s="144">
        <v>1874.8522949999999</v>
      </c>
      <c r="P94" s="39">
        <f t="shared" si="10"/>
        <v>9.4826579611998474E-2</v>
      </c>
      <c r="R94" s="144">
        <v>17594.349609000001</v>
      </c>
      <c r="S94" s="39">
        <f t="shared" si="11"/>
        <v>7.3600305884538031E-3</v>
      </c>
    </row>
    <row r="95" spans="2:19" x14ac:dyDescent="0.2">
      <c r="B95" s="174">
        <v>44991</v>
      </c>
      <c r="C95" s="144">
        <v>26124.527343999998</v>
      </c>
      <c r="D95" s="39">
        <f t="shared" si="6"/>
        <v>2.0496200850957713E-2</v>
      </c>
      <c r="F95" s="144">
        <v>2809.5500489999999</v>
      </c>
      <c r="G95" s="39">
        <f t="shared" si="7"/>
        <v>-1.4158340428617633E-2</v>
      </c>
      <c r="H95" s="39"/>
      <c r="I95" s="144">
        <v>373.983093</v>
      </c>
      <c r="J95" s="38">
        <f t="shared" si="8"/>
        <v>-3.4451945419562313E-2</v>
      </c>
      <c r="L95" s="144">
        <v>7226.3999020000001</v>
      </c>
      <c r="M95" s="39">
        <f t="shared" si="9"/>
        <v>1.4481401225912016E-3</v>
      </c>
      <c r="O95" s="144">
        <v>1828.180298</v>
      </c>
      <c r="P95" s="39">
        <f t="shared" si="10"/>
        <v>-2.4893692758874097E-2</v>
      </c>
      <c r="R95" s="144">
        <v>17412.900390999999</v>
      </c>
      <c r="S95" s="39">
        <f t="shared" si="11"/>
        <v>-1.0312925571695164E-2</v>
      </c>
    </row>
    <row r="96" spans="2:19" x14ac:dyDescent="0.2">
      <c r="B96" s="174">
        <v>44998</v>
      </c>
      <c r="C96" s="144">
        <v>25106.757813</v>
      </c>
      <c r="D96" s="39">
        <f t="shared" si="6"/>
        <v>-3.8958390236053297E-2</v>
      </c>
      <c r="F96" s="144">
        <v>2833</v>
      </c>
      <c r="G96" s="39">
        <f t="shared" si="7"/>
        <v>8.3465147767509684E-3</v>
      </c>
      <c r="H96" s="39"/>
      <c r="I96" s="144">
        <v>374.08193999999997</v>
      </c>
      <c r="J96" s="38">
        <f t="shared" si="8"/>
        <v>2.643087397535826E-4</v>
      </c>
      <c r="L96" s="144">
        <v>7289.9501950000003</v>
      </c>
      <c r="M96" s="39">
        <f t="shared" si="9"/>
        <v>8.7941843603773773E-3</v>
      </c>
      <c r="O96" s="144">
        <v>1712.8610839999999</v>
      </c>
      <c r="P96" s="39">
        <f t="shared" si="10"/>
        <v>-6.3078687657971977E-2</v>
      </c>
      <c r="R96" s="144">
        <v>17100.050781000002</v>
      </c>
      <c r="S96" s="39">
        <f t="shared" si="11"/>
        <v>-1.7966542217268788E-2</v>
      </c>
    </row>
    <row r="97" spans="2:19" x14ac:dyDescent="0.2">
      <c r="B97" s="174">
        <v>45005</v>
      </c>
      <c r="C97" s="144">
        <v>25455.892577999999</v>
      </c>
      <c r="D97" s="39">
        <f t="shared" si="6"/>
        <v>1.3906007601635517E-2</v>
      </c>
      <c r="F97" s="144">
        <v>2811.8500979999999</v>
      </c>
      <c r="G97" s="39">
        <f t="shared" si="7"/>
        <v>-7.4655495940699756E-3</v>
      </c>
      <c r="H97" s="39"/>
      <c r="I97" s="144">
        <v>367.50869799999998</v>
      </c>
      <c r="J97" s="38">
        <f t="shared" si="8"/>
        <v>-1.7571663577236607E-2</v>
      </c>
      <c r="L97" s="144">
        <v>7405.6499020000001</v>
      </c>
      <c r="M97" s="39">
        <f t="shared" si="9"/>
        <v>1.5871124480295595E-2</v>
      </c>
      <c r="O97" s="144">
        <v>1683.610596</v>
      </c>
      <c r="P97" s="39">
        <f t="shared" si="10"/>
        <v>-1.707697622021509E-2</v>
      </c>
      <c r="R97" s="144">
        <v>16945.050781000002</v>
      </c>
      <c r="S97" s="39">
        <f t="shared" si="11"/>
        <v>-9.0643005675878907E-3</v>
      </c>
    </row>
    <row r="98" spans="2:19" x14ac:dyDescent="0.2">
      <c r="B98" s="174">
        <v>45012</v>
      </c>
      <c r="C98" s="144">
        <v>26129.714843999998</v>
      </c>
      <c r="D98" s="39">
        <f t="shared" si="6"/>
        <v>2.6470188147413198E-2</v>
      </c>
      <c r="F98" s="144">
        <v>2923.6999510000001</v>
      </c>
      <c r="G98" s="39">
        <f t="shared" si="7"/>
        <v>3.9778028380515806E-2</v>
      </c>
      <c r="H98" s="39"/>
      <c r="I98" s="144">
        <v>361.33081099999998</v>
      </c>
      <c r="J98" s="38">
        <f t="shared" si="8"/>
        <v>-1.6810179006974124E-2</v>
      </c>
      <c r="L98" s="144">
        <v>7622.1499020000001</v>
      </c>
      <c r="M98" s="39">
        <f t="shared" si="9"/>
        <v>2.9234436256773577E-2</v>
      </c>
      <c r="O98" s="144">
        <v>1650.3016359999999</v>
      </c>
      <c r="P98" s="39">
        <f t="shared" si="10"/>
        <v>-1.9784242317752665E-2</v>
      </c>
      <c r="R98" s="144">
        <v>17359.75</v>
      </c>
      <c r="S98" s="39">
        <f t="shared" si="11"/>
        <v>2.4473176525678486E-2</v>
      </c>
    </row>
    <row r="99" spans="2:19" x14ac:dyDescent="0.2">
      <c r="B99" s="174">
        <v>45019</v>
      </c>
      <c r="C99" s="144">
        <v>26107.513672000001</v>
      </c>
      <c r="D99" s="39">
        <f t="shared" si="6"/>
        <v>-8.4965228792366343E-4</v>
      </c>
      <c r="F99" s="144">
        <v>2920.75</v>
      </c>
      <c r="G99" s="39">
        <f t="shared" si="7"/>
        <v>-1.0089787082943058E-3</v>
      </c>
      <c r="H99" s="39"/>
      <c r="I99" s="144">
        <v>379.17251599999997</v>
      </c>
      <c r="J99" s="38">
        <f t="shared" si="8"/>
        <v>4.9377757049342774E-2</v>
      </c>
      <c r="L99" s="144">
        <v>7701.8500979999999</v>
      </c>
      <c r="M99" s="39">
        <f t="shared" si="9"/>
        <v>1.0456393146910825E-2</v>
      </c>
      <c r="O99" s="144">
        <v>1694.6475829999999</v>
      </c>
      <c r="P99" s="39">
        <f t="shared" si="10"/>
        <v>2.6871419159157917E-2</v>
      </c>
      <c r="R99" s="144">
        <v>17599.150390999999</v>
      </c>
      <c r="S99" s="39">
        <f t="shared" si="11"/>
        <v>1.3790543700226143E-2</v>
      </c>
    </row>
    <row r="100" spans="2:19" x14ac:dyDescent="0.2">
      <c r="B100" s="174">
        <v>45026</v>
      </c>
      <c r="C100" s="144">
        <v>25751.792968999998</v>
      </c>
      <c r="D100" s="39">
        <f t="shared" si="6"/>
        <v>-1.3625223277447085E-2</v>
      </c>
      <c r="F100" s="144">
        <v>2966.3999020000001</v>
      </c>
      <c r="G100" s="39">
        <f t="shared" si="7"/>
        <v>1.5629513652315463E-2</v>
      </c>
      <c r="H100" s="39"/>
      <c r="I100" s="144">
        <v>388.118042</v>
      </c>
      <c r="J100" s="38">
        <f t="shared" si="8"/>
        <v>2.3592232090998921E-2</v>
      </c>
      <c r="L100" s="144">
        <v>7655.25</v>
      </c>
      <c r="M100" s="39">
        <f t="shared" si="9"/>
        <v>-6.0505070089719171E-3</v>
      </c>
      <c r="O100" s="144">
        <v>1749.6345209999999</v>
      </c>
      <c r="P100" s="39">
        <f t="shared" si="10"/>
        <v>3.2447417711862991E-2</v>
      </c>
      <c r="R100" s="144">
        <v>17828</v>
      </c>
      <c r="S100" s="39">
        <f t="shared" si="11"/>
        <v>1.3003446411653519E-2</v>
      </c>
    </row>
    <row r="101" spans="2:19" x14ac:dyDescent="0.2">
      <c r="B101" s="174">
        <v>45033</v>
      </c>
      <c r="C101" s="144">
        <v>23834.84375</v>
      </c>
      <c r="D101" s="39">
        <f t="shared" si="6"/>
        <v>-7.4439446655524932E-2</v>
      </c>
      <c r="F101" s="144">
        <v>2864.5</v>
      </c>
      <c r="G101" s="39">
        <f t="shared" si="7"/>
        <v>-3.435137047142478E-2</v>
      </c>
      <c r="H101" s="39"/>
      <c r="I101" s="144">
        <v>370.770599</v>
      </c>
      <c r="J101" s="38">
        <f t="shared" si="8"/>
        <v>-4.4696306594270596E-2</v>
      </c>
      <c r="L101" s="144">
        <v>7358.5</v>
      </c>
      <c r="M101" s="39">
        <f t="shared" si="9"/>
        <v>-3.8764246758760335E-2</v>
      </c>
      <c r="O101" s="144">
        <v>1700.537231</v>
      </c>
      <c r="P101" s="39">
        <f t="shared" si="10"/>
        <v>-2.8061454784247486E-2</v>
      </c>
      <c r="R101" s="144">
        <v>17624.050781000002</v>
      </c>
      <c r="S101" s="39">
        <f t="shared" si="11"/>
        <v>-1.1439826060130054E-2</v>
      </c>
    </row>
    <row r="102" spans="2:19" x14ac:dyDescent="0.2">
      <c r="B102" s="174">
        <v>45040</v>
      </c>
      <c r="C102" s="144">
        <v>24281.263672000001</v>
      </c>
      <c r="D102" s="39">
        <f t="shared" si="6"/>
        <v>1.8729718838622622E-2</v>
      </c>
      <c r="F102" s="144">
        <v>2993.3000489999999</v>
      </c>
      <c r="G102" s="39">
        <f t="shared" si="7"/>
        <v>4.4964234246814394E-2</v>
      </c>
      <c r="H102" s="39"/>
      <c r="I102" s="144">
        <v>391.92361499999998</v>
      </c>
      <c r="J102" s="38">
        <f t="shared" si="8"/>
        <v>5.7051492370353785E-2</v>
      </c>
      <c r="L102" s="144">
        <v>7556.2001950000003</v>
      </c>
      <c r="M102" s="39">
        <f t="shared" si="9"/>
        <v>2.6866915132160107E-2</v>
      </c>
      <c r="O102" s="144">
        <v>1744.982178</v>
      </c>
      <c r="P102" s="39">
        <f t="shared" si="10"/>
        <v>2.613582707263884E-2</v>
      </c>
      <c r="R102" s="144">
        <v>18065</v>
      </c>
      <c r="S102" s="39">
        <f t="shared" si="11"/>
        <v>2.5019742877464557E-2</v>
      </c>
    </row>
    <row r="103" spans="2:19" x14ac:dyDescent="0.2">
      <c r="B103" s="174">
        <v>45047</v>
      </c>
      <c r="C103" s="144">
        <v>24462.617188</v>
      </c>
      <c r="D103" s="39">
        <f t="shared" si="6"/>
        <v>7.4688664663333793E-3</v>
      </c>
      <c r="F103" s="144">
        <v>3002.8500979999999</v>
      </c>
      <c r="G103" s="39">
        <f t="shared" si="7"/>
        <v>3.1904750087417E-3</v>
      </c>
      <c r="H103" s="39"/>
      <c r="I103" s="144">
        <v>395.926849</v>
      </c>
      <c r="J103" s="38">
        <f t="shared" si="8"/>
        <v>1.021432199230965E-2</v>
      </c>
      <c r="L103" s="144">
        <v>7628.7998049999997</v>
      </c>
      <c r="M103" s="39">
        <f t="shared" si="9"/>
        <v>9.6079521619927277E-3</v>
      </c>
      <c r="O103" s="144">
        <v>1746.7639160000001</v>
      </c>
      <c r="P103" s="39">
        <f t="shared" si="10"/>
        <v>1.0210637234371323E-3</v>
      </c>
      <c r="R103" s="144">
        <v>18069</v>
      </c>
      <c r="S103" s="39">
        <f t="shared" si="11"/>
        <v>2.2142264046509652E-4</v>
      </c>
    </row>
    <row r="104" spans="2:19" x14ac:dyDescent="0.2">
      <c r="B104" s="174">
        <v>45054</v>
      </c>
      <c r="C104" s="144">
        <v>24696.753906000002</v>
      </c>
      <c r="D104" s="39">
        <f t="shared" si="6"/>
        <v>9.5712047570633008E-3</v>
      </c>
      <c r="F104" s="144">
        <v>3052.6999510000001</v>
      </c>
      <c r="G104" s="39">
        <f t="shared" si="7"/>
        <v>1.6600846320367957E-2</v>
      </c>
      <c r="H104" s="39"/>
      <c r="I104" s="144">
        <v>405.26779199999999</v>
      </c>
      <c r="J104" s="38">
        <f t="shared" si="8"/>
        <v>2.3592598035704349E-2</v>
      </c>
      <c r="L104" s="144">
        <v>7702.9501950000003</v>
      </c>
      <c r="M104" s="39">
        <f t="shared" si="9"/>
        <v>9.7197975953440263E-3</v>
      </c>
      <c r="O104" s="144">
        <v>1779.775879</v>
      </c>
      <c r="P104" s="39">
        <f t="shared" si="10"/>
        <v>1.8898926579383302E-2</v>
      </c>
      <c r="R104" s="144">
        <v>18314.800781000002</v>
      </c>
      <c r="S104" s="39">
        <f t="shared" si="11"/>
        <v>1.3603452376999448E-2</v>
      </c>
    </row>
    <row r="105" spans="2:19" x14ac:dyDescent="0.2">
      <c r="B105" s="174">
        <v>45061</v>
      </c>
      <c r="C105" s="144">
        <v>24355.302734000001</v>
      </c>
      <c r="D105" s="39">
        <f t="shared" si="6"/>
        <v>-1.3825751080470794E-2</v>
      </c>
      <c r="F105" s="144">
        <v>3023.1000979999999</v>
      </c>
      <c r="G105" s="39">
        <f t="shared" si="7"/>
        <v>-9.6962863940506239E-3</v>
      </c>
      <c r="H105" s="39"/>
      <c r="I105" s="144">
        <v>398.49685699999998</v>
      </c>
      <c r="J105" s="38">
        <f t="shared" si="8"/>
        <v>-1.6707310903206429E-2</v>
      </c>
      <c r="L105" s="144">
        <v>7681.2998049999997</v>
      </c>
      <c r="M105" s="39">
        <f t="shared" si="9"/>
        <v>-2.810662077765258E-3</v>
      </c>
      <c r="O105" s="144">
        <v>1711.52478</v>
      </c>
      <c r="P105" s="39">
        <f t="shared" si="10"/>
        <v>-3.8348142485416847E-2</v>
      </c>
      <c r="R105" s="144">
        <v>18203.400390999999</v>
      </c>
      <c r="S105" s="39">
        <f t="shared" si="11"/>
        <v>-6.0825335384249168E-3</v>
      </c>
    </row>
    <row r="106" spans="2:19" x14ac:dyDescent="0.2">
      <c r="B106" s="174">
        <v>45068</v>
      </c>
      <c r="C106" s="144">
        <v>24922.410156000002</v>
      </c>
      <c r="D106" s="39">
        <f t="shared" si="6"/>
        <v>2.3284761770105966E-2</v>
      </c>
      <c r="F106" s="144">
        <v>3007.6999510000001</v>
      </c>
      <c r="G106" s="39">
        <f t="shared" si="7"/>
        <v>-5.0941571568166033E-3</v>
      </c>
      <c r="H106" s="39"/>
      <c r="I106" s="144">
        <v>419.64984099999998</v>
      </c>
      <c r="J106" s="38">
        <f t="shared" si="8"/>
        <v>5.3081934345093229E-2</v>
      </c>
      <c r="L106" s="144">
        <v>7721.8500979999999</v>
      </c>
      <c r="M106" s="39">
        <f t="shared" si="9"/>
        <v>5.2790926053432052E-3</v>
      </c>
      <c r="O106" s="144">
        <v>1766.9077150000001</v>
      </c>
      <c r="P106" s="39">
        <f t="shared" si="10"/>
        <v>3.2358827431058446E-2</v>
      </c>
      <c r="R106" s="144">
        <v>18499.349609000001</v>
      </c>
      <c r="S106" s="39">
        <f t="shared" si="11"/>
        <v>1.6257908502980811E-2</v>
      </c>
    </row>
    <row r="107" spans="2:19" x14ac:dyDescent="0.2">
      <c r="B107" s="174">
        <v>45075</v>
      </c>
      <c r="C107" s="144">
        <v>24983.677734000001</v>
      </c>
      <c r="D107" s="39">
        <f t="shared" si="6"/>
        <v>2.4583327862954807E-3</v>
      </c>
      <c r="F107" s="144">
        <v>3180.6000979999999</v>
      </c>
      <c r="G107" s="39">
        <f t="shared" si="7"/>
        <v>5.7485836292451298E-2</v>
      </c>
      <c r="H107" s="39"/>
      <c r="I107" s="144">
        <v>432.99401899999998</v>
      </c>
      <c r="J107" s="38">
        <f t="shared" si="8"/>
        <v>3.1798363054783119E-2</v>
      </c>
      <c r="L107" s="144">
        <v>7850.6499020000001</v>
      </c>
      <c r="M107" s="39">
        <f t="shared" si="9"/>
        <v>1.6679915093581021E-2</v>
      </c>
      <c r="O107" s="144">
        <v>1797.19751</v>
      </c>
      <c r="P107" s="39">
        <f t="shared" si="10"/>
        <v>1.7142827971635022E-2</v>
      </c>
      <c r="R107" s="144">
        <v>18534.099609000001</v>
      </c>
      <c r="S107" s="39">
        <f t="shared" si="11"/>
        <v>1.8784444174779757E-3</v>
      </c>
    </row>
    <row r="108" spans="2:19" x14ac:dyDescent="0.2">
      <c r="B108" s="174">
        <v>45082</v>
      </c>
      <c r="C108" s="144">
        <v>25447.800781000002</v>
      </c>
      <c r="D108" s="39">
        <f t="shared" si="6"/>
        <v>1.8577050662496486E-2</v>
      </c>
      <c r="F108" s="144">
        <v>3227.3500979999999</v>
      </c>
      <c r="G108" s="39">
        <f t="shared" si="7"/>
        <v>1.4698484109774368E-2</v>
      </c>
      <c r="H108" s="39"/>
      <c r="I108" s="144">
        <v>450.44036899999998</v>
      </c>
      <c r="J108" s="38">
        <f t="shared" si="8"/>
        <v>4.029235794132302E-2</v>
      </c>
      <c r="L108" s="144">
        <v>8153.25</v>
      </c>
      <c r="M108" s="39">
        <f t="shared" si="9"/>
        <v>3.8544592075480333E-2</v>
      </c>
      <c r="O108" s="144">
        <v>1818.677612</v>
      </c>
      <c r="P108" s="39">
        <f t="shared" si="10"/>
        <v>1.1951998531313235E-2</v>
      </c>
      <c r="R108" s="144">
        <v>18563.400390999999</v>
      </c>
      <c r="S108" s="39">
        <f t="shared" si="11"/>
        <v>1.5809120819534339E-3</v>
      </c>
    </row>
    <row r="109" spans="2:19" x14ac:dyDescent="0.2">
      <c r="B109" s="174">
        <v>45089</v>
      </c>
      <c r="C109" s="144">
        <v>26213.150390999999</v>
      </c>
      <c r="D109" s="39">
        <f t="shared" si="6"/>
        <v>3.0075275132278811E-2</v>
      </c>
      <c r="F109" s="144">
        <v>3364.5</v>
      </c>
      <c r="G109" s="39">
        <f t="shared" si="7"/>
        <v>4.2496133928882518E-2</v>
      </c>
      <c r="H109" s="39"/>
      <c r="I109" s="144">
        <v>455.58029199999999</v>
      </c>
      <c r="J109" s="38">
        <f t="shared" si="8"/>
        <v>1.1410884444950753E-2</v>
      </c>
      <c r="L109" s="144">
        <v>8333.25</v>
      </c>
      <c r="M109" s="39">
        <f t="shared" si="9"/>
        <v>2.207708582467105E-2</v>
      </c>
      <c r="O109" s="144">
        <v>1836.6435550000001</v>
      </c>
      <c r="P109" s="39">
        <f t="shared" si="10"/>
        <v>9.8785748949992147E-3</v>
      </c>
      <c r="R109" s="144">
        <v>18826</v>
      </c>
      <c r="S109" s="39">
        <f t="shared" si="11"/>
        <v>1.4146094113625551E-2</v>
      </c>
    </row>
    <row r="110" spans="2:19" x14ac:dyDescent="0.2">
      <c r="B110" s="174">
        <v>45096</v>
      </c>
      <c r="C110" s="144">
        <v>25145.25</v>
      </c>
      <c r="D110" s="39">
        <f t="shared" si="6"/>
        <v>-4.073910899952915E-2</v>
      </c>
      <c r="F110" s="144">
        <v>3360.1000979999999</v>
      </c>
      <c r="G110" s="39">
        <f t="shared" si="7"/>
        <v>-1.3077432010700774E-3</v>
      </c>
      <c r="H110" s="39"/>
      <c r="I110" s="144">
        <v>420.88540599999999</v>
      </c>
      <c r="J110" s="38">
        <f t="shared" si="8"/>
        <v>-7.6155370654180987E-2</v>
      </c>
      <c r="L110" s="144">
        <v>8080.2001950000003</v>
      </c>
      <c r="M110" s="39">
        <f t="shared" si="9"/>
        <v>-3.0366280262802636E-2</v>
      </c>
      <c r="O110" s="144">
        <v>1748.9910890000001</v>
      </c>
      <c r="P110" s="39">
        <f t="shared" si="10"/>
        <v>-4.7724266236297552E-2</v>
      </c>
      <c r="R110" s="144">
        <v>18665.5</v>
      </c>
      <c r="S110" s="39">
        <f t="shared" si="11"/>
        <v>-8.5254435355359703E-3</v>
      </c>
    </row>
    <row r="111" spans="2:19" x14ac:dyDescent="0.2">
      <c r="B111" s="174">
        <v>45103</v>
      </c>
      <c r="C111" s="144">
        <v>23886.449218999998</v>
      </c>
      <c r="D111" s="39">
        <f t="shared" si="6"/>
        <v>-5.0061175808552405E-2</v>
      </c>
      <c r="F111" s="144">
        <v>3381.8999020000001</v>
      </c>
      <c r="G111" s="39">
        <f t="shared" si="7"/>
        <v>6.4878436249491411E-3</v>
      </c>
      <c r="H111" s="39"/>
      <c r="I111" s="144">
        <v>420.984283</v>
      </c>
      <c r="J111" s="38">
        <f t="shared" si="8"/>
        <v>2.3492617845732866E-4</v>
      </c>
      <c r="L111" s="144">
        <v>8294.75</v>
      </c>
      <c r="M111" s="39">
        <f t="shared" si="9"/>
        <v>2.6552535806323441E-2</v>
      </c>
      <c r="O111" s="144">
        <v>1795.31665</v>
      </c>
      <c r="P111" s="39">
        <f t="shared" si="10"/>
        <v>2.6487019454448424E-2</v>
      </c>
      <c r="R111" s="144">
        <v>19189.050781000002</v>
      </c>
      <c r="S111" s="39">
        <f t="shared" si="11"/>
        <v>2.804911633762841E-2</v>
      </c>
    </row>
    <row r="112" spans="2:19" x14ac:dyDescent="0.2">
      <c r="B112" s="174">
        <v>45110</v>
      </c>
      <c r="C112" s="144">
        <v>23883.349609000001</v>
      </c>
      <c r="D112" s="39">
        <f t="shared" si="6"/>
        <v>-1.2976436855804963E-4</v>
      </c>
      <c r="F112" s="144">
        <v>3290.3500979999999</v>
      </c>
      <c r="G112" s="39">
        <f t="shared" si="7"/>
        <v>-2.7070524454570366E-2</v>
      </c>
      <c r="H112" s="39"/>
      <c r="I112" s="144">
        <v>413.07659899999999</v>
      </c>
      <c r="J112" s="38">
        <f t="shared" si="8"/>
        <v>-1.8783798634116722E-2</v>
      </c>
      <c r="L112" s="144">
        <v>8336.4501949999994</v>
      </c>
      <c r="M112" s="39">
        <f t="shared" si="9"/>
        <v>5.0272997980649325E-3</v>
      </c>
      <c r="O112" s="144">
        <v>1773.341797</v>
      </c>
      <c r="P112" s="39">
        <f t="shared" si="10"/>
        <v>-1.2240098703479418E-2</v>
      </c>
      <c r="R112" s="144">
        <v>19331.800781000002</v>
      </c>
      <c r="S112" s="39">
        <f t="shared" si="11"/>
        <v>7.4391381642151533E-3</v>
      </c>
    </row>
    <row r="113" spans="2:19" x14ac:dyDescent="0.2">
      <c r="B113" s="174">
        <v>45117</v>
      </c>
      <c r="C113" s="144">
        <v>24339.650390999999</v>
      </c>
      <c r="D113" s="39">
        <f t="shared" si="6"/>
        <v>1.9105393065470544E-2</v>
      </c>
      <c r="F113" s="144">
        <v>3288.0500489999999</v>
      </c>
      <c r="G113" s="39">
        <f t="shared" si="7"/>
        <v>-6.9902865394111391E-4</v>
      </c>
      <c r="H113" s="39"/>
      <c r="I113" s="144">
        <v>416.60000600000001</v>
      </c>
      <c r="J113" s="38">
        <f t="shared" si="8"/>
        <v>8.5296698203909393E-3</v>
      </c>
      <c r="L113" s="144">
        <v>8182.5498049999997</v>
      </c>
      <c r="M113" s="39">
        <f t="shared" si="9"/>
        <v>-1.8461141900938283E-2</v>
      </c>
      <c r="O113" s="144">
        <v>1777.5</v>
      </c>
      <c r="P113" s="39">
        <f t="shared" si="10"/>
        <v>2.344840124467007E-3</v>
      </c>
      <c r="R113" s="144">
        <v>19564.5</v>
      </c>
      <c r="S113" s="39">
        <f t="shared" si="11"/>
        <v>1.2037120681933855E-2</v>
      </c>
    </row>
    <row r="114" spans="2:19" x14ac:dyDescent="0.2">
      <c r="B114" s="174">
        <v>45124</v>
      </c>
      <c r="C114" s="144">
        <v>24117.949218999998</v>
      </c>
      <c r="D114" s="39">
        <f t="shared" si="6"/>
        <v>-9.1086424183799419E-3</v>
      </c>
      <c r="F114" s="144">
        <v>3356.8999020000001</v>
      </c>
      <c r="G114" s="39">
        <f t="shared" si="7"/>
        <v>2.0939417580015052E-2</v>
      </c>
      <c r="H114" s="39"/>
      <c r="I114" s="144">
        <v>416.60000600000001</v>
      </c>
      <c r="J114" s="38">
        <f t="shared" si="8"/>
        <v>0</v>
      </c>
      <c r="L114" s="144">
        <v>8251</v>
      </c>
      <c r="M114" s="39">
        <f t="shared" si="9"/>
        <v>8.3653869064350683E-3</v>
      </c>
      <c r="O114" s="144">
        <v>1811.5</v>
      </c>
      <c r="P114" s="39">
        <f t="shared" si="10"/>
        <v>1.9127988748241842E-2</v>
      </c>
      <c r="R114" s="144">
        <v>19711.449218999998</v>
      </c>
      <c r="S114" s="39">
        <f t="shared" si="11"/>
        <v>7.5110132638196436E-3</v>
      </c>
    </row>
  </sheetData>
  <mergeCells count="12">
    <mergeCell ref="B7:D7"/>
    <mergeCell ref="R7:S7"/>
    <mergeCell ref="U7:V7"/>
    <mergeCell ref="F7:G7"/>
    <mergeCell ref="U18:V18"/>
    <mergeCell ref="I7:J7"/>
    <mergeCell ref="U29:V29"/>
    <mergeCell ref="U8:V8"/>
    <mergeCell ref="L7:M7"/>
    <mergeCell ref="U40:V40"/>
    <mergeCell ref="U51:V51"/>
    <mergeCell ref="O7:P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CBC4-B546-4700-AC53-F28884135BE9}">
  <sheetPr>
    <tabColor theme="7" tint="-0.249977111117893"/>
  </sheetPr>
  <dimension ref="B1:I38"/>
  <sheetViews>
    <sheetView showGridLines="0" topLeftCell="A2" workbookViewId="0">
      <selection activeCell="E11" sqref="E11"/>
    </sheetView>
  </sheetViews>
  <sheetFormatPr defaultRowHeight="15" x14ac:dyDescent="0.2"/>
  <cols>
    <col min="1" max="1" width="2.6875" customWidth="1"/>
    <col min="2" max="2" width="27.57421875" bestFit="1" customWidth="1"/>
    <col min="3" max="8" width="14.66015625" customWidth="1"/>
  </cols>
  <sheetData>
    <row r="1" spans="2:9" s="1" customFormat="1" x14ac:dyDescent="0.2"/>
    <row r="2" spans="2:9" s="1" customFormat="1" x14ac:dyDescent="0.2"/>
    <row r="3" spans="2:9" s="1" customFormat="1" x14ac:dyDescent="0.2"/>
    <row r="5" spans="2:9" x14ac:dyDescent="0.2">
      <c r="B5" s="138" t="s">
        <v>371</v>
      </c>
      <c r="C5" s="195">
        <f>'Intrinsic Growth'!H5</f>
        <v>44986</v>
      </c>
      <c r="D5" s="196">
        <f>C5+366</f>
        <v>45352</v>
      </c>
      <c r="E5" s="196">
        <f t="shared" ref="E5:H5" si="0">D5+366</f>
        <v>45718</v>
      </c>
      <c r="F5" s="196">
        <f t="shared" si="0"/>
        <v>46084</v>
      </c>
      <c r="G5" s="196">
        <f t="shared" si="0"/>
        <v>46450</v>
      </c>
      <c r="H5" s="196">
        <f t="shared" si="0"/>
        <v>46816</v>
      </c>
      <c r="I5" s="199"/>
    </row>
    <row r="7" spans="2:9" x14ac:dyDescent="0.2">
      <c r="B7" s="113" t="s">
        <v>228</v>
      </c>
      <c r="C7" s="204">
        <f>'Historical data'!L23-'Historical data'!L29</f>
        <v>2500.350000000004</v>
      </c>
      <c r="D7" s="205">
        <f>C7*(1+$C$17)</f>
        <v>3626.951533272008</v>
      </c>
      <c r="E7" s="205">
        <f>D7*(1+$C$17)</f>
        <v>5261.1744054648943</v>
      </c>
      <c r="F7" s="205">
        <f>E7*(1+$C$17)</f>
        <v>7631.7413868907606</v>
      </c>
      <c r="G7" s="205">
        <f>F7*(1+$C$17)</f>
        <v>11070.432589325032</v>
      </c>
      <c r="H7" s="205">
        <f>G7*(1+$C$17)</f>
        <v>16058.520788624299</v>
      </c>
    </row>
    <row r="8" spans="2:9" x14ac:dyDescent="0.2">
      <c r="B8" s="113" t="s">
        <v>352</v>
      </c>
      <c r="C8" s="206">
        <v>0.25</v>
      </c>
      <c r="D8" s="207">
        <v>0.25</v>
      </c>
      <c r="E8" s="207">
        <v>0.25</v>
      </c>
      <c r="F8" s="207">
        <v>0.25</v>
      </c>
      <c r="G8" s="207">
        <v>0.25</v>
      </c>
      <c r="H8" s="207">
        <v>0.25</v>
      </c>
    </row>
    <row r="9" spans="2:9" x14ac:dyDescent="0.2">
      <c r="B9" s="113" t="s">
        <v>236</v>
      </c>
      <c r="C9" s="204">
        <f t="shared" ref="C9:H9" si="1">C7*(1-C8)</f>
        <v>1875.262500000003</v>
      </c>
      <c r="D9" s="205">
        <f t="shared" si="1"/>
        <v>2720.2136499540061</v>
      </c>
      <c r="E9" s="205">
        <f t="shared" si="1"/>
        <v>3945.8808040986705</v>
      </c>
      <c r="F9" s="205">
        <f t="shared" si="1"/>
        <v>5723.8060401680705</v>
      </c>
      <c r="G9" s="205">
        <f t="shared" si="1"/>
        <v>8302.8244419937728</v>
      </c>
      <c r="H9" s="205">
        <f t="shared" si="1"/>
        <v>12043.890591468224</v>
      </c>
    </row>
    <row r="10" spans="2:9" x14ac:dyDescent="0.2">
      <c r="B10" s="113" t="s">
        <v>354</v>
      </c>
      <c r="C10" s="206">
        <f>'Intrinsic Growth'!$H$54</f>
        <v>1.3316099474688436</v>
      </c>
      <c r="D10" s="207">
        <f>'Intrinsic Growth'!$H$54</f>
        <v>1.3316099474688436</v>
      </c>
      <c r="E10" s="207">
        <f>'Intrinsic Growth'!$H$54</f>
        <v>1.3316099474688436</v>
      </c>
      <c r="F10" s="207">
        <f>'Intrinsic Growth'!$H$54</f>
        <v>1.3316099474688436</v>
      </c>
      <c r="G10" s="207">
        <f>'Intrinsic Growth'!$H$54</f>
        <v>1.3316099474688436</v>
      </c>
      <c r="H10" s="207">
        <f>'Intrinsic Growth'!$H$54</f>
        <v>1.3316099474688436</v>
      </c>
    </row>
    <row r="11" spans="2:9" x14ac:dyDescent="0.2">
      <c r="B11" s="113" t="s">
        <v>353</v>
      </c>
      <c r="C11" s="204">
        <f t="shared" ref="C11:H11" si="2">C9*(1-C10)</f>
        <v>-621.85569911529342</v>
      </c>
      <c r="D11" s="205">
        <f t="shared" si="2"/>
        <v>-902.04990556527935</v>
      </c>
      <c r="E11" s="205">
        <f t="shared" si="2"/>
        <v>-1308.4933261654787</v>
      </c>
      <c r="F11" s="205">
        <f t="shared" si="2"/>
        <v>-1898.0710203019837</v>
      </c>
      <c r="G11" s="205">
        <f t="shared" si="2"/>
        <v>-2753.2991770525859</v>
      </c>
      <c r="H11" s="205">
        <f t="shared" si="2"/>
        <v>-3993.8739263572779</v>
      </c>
    </row>
    <row r="12" spans="2:9" x14ac:dyDescent="0.2">
      <c r="B12" s="113" t="s">
        <v>355</v>
      </c>
      <c r="C12" s="208"/>
      <c r="D12" s="209">
        <v>0.5</v>
      </c>
      <c r="E12" s="113">
        <f>D12+1</f>
        <v>1.5</v>
      </c>
      <c r="F12" s="113">
        <f t="shared" ref="F12:H12" si="3">E12+1</f>
        <v>2.5</v>
      </c>
      <c r="G12" s="113">
        <f t="shared" si="3"/>
        <v>3.5</v>
      </c>
      <c r="H12" s="113">
        <f t="shared" si="3"/>
        <v>4.5</v>
      </c>
    </row>
    <row r="13" spans="2:9" x14ac:dyDescent="0.2">
      <c r="B13" s="113" t="s">
        <v>356</v>
      </c>
      <c r="C13" s="208"/>
      <c r="D13" s="210">
        <f>1/(1+$C$19)^D12</f>
        <v>0.92979334159606908</v>
      </c>
      <c r="E13" s="210">
        <f t="shared" ref="E13:H13" si="4">1/(1+$C$19)^E12</f>
        <v>0.80382090258496608</v>
      </c>
      <c r="F13" s="210">
        <f t="shared" si="4"/>
        <v>0.69491575657379512</v>
      </c>
      <c r="G13" s="210">
        <f t="shared" si="4"/>
        <v>0.60076555260204301</v>
      </c>
      <c r="H13" s="210">
        <f t="shared" si="4"/>
        <v>0.51937122705737782</v>
      </c>
    </row>
    <row r="14" spans="2:9" ht="4.5" customHeight="1" x14ac:dyDescent="0.2">
      <c r="C14" s="203"/>
    </row>
    <row r="15" spans="2:9" ht="15.75" thickBot="1" x14ac:dyDescent="0.25">
      <c r="B15" s="198" t="s">
        <v>357</v>
      </c>
      <c r="C15" s="197"/>
      <c r="D15" s="212">
        <f>D11*D13</f>
        <v>-838.71999598195964</v>
      </c>
      <c r="E15" s="212">
        <f t="shared" ref="E15:H15" si="5">E11*E13</f>
        <v>-1051.7942864647396</v>
      </c>
      <c r="F15" s="212">
        <f t="shared" si="5"/>
        <v>-1318.9994591039483</v>
      </c>
      <c r="G15" s="212">
        <f t="shared" si="5"/>
        <v>-1654.087301580747</v>
      </c>
      <c r="H15" s="212">
        <f t="shared" si="5"/>
        <v>-2074.303201844647</v>
      </c>
    </row>
    <row r="17" spans="2:9" x14ac:dyDescent="0.2">
      <c r="B17" s="179" t="s">
        <v>358</v>
      </c>
      <c r="C17" s="200">
        <f>'Intrinsic Growth'!H63</f>
        <v>0.45057753245425741</v>
      </c>
    </row>
    <row r="18" spans="2:9" x14ac:dyDescent="0.2">
      <c r="B18" s="179" t="s">
        <v>359</v>
      </c>
      <c r="C18" s="201">
        <v>6.5000000000000002E-2</v>
      </c>
      <c r="I18" s="185" t="s">
        <v>360</v>
      </c>
    </row>
    <row r="19" spans="2:9" x14ac:dyDescent="0.2">
      <c r="B19" s="179" t="s">
        <v>350</v>
      </c>
      <c r="C19" s="202">
        <f>WACC!K48</f>
        <v>0.15671704804639283</v>
      </c>
    </row>
    <row r="21" spans="2:9" x14ac:dyDescent="0.2">
      <c r="B21" s="283" t="s">
        <v>361</v>
      </c>
      <c r="C21" s="283"/>
    </row>
    <row r="23" spans="2:9" x14ac:dyDescent="0.2">
      <c r="B23" t="s">
        <v>363</v>
      </c>
      <c r="C23" s="45">
        <f>-H11*(1+C17)</f>
        <v>5793.4237850287363</v>
      </c>
    </row>
    <row r="24" spans="2:9" x14ac:dyDescent="0.2">
      <c r="B24" t="s">
        <v>350</v>
      </c>
      <c r="C24" s="40">
        <f>C19</f>
        <v>0.15671704804639283</v>
      </c>
    </row>
    <row r="25" spans="2:9" x14ac:dyDescent="0.2">
      <c r="B25" t="s">
        <v>362</v>
      </c>
      <c r="C25" s="40">
        <f>C18</f>
        <v>6.5000000000000002E-2</v>
      </c>
    </row>
    <row r="26" spans="2:9" ht="4.5" customHeight="1" x14ac:dyDescent="0.2"/>
    <row r="27" spans="2:9" ht="15.75" thickBot="1" x14ac:dyDescent="0.25">
      <c r="B27" s="198" t="s">
        <v>364</v>
      </c>
      <c r="C27" s="212">
        <f>C23/(C24-C25)</f>
        <v>63166.269613237819</v>
      </c>
    </row>
    <row r="30" spans="2:9" x14ac:dyDescent="0.2">
      <c r="B30" s="283" t="s">
        <v>370</v>
      </c>
      <c r="C30" s="283"/>
    </row>
    <row r="32" spans="2:9" x14ac:dyDescent="0.2">
      <c r="B32" t="s">
        <v>357</v>
      </c>
      <c r="C32" s="45">
        <f>SUM(D15:H15)</f>
        <v>-6937.9042449760418</v>
      </c>
    </row>
    <row r="33" spans="2:3" x14ac:dyDescent="0.2">
      <c r="B33" t="s">
        <v>365</v>
      </c>
      <c r="C33" s="45">
        <f>C27*H13</f>
        <v>32806.742957664486</v>
      </c>
    </row>
    <row r="34" spans="2:3" x14ac:dyDescent="0.2">
      <c r="B34" s="35" t="s">
        <v>366</v>
      </c>
      <c r="C34" s="211">
        <f>SUM(C32:C33)</f>
        <v>25868.838712688445</v>
      </c>
    </row>
    <row r="36" spans="2:3" x14ac:dyDescent="0.2">
      <c r="B36" t="s">
        <v>367</v>
      </c>
      <c r="C36">
        <f>'Data Sheet'!K68</f>
        <v>2422.61</v>
      </c>
    </row>
    <row r="37" spans="2:3" x14ac:dyDescent="0.2">
      <c r="B37" t="s">
        <v>368</v>
      </c>
      <c r="C37" s="144">
        <f>SUM('RAW FS'!N12:N13)</f>
        <v>2539</v>
      </c>
    </row>
    <row r="38" spans="2:3" ht="15.75" thickBot="1" x14ac:dyDescent="0.25">
      <c r="B38" s="198" t="s">
        <v>369</v>
      </c>
      <c r="C38" s="212">
        <f>C34+C36-C37</f>
        <v>25752.448712688445</v>
      </c>
    </row>
  </sheetData>
  <mergeCells count="2">
    <mergeCell ref="B21:C21"/>
    <mergeCell ref="B30:C30"/>
  </mergeCells>
  <pageMargins left="0.7" right="0.7" top="0.75" bottom="0.75" header="0.3" footer="0.3"/>
  <ignoredErrors>
    <ignoredError sqref="C37" formulaRange="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99E2-4B99-4D94-87B2-E5C64B6925C0}">
  <sheetPr>
    <tabColor rgb="FFFF7C80"/>
  </sheetPr>
  <dimension ref="A1:P29"/>
  <sheetViews>
    <sheetView showGridLines="0" topLeftCell="A2" workbookViewId="0">
      <selection activeCell="F24" sqref="F24"/>
    </sheetView>
  </sheetViews>
  <sheetFormatPr defaultRowHeight="15" x14ac:dyDescent="0.2"/>
  <cols>
    <col min="1" max="1" width="1.8828125" customWidth="1"/>
    <col min="2" max="2" width="17.75390625" style="71" bestFit="1" customWidth="1"/>
    <col min="3" max="5" width="12.64453125" customWidth="1"/>
    <col min="8" max="8" width="18.0234375" bestFit="1" customWidth="1"/>
    <col min="9" max="9" width="11.97265625" bestFit="1" customWidth="1"/>
    <col min="10" max="10" width="14.52734375" bestFit="1" customWidth="1"/>
    <col min="11" max="12" width="11.97265625" bestFit="1" customWidth="1"/>
    <col min="13" max="13" width="13.44921875" bestFit="1" customWidth="1"/>
    <col min="14" max="14" width="11.97265625" bestFit="1" customWidth="1"/>
    <col min="15" max="15" width="12.375" bestFit="1" customWidth="1"/>
    <col min="16" max="16" width="12.5078125" bestFit="1" customWidth="1"/>
  </cols>
  <sheetData>
    <row r="1" spans="1:16" x14ac:dyDescent="0.2">
      <c r="E1" t="s">
        <v>351</v>
      </c>
    </row>
    <row r="2" spans="1:16" x14ac:dyDescent="0.2">
      <c r="B2" s="284" t="str">
        <f>'Data Sheet'!B1</f>
        <v>SHREE CEMENT LTD</v>
      </c>
      <c r="C2" s="282"/>
      <c r="D2" s="282"/>
      <c r="E2" s="282"/>
      <c r="F2" s="70"/>
      <c r="G2" s="70"/>
    </row>
    <row r="3" spans="1:16" s="8" customFormat="1" x14ac:dyDescent="0.2">
      <c r="A3"/>
      <c r="B3" s="72" t="s">
        <v>155</v>
      </c>
      <c r="C3" s="73" t="s">
        <v>156</v>
      </c>
      <c r="D3" s="73" t="s">
        <v>15</v>
      </c>
      <c r="E3" s="73" t="s">
        <v>59</v>
      </c>
    </row>
    <row r="4" spans="1:16" x14ac:dyDescent="0.2">
      <c r="B4" s="61">
        <v>1</v>
      </c>
      <c r="C4" s="74">
        <v>2014</v>
      </c>
      <c r="D4" s="80">
        <v>5715</v>
      </c>
      <c r="H4" t="s">
        <v>160</v>
      </c>
    </row>
    <row r="5" spans="1:16" ht="15.75" thickBot="1" x14ac:dyDescent="0.25">
      <c r="B5" s="61">
        <v>2</v>
      </c>
      <c r="C5" s="74">
        <v>2015</v>
      </c>
      <c r="D5" s="80">
        <v>6259</v>
      </c>
      <c r="E5" s="39">
        <f>D5/D4-1</f>
        <v>9.5188101487314158E-2</v>
      </c>
    </row>
    <row r="6" spans="1:16" x14ac:dyDescent="0.2">
      <c r="B6" s="61">
        <v>3</v>
      </c>
      <c r="C6" s="74">
        <v>2016</v>
      </c>
      <c r="D6" s="80">
        <v>5514</v>
      </c>
      <c r="E6" s="39">
        <f t="shared" ref="E6:E18" si="0">D6/D5-1</f>
        <v>-0.11902859881770256</v>
      </c>
      <c r="H6" s="79" t="s">
        <v>161</v>
      </c>
      <c r="I6" s="79"/>
    </row>
    <row r="7" spans="1:16" x14ac:dyDescent="0.2">
      <c r="B7" s="61">
        <v>4</v>
      </c>
      <c r="C7" s="74">
        <v>2017</v>
      </c>
      <c r="D7" s="80">
        <v>8594</v>
      </c>
      <c r="E7" s="39">
        <f t="shared" si="0"/>
        <v>0.5585781646717447</v>
      </c>
      <c r="H7" s="76" t="s">
        <v>162</v>
      </c>
      <c r="I7" s="76">
        <v>0.97620447244099795</v>
      </c>
    </row>
    <row r="8" spans="1:16" x14ac:dyDescent="0.2">
      <c r="B8" s="61">
        <v>5</v>
      </c>
      <c r="C8" s="74">
        <v>2018</v>
      </c>
      <c r="D8" s="80">
        <v>9826</v>
      </c>
      <c r="E8" s="39">
        <f t="shared" si="0"/>
        <v>0.14335582964859195</v>
      </c>
      <c r="H8" s="76" t="s">
        <v>163</v>
      </c>
      <c r="I8" s="76">
        <v>0.9529751720138071</v>
      </c>
    </row>
    <row r="9" spans="1:16" x14ac:dyDescent="0.2">
      <c r="B9" s="61">
        <v>6</v>
      </c>
      <c r="C9" s="74">
        <v>2019</v>
      </c>
      <c r="D9" s="80">
        <v>11722</v>
      </c>
      <c r="E9" s="39">
        <f t="shared" si="0"/>
        <v>0.19295745980052925</v>
      </c>
      <c r="H9" s="76" t="s">
        <v>164</v>
      </c>
      <c r="I9" s="76">
        <v>0.9470970685155331</v>
      </c>
    </row>
    <row r="10" spans="1:16" x14ac:dyDescent="0.2">
      <c r="B10" s="61">
        <v>7</v>
      </c>
      <c r="C10" s="74">
        <v>2020</v>
      </c>
      <c r="D10" s="80">
        <v>11904</v>
      </c>
      <c r="E10" s="39">
        <f t="shared" si="0"/>
        <v>1.5526360689302132E-2</v>
      </c>
      <c r="H10" s="76" t="s">
        <v>165</v>
      </c>
      <c r="I10" s="76">
        <v>882.08537946542754</v>
      </c>
    </row>
    <row r="11" spans="1:16" ht="15.75" thickBot="1" x14ac:dyDescent="0.25">
      <c r="B11" s="61">
        <v>8</v>
      </c>
      <c r="C11" s="74">
        <v>2021</v>
      </c>
      <c r="D11" s="80">
        <v>12669</v>
      </c>
      <c r="E11" s="39">
        <f t="shared" si="0"/>
        <v>6.4264112903225756E-2</v>
      </c>
      <c r="H11" s="77" t="s">
        <v>166</v>
      </c>
      <c r="I11" s="77">
        <v>10</v>
      </c>
    </row>
    <row r="12" spans="1:16" x14ac:dyDescent="0.2">
      <c r="B12" s="61">
        <v>9</v>
      </c>
      <c r="C12" s="74">
        <v>2022</v>
      </c>
      <c r="D12" s="80">
        <v>14306</v>
      </c>
      <c r="E12" s="39">
        <f t="shared" si="0"/>
        <v>0.12921303970321252</v>
      </c>
    </row>
    <row r="13" spans="1:16" ht="15.75" thickBot="1" x14ac:dyDescent="0.25">
      <c r="B13" s="61">
        <v>10</v>
      </c>
      <c r="C13" s="74">
        <v>2023</v>
      </c>
      <c r="D13" s="80">
        <v>16837</v>
      </c>
      <c r="E13" s="39">
        <f t="shared" si="0"/>
        <v>0.17691877533901867</v>
      </c>
      <c r="H13" t="s">
        <v>167</v>
      </c>
    </row>
    <row r="14" spans="1:16" x14ac:dyDescent="0.2">
      <c r="B14" s="61">
        <v>11</v>
      </c>
      <c r="C14" s="75">
        <v>2024</v>
      </c>
      <c r="D14" s="80">
        <f>FORECAST(B14,$D$4:$D$13,$B$4:$B$13)</f>
        <v>17135.533333333333</v>
      </c>
      <c r="E14" s="39">
        <f t="shared" si="0"/>
        <v>1.7730791312783323E-2</v>
      </c>
      <c r="H14" s="78"/>
      <c r="I14" s="78" t="s">
        <v>171</v>
      </c>
      <c r="J14" s="78" t="s">
        <v>172</v>
      </c>
      <c r="K14" s="78" t="s">
        <v>173</v>
      </c>
      <c r="L14" s="78" t="s">
        <v>174</v>
      </c>
      <c r="M14" s="78" t="s">
        <v>175</v>
      </c>
    </row>
    <row r="15" spans="1:16" s="1" customFormat="1" x14ac:dyDescent="0.2">
      <c r="B15" s="61">
        <v>12</v>
      </c>
      <c r="C15" s="75">
        <v>2025</v>
      </c>
      <c r="D15" s="80">
        <f t="shared" ref="D15:D18" si="1">FORECAST(B15,$D$4:$D$13,$B$4:$B$13)</f>
        <v>18372.066666666666</v>
      </c>
      <c r="E15" s="39">
        <f t="shared" si="0"/>
        <v>7.2161940295603966E-2</v>
      </c>
      <c r="H15" s="76" t="s">
        <v>168</v>
      </c>
      <c r="I15" s="76">
        <v>1</v>
      </c>
      <c r="J15" s="76">
        <v>126143711.46666667</v>
      </c>
      <c r="K15" s="76">
        <v>126143711.46666667</v>
      </c>
      <c r="L15" s="76">
        <v>162.1228976818139</v>
      </c>
      <c r="M15" s="76">
        <v>1.363025277675398E-6</v>
      </c>
      <c r="N15"/>
      <c r="O15"/>
      <c r="P15"/>
    </row>
    <row r="16" spans="1:16" s="1" customFormat="1" x14ac:dyDescent="0.2">
      <c r="B16" s="61">
        <v>13</v>
      </c>
      <c r="C16" s="75">
        <v>2026</v>
      </c>
      <c r="D16" s="80">
        <f t="shared" si="1"/>
        <v>19608.599999999999</v>
      </c>
      <c r="E16" s="39">
        <f t="shared" si="0"/>
        <v>6.7305075458758079E-2</v>
      </c>
      <c r="H16" s="76" t="s">
        <v>169</v>
      </c>
      <c r="I16" s="76">
        <v>8</v>
      </c>
      <c r="J16" s="76">
        <v>6224596.9333333382</v>
      </c>
      <c r="K16" s="76">
        <v>778074.61666666728</v>
      </c>
      <c r="L16" s="76"/>
      <c r="M16" s="76"/>
      <c r="N16"/>
      <c r="O16"/>
      <c r="P16"/>
    </row>
    <row r="17" spans="2:16" s="1" customFormat="1" ht="15.75" thickBot="1" x14ac:dyDescent="0.25">
      <c r="B17" s="61">
        <v>14</v>
      </c>
      <c r="C17" s="75">
        <v>2027</v>
      </c>
      <c r="D17" s="80">
        <f t="shared" si="1"/>
        <v>20845.133333333335</v>
      </c>
      <c r="E17" s="39">
        <f t="shared" si="0"/>
        <v>6.3060765854438205E-2</v>
      </c>
      <c r="H17" s="77" t="s">
        <v>38</v>
      </c>
      <c r="I17" s="77">
        <v>9</v>
      </c>
      <c r="J17" s="77">
        <v>132368308.40000001</v>
      </c>
      <c r="K17" s="77"/>
      <c r="L17" s="77"/>
      <c r="M17" s="77"/>
      <c r="N17"/>
      <c r="O17"/>
      <c r="P17"/>
    </row>
    <row r="18" spans="2:16" ht="15.75" thickBot="1" x14ac:dyDescent="0.25">
      <c r="B18" s="61">
        <v>15</v>
      </c>
      <c r="C18" s="75">
        <v>2028</v>
      </c>
      <c r="D18" s="80">
        <f t="shared" si="1"/>
        <v>22081.666666666668</v>
      </c>
      <c r="E18" s="39">
        <f t="shared" si="0"/>
        <v>5.9320001151347945E-2</v>
      </c>
    </row>
    <row r="19" spans="2:16" x14ac:dyDescent="0.2">
      <c r="H19" s="78"/>
      <c r="I19" s="78" t="s">
        <v>176</v>
      </c>
      <c r="J19" s="78" t="s">
        <v>165</v>
      </c>
      <c r="K19" s="78" t="s">
        <v>177</v>
      </c>
      <c r="L19" s="78" t="s">
        <v>178</v>
      </c>
      <c r="M19" s="78" t="s">
        <v>179</v>
      </c>
      <c r="N19" s="78" t="s">
        <v>180</v>
      </c>
      <c r="O19" s="78" t="s">
        <v>181</v>
      </c>
      <c r="P19" s="78" t="s">
        <v>182</v>
      </c>
    </row>
    <row r="20" spans="2:16" x14ac:dyDescent="0.2">
      <c r="H20" s="76" t="s">
        <v>170</v>
      </c>
      <c r="I20" s="76">
        <v>3533.6666666666661</v>
      </c>
      <c r="J20" s="76">
        <v>602.57903031700175</v>
      </c>
      <c r="K20" s="76">
        <v>5.8642376997548231</v>
      </c>
      <c r="L20" s="76">
        <v>3.7665486586226793E-4</v>
      </c>
      <c r="M20" s="76">
        <v>2144.1169309683428</v>
      </c>
      <c r="N20" s="76">
        <v>4923.2164023649893</v>
      </c>
      <c r="O20" s="76">
        <v>2144.1169309683428</v>
      </c>
      <c r="P20" s="76">
        <v>4923.2164023649893</v>
      </c>
    </row>
    <row r="21" spans="2:16" ht="15.75" thickBot="1" x14ac:dyDescent="0.25">
      <c r="B21" s="71" t="s">
        <v>157</v>
      </c>
      <c r="C21" s="40">
        <f>AVERAGE(E5:E13)</f>
        <v>0.13966369393613742</v>
      </c>
      <c r="H21" s="77" t="s">
        <v>155</v>
      </c>
      <c r="I21" s="77">
        <v>1236.5333333333335</v>
      </c>
      <c r="J21" s="77">
        <v>97.11440405391717</v>
      </c>
      <c r="K21" s="77">
        <v>12.732749022964912</v>
      </c>
      <c r="L21" s="77">
        <v>1.363025277675398E-6</v>
      </c>
      <c r="M21" s="77">
        <v>1012.5871159971122</v>
      </c>
      <c r="N21" s="77">
        <v>1460.4795506695548</v>
      </c>
      <c r="O21" s="77">
        <v>1012.5871159971122</v>
      </c>
      <c r="P21" s="77">
        <v>1460.4795506695548</v>
      </c>
    </row>
    <row r="23" spans="2:16" x14ac:dyDescent="0.2">
      <c r="B23" s="71" t="s">
        <v>158</v>
      </c>
      <c r="C23" s="38">
        <f>(D13/D4)^(1/B13)-1</f>
        <v>0.11410172770278271</v>
      </c>
      <c r="D23" t="s">
        <v>185</v>
      </c>
    </row>
    <row r="24" spans="2:16" ht="21" x14ac:dyDescent="0.3">
      <c r="C24" s="38">
        <f>_xlfn.RRI(B13,D4,D13)</f>
        <v>0.11410172770278271</v>
      </c>
      <c r="D24" t="s">
        <v>186</v>
      </c>
      <c r="J24" s="87" t="s">
        <v>184</v>
      </c>
    </row>
    <row r="26" spans="2:16" ht="18.75" x14ac:dyDescent="0.25">
      <c r="B26" s="71" t="s">
        <v>159</v>
      </c>
      <c r="C26" s="40">
        <f>_xlfn.STDEV.S(E5:E18)</f>
        <v>0.15045924644795614</v>
      </c>
      <c r="H26" s="285" t="s">
        <v>187</v>
      </c>
      <c r="I26" s="285"/>
      <c r="J26" s="285"/>
    </row>
    <row r="27" spans="2:16" x14ac:dyDescent="0.2">
      <c r="C27" s="39"/>
    </row>
    <row r="28" spans="2:16" x14ac:dyDescent="0.2">
      <c r="B28" s="71" t="s">
        <v>188</v>
      </c>
      <c r="C28" t="s">
        <v>189</v>
      </c>
    </row>
    <row r="29" spans="2:16" x14ac:dyDescent="0.2">
      <c r="C29" s="39"/>
    </row>
  </sheetData>
  <mergeCells count="2">
    <mergeCell ref="B2:E2"/>
    <mergeCell ref="H26:J2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BFD0-FC01-42C5-8BA6-80C07A7A0FC9}">
  <dimension ref="B3:G29"/>
  <sheetViews>
    <sheetView showGridLines="0" workbookViewId="0">
      <selection activeCell="D11" sqref="D11"/>
    </sheetView>
  </sheetViews>
  <sheetFormatPr defaultRowHeight="15" x14ac:dyDescent="0.2"/>
  <cols>
    <col min="2" max="2" width="9.14453125" style="15"/>
  </cols>
  <sheetData>
    <row r="3" spans="2:7" x14ac:dyDescent="0.2">
      <c r="B3" s="21" t="s">
        <v>342</v>
      </c>
    </row>
    <row r="5" spans="2:7" x14ac:dyDescent="0.2">
      <c r="B5" s="15" t="s">
        <v>156</v>
      </c>
      <c r="C5" s="8" t="s">
        <v>341</v>
      </c>
    </row>
    <row r="6" spans="2:7" x14ac:dyDescent="0.2">
      <c r="B6" s="15">
        <v>2000</v>
      </c>
      <c r="C6" s="39">
        <v>-0.14649999999999999</v>
      </c>
    </row>
    <row r="7" spans="2:7" x14ac:dyDescent="0.2">
      <c r="B7" s="15">
        <v>2001</v>
      </c>
      <c r="C7" s="39">
        <v>-0.1618</v>
      </c>
    </row>
    <row r="8" spans="2:7" x14ac:dyDescent="0.2">
      <c r="B8" s="15">
        <v>2002</v>
      </c>
      <c r="C8" s="39">
        <v>3.2500000000000001E-2</v>
      </c>
    </row>
    <row r="9" spans="2:7" x14ac:dyDescent="0.2">
      <c r="B9" s="15">
        <v>2003</v>
      </c>
      <c r="C9" s="39">
        <v>0.71900000000000008</v>
      </c>
      <c r="E9" t="s">
        <v>343</v>
      </c>
      <c r="G9" s="40">
        <f>AVERAGE(C6:C28)</f>
        <v>0.15411739130434784</v>
      </c>
    </row>
    <row r="10" spans="2:7" ht="17.25" x14ac:dyDescent="0.2">
      <c r="B10" s="15">
        <v>2004</v>
      </c>
      <c r="C10" s="39">
        <v>0.10679999999999999</v>
      </c>
      <c r="E10" t="s">
        <v>344</v>
      </c>
      <c r="G10" s="40" t="s">
        <v>345</v>
      </c>
    </row>
    <row r="11" spans="2:7" x14ac:dyDescent="0.2">
      <c r="B11" s="15">
        <v>2005</v>
      </c>
      <c r="C11" s="39">
        <v>0.36340000000000006</v>
      </c>
    </row>
    <row r="12" spans="2:7" x14ac:dyDescent="0.2">
      <c r="B12" s="15">
        <v>2006</v>
      </c>
      <c r="C12" s="39">
        <v>0.39829999999999999</v>
      </c>
      <c r="E12" t="s">
        <v>346</v>
      </c>
      <c r="G12" s="40">
        <f>SUM(G9:G10)</f>
        <v>0.15411739130434784</v>
      </c>
    </row>
    <row r="13" spans="2:7" x14ac:dyDescent="0.2">
      <c r="B13" s="15">
        <v>2007</v>
      </c>
      <c r="C13" s="39">
        <v>0.54770000000000008</v>
      </c>
    </row>
    <row r="14" spans="2:7" x14ac:dyDescent="0.2">
      <c r="B14" s="15">
        <v>2008</v>
      </c>
      <c r="C14" s="39">
        <v>-0.51790000000000003</v>
      </c>
    </row>
    <row r="15" spans="2:7" x14ac:dyDescent="0.2">
      <c r="B15" s="15">
        <v>2009</v>
      </c>
      <c r="C15" s="39">
        <v>0.75760000000000005</v>
      </c>
    </row>
    <row r="16" spans="2:7" x14ac:dyDescent="0.2">
      <c r="B16" s="15">
        <v>2010</v>
      </c>
      <c r="C16" s="39">
        <v>0.17949999999999999</v>
      </c>
    </row>
    <row r="17" spans="2:3" x14ac:dyDescent="0.2">
      <c r="B17" s="15">
        <v>2011</v>
      </c>
      <c r="C17" s="39">
        <v>-0.2462</v>
      </c>
    </row>
    <row r="18" spans="2:3" x14ac:dyDescent="0.2">
      <c r="B18" s="15">
        <v>2012</v>
      </c>
      <c r="C18" s="39">
        <v>0.27699999999999997</v>
      </c>
    </row>
    <row r="19" spans="2:3" x14ac:dyDescent="0.2">
      <c r="B19" s="15">
        <v>2013</v>
      </c>
      <c r="C19" s="39">
        <v>6.7599999999999993E-2</v>
      </c>
    </row>
    <row r="20" spans="2:3" x14ac:dyDescent="0.2">
      <c r="B20" s="15">
        <v>2014</v>
      </c>
      <c r="C20" s="39">
        <v>0.31390000000000001</v>
      </c>
    </row>
    <row r="21" spans="2:3" x14ac:dyDescent="0.2">
      <c r="B21" s="15">
        <v>2015</v>
      </c>
      <c r="C21" s="39">
        <v>-4.0599999999999997E-2</v>
      </c>
    </row>
    <row r="22" spans="2:3" x14ac:dyDescent="0.2">
      <c r="B22" s="15">
        <v>2016</v>
      </c>
      <c r="C22" s="39">
        <v>3.0099999999999998E-2</v>
      </c>
    </row>
    <row r="23" spans="2:3" x14ac:dyDescent="0.2">
      <c r="B23" s="15">
        <v>2017</v>
      </c>
      <c r="C23" s="39">
        <v>0.28649999999999998</v>
      </c>
    </row>
    <row r="24" spans="2:3" x14ac:dyDescent="0.2">
      <c r="B24" s="15">
        <v>2018</v>
      </c>
      <c r="C24" s="39">
        <v>3.15E-2</v>
      </c>
    </row>
    <row r="25" spans="2:3" x14ac:dyDescent="0.2">
      <c r="B25" s="15">
        <v>2019</v>
      </c>
      <c r="C25" s="39">
        <v>0.1202</v>
      </c>
    </row>
    <row r="26" spans="2:3" x14ac:dyDescent="0.2">
      <c r="B26" s="15">
        <v>2020</v>
      </c>
      <c r="C26" s="39">
        <v>0.14169999999999999</v>
      </c>
    </row>
    <row r="27" spans="2:3" x14ac:dyDescent="0.2">
      <c r="B27" s="15">
        <v>2021</v>
      </c>
      <c r="C27" s="39">
        <v>0.2412</v>
      </c>
    </row>
    <row r="28" spans="2:3" x14ac:dyDescent="0.2">
      <c r="B28" s="15">
        <v>2022</v>
      </c>
      <c r="C28" s="39">
        <v>4.3200000000000002E-2</v>
      </c>
    </row>
    <row r="29" spans="2:3" x14ac:dyDescent="0.2">
      <c r="B29" s="15">
        <v>2023</v>
      </c>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E3114-6734-445B-BB5D-7420DD9F9E11}">
  <dimension ref="B1:N45"/>
  <sheetViews>
    <sheetView showGridLines="0" workbookViewId="0">
      <selection activeCell="F21" sqref="F21"/>
    </sheetView>
  </sheetViews>
  <sheetFormatPr defaultRowHeight="15" x14ac:dyDescent="0.2"/>
  <cols>
    <col min="2" max="2" width="24.88671875" bestFit="1" customWidth="1"/>
    <col min="3" max="14" width="10.76171875" customWidth="1"/>
  </cols>
  <sheetData>
    <row r="1" spans="2:14" s="1" customFormat="1" x14ac:dyDescent="0.2"/>
    <row r="2" spans="2:14" s="1" customFormat="1" x14ac:dyDescent="0.2"/>
    <row r="3" spans="2:14" s="1" customFormat="1" x14ac:dyDescent="0.2">
      <c r="B3" s="135" t="s">
        <v>241</v>
      </c>
      <c r="C3" s="136">
        <v>87819</v>
      </c>
      <c r="D3" s="137" t="s">
        <v>243</v>
      </c>
    </row>
    <row r="4" spans="2:14" s="1" customFormat="1" x14ac:dyDescent="0.2">
      <c r="B4" s="135" t="s">
        <v>242</v>
      </c>
      <c r="C4" s="136">
        <v>24340</v>
      </c>
      <c r="D4" s="137"/>
      <c r="F4" s="134"/>
      <c r="L4"/>
    </row>
    <row r="5" spans="2:14" s="1" customFormat="1" x14ac:dyDescent="0.2">
      <c r="B5" s="135" t="s">
        <v>244</v>
      </c>
      <c r="C5" s="136">
        <v>27049</v>
      </c>
      <c r="D5" s="136">
        <v>19450</v>
      </c>
    </row>
    <row r="7" spans="2:14" x14ac:dyDescent="0.2">
      <c r="B7" s="95" t="s">
        <v>190</v>
      </c>
      <c r="C7" s="96">
        <v>41061</v>
      </c>
      <c r="D7" s="96">
        <v>41426</v>
      </c>
      <c r="E7" s="96">
        <v>41791</v>
      </c>
      <c r="F7" s="96">
        <v>42156</v>
      </c>
      <c r="G7" s="96">
        <v>42430</v>
      </c>
      <c r="H7" s="96">
        <v>42795</v>
      </c>
      <c r="I7" s="96">
        <v>43160</v>
      </c>
      <c r="J7" s="96">
        <v>43525</v>
      </c>
      <c r="K7" s="96">
        <v>43891</v>
      </c>
      <c r="L7" s="96">
        <v>44256</v>
      </c>
      <c r="M7" s="96">
        <v>44621</v>
      </c>
      <c r="N7" s="96">
        <v>44986</v>
      </c>
    </row>
    <row r="9" spans="2:14" x14ac:dyDescent="0.2">
      <c r="B9" s="35" t="s">
        <v>219</v>
      </c>
      <c r="C9" s="99">
        <v>34.840000000000003</v>
      </c>
      <c r="D9" s="99">
        <v>34.840000000000003</v>
      </c>
      <c r="E9" s="99">
        <v>34.840000000000003</v>
      </c>
      <c r="F9" s="99">
        <v>34.840000000000003</v>
      </c>
      <c r="G9" s="99">
        <v>34.840000000000003</v>
      </c>
      <c r="H9" s="99">
        <v>34.840000000000003</v>
      </c>
      <c r="I9" s="99">
        <v>34.840000000000003</v>
      </c>
      <c r="J9" s="99">
        <v>34.840000000000003</v>
      </c>
      <c r="K9" s="99">
        <v>36.08</v>
      </c>
      <c r="L9" s="99">
        <v>36.08</v>
      </c>
      <c r="M9" s="99">
        <v>36.08</v>
      </c>
      <c r="N9" s="99">
        <v>36.08</v>
      </c>
    </row>
    <row r="10" spans="2:14" x14ac:dyDescent="0.2">
      <c r="B10" s="35" t="s">
        <v>35</v>
      </c>
      <c r="C10" s="99">
        <v>2699</v>
      </c>
      <c r="D10" s="99">
        <v>3809</v>
      </c>
      <c r="E10" s="99">
        <v>4676</v>
      </c>
      <c r="F10" s="99">
        <v>5242</v>
      </c>
      <c r="G10" s="99">
        <v>6811</v>
      </c>
      <c r="H10" s="99">
        <v>7663</v>
      </c>
      <c r="I10" s="99">
        <v>8862</v>
      </c>
      <c r="J10" s="99">
        <v>9563</v>
      </c>
      <c r="K10" s="99">
        <v>12900</v>
      </c>
      <c r="L10" s="99">
        <v>15214</v>
      </c>
      <c r="M10" s="99">
        <v>17235</v>
      </c>
      <c r="N10" s="99">
        <v>18252</v>
      </c>
    </row>
    <row r="11" spans="2:14" x14ac:dyDescent="0.2">
      <c r="B11" s="35" t="s">
        <v>215</v>
      </c>
      <c r="C11" s="99"/>
      <c r="D11" s="99"/>
      <c r="E11" s="99"/>
      <c r="F11" s="99"/>
      <c r="G11" s="99"/>
      <c r="H11" s="99"/>
      <c r="I11" s="99"/>
      <c r="J11" s="99"/>
      <c r="K11" s="99"/>
      <c r="L11" s="99"/>
      <c r="M11" s="99"/>
      <c r="N11" s="99"/>
    </row>
    <row r="12" spans="2:14" x14ac:dyDescent="0.2">
      <c r="B12" t="s">
        <v>191</v>
      </c>
      <c r="C12" s="99">
        <v>818</v>
      </c>
      <c r="D12" s="99">
        <v>443</v>
      </c>
      <c r="E12" s="99">
        <v>447</v>
      </c>
      <c r="F12" s="99">
        <v>401</v>
      </c>
      <c r="G12" s="99">
        <v>531</v>
      </c>
      <c r="H12" s="99">
        <v>519</v>
      </c>
      <c r="I12" s="99">
        <v>2208</v>
      </c>
      <c r="J12" s="99">
        <v>2309</v>
      </c>
      <c r="K12" s="99">
        <v>0</v>
      </c>
      <c r="L12" s="99">
        <v>1332</v>
      </c>
      <c r="M12" s="99">
        <v>1298</v>
      </c>
      <c r="N12" s="99">
        <v>581</v>
      </c>
    </row>
    <row r="13" spans="2:14" x14ac:dyDescent="0.2">
      <c r="B13" t="s">
        <v>192</v>
      </c>
      <c r="C13" s="99">
        <v>603</v>
      </c>
      <c r="D13" s="99">
        <v>534</v>
      </c>
      <c r="E13" s="99">
        <v>632</v>
      </c>
      <c r="F13" s="99">
        <v>215</v>
      </c>
      <c r="G13" s="99">
        <v>196</v>
      </c>
      <c r="H13" s="99">
        <v>774</v>
      </c>
      <c r="I13" s="99">
        <v>1186</v>
      </c>
      <c r="J13" s="99">
        <v>468</v>
      </c>
      <c r="K13" s="99">
        <v>0</v>
      </c>
      <c r="L13" s="99">
        <v>508</v>
      </c>
      <c r="M13" s="99">
        <v>716</v>
      </c>
      <c r="N13" s="99">
        <v>1958</v>
      </c>
    </row>
    <row r="14" spans="2:14" x14ac:dyDescent="0.2">
      <c r="B14" t="s">
        <v>193</v>
      </c>
      <c r="C14" s="99">
        <v>0</v>
      </c>
      <c r="D14" s="99">
        <v>0</v>
      </c>
      <c r="E14" s="99">
        <v>0</v>
      </c>
      <c r="F14" s="99">
        <v>0</v>
      </c>
      <c r="G14" s="99">
        <v>0</v>
      </c>
      <c r="H14" s="99">
        <v>0</v>
      </c>
      <c r="I14" s="99">
        <v>0</v>
      </c>
      <c r="J14" s="99">
        <v>0</v>
      </c>
      <c r="K14" s="99">
        <v>0</v>
      </c>
      <c r="L14" s="99">
        <v>23</v>
      </c>
      <c r="M14" s="99">
        <v>195</v>
      </c>
      <c r="N14" s="99">
        <v>272</v>
      </c>
    </row>
    <row r="15" spans="2:14" x14ac:dyDescent="0.2">
      <c r="B15" t="s">
        <v>194</v>
      </c>
      <c r="C15" s="99">
        <v>743</v>
      </c>
      <c r="D15" s="99">
        <v>311</v>
      </c>
      <c r="E15" s="99">
        <v>122</v>
      </c>
      <c r="F15" s="99">
        <v>300</v>
      </c>
      <c r="G15" s="99">
        <v>154</v>
      </c>
      <c r="H15" s="99">
        <v>0</v>
      </c>
      <c r="I15" s="99">
        <v>9</v>
      </c>
      <c r="J15" s="99">
        <v>21</v>
      </c>
      <c r="K15" s="99">
        <v>3144</v>
      </c>
      <c r="L15" s="99">
        <v>294</v>
      </c>
      <c r="M15" s="99">
        <v>0</v>
      </c>
      <c r="N15" s="99">
        <v>0</v>
      </c>
    </row>
    <row r="16" spans="2:14" x14ac:dyDescent="0.2">
      <c r="B16" s="35" t="s">
        <v>216</v>
      </c>
      <c r="C16" s="99"/>
      <c r="D16" s="99"/>
      <c r="E16" s="99"/>
      <c r="F16" s="99"/>
      <c r="G16" s="99"/>
      <c r="H16" s="99"/>
      <c r="I16" s="99"/>
      <c r="J16" s="99"/>
      <c r="K16" s="99"/>
      <c r="L16" s="99"/>
      <c r="M16" s="99"/>
      <c r="N16" s="99"/>
    </row>
    <row r="17" spans="2:14" x14ac:dyDescent="0.2">
      <c r="B17" t="s">
        <v>195</v>
      </c>
      <c r="C17" s="99">
        <v>124</v>
      </c>
      <c r="D17" s="99">
        <v>81</v>
      </c>
      <c r="E17" s="99">
        <v>188</v>
      </c>
      <c r="F17" s="99">
        <v>292</v>
      </c>
      <c r="G17" s="99">
        <v>257</v>
      </c>
      <c r="H17" s="99">
        <v>352</v>
      </c>
      <c r="I17" s="99">
        <v>727</v>
      </c>
      <c r="J17" s="99">
        <v>451</v>
      </c>
      <c r="K17" s="99">
        <v>528</v>
      </c>
      <c r="L17" s="99">
        <v>786</v>
      </c>
      <c r="M17" s="99">
        <v>804</v>
      </c>
      <c r="N17" s="99">
        <v>1129</v>
      </c>
    </row>
    <row r="18" spans="2:14" x14ac:dyDescent="0.2">
      <c r="B18" t="s">
        <v>196</v>
      </c>
      <c r="C18" s="99">
        <v>64</v>
      </c>
      <c r="D18" s="99">
        <v>64</v>
      </c>
      <c r="E18" s="99">
        <v>74</v>
      </c>
      <c r="F18" s="99">
        <v>93</v>
      </c>
      <c r="G18" s="99">
        <v>93</v>
      </c>
      <c r="H18" s="99">
        <v>149</v>
      </c>
      <c r="I18" s="99">
        <v>164</v>
      </c>
      <c r="J18" s="99">
        <v>134</v>
      </c>
      <c r="K18" s="99">
        <v>205</v>
      </c>
      <c r="L18" s="99">
        <v>194</v>
      </c>
      <c r="M18" s="99">
        <v>232</v>
      </c>
      <c r="N18" s="99">
        <v>266</v>
      </c>
    </row>
    <row r="19" spans="2:14" x14ac:dyDescent="0.2">
      <c r="B19" t="s">
        <v>197</v>
      </c>
      <c r="C19" s="99">
        <v>798</v>
      </c>
      <c r="D19" s="99">
        <v>884</v>
      </c>
      <c r="E19" s="99">
        <v>1157</v>
      </c>
      <c r="F19" s="99">
        <v>1419</v>
      </c>
      <c r="G19" s="99">
        <v>1387</v>
      </c>
      <c r="H19" s="99">
        <v>1674</v>
      </c>
      <c r="I19" s="99">
        <v>1951</v>
      </c>
      <c r="J19" s="99">
        <v>2213</v>
      </c>
      <c r="K19" s="99">
        <v>2525</v>
      </c>
      <c r="L19" s="99">
        <v>2653</v>
      </c>
      <c r="M19" s="99">
        <v>2899</v>
      </c>
      <c r="N19" s="99">
        <v>3325</v>
      </c>
    </row>
    <row r="20" spans="2:14" x14ac:dyDescent="0.2">
      <c r="B20" s="97" t="s">
        <v>83</v>
      </c>
      <c r="C20" s="100">
        <v>5884</v>
      </c>
      <c r="D20" s="100">
        <v>6160</v>
      </c>
      <c r="E20" s="100">
        <v>7329</v>
      </c>
      <c r="F20" s="100">
        <v>7998</v>
      </c>
      <c r="G20" s="100">
        <v>9463</v>
      </c>
      <c r="H20" s="100">
        <v>11166</v>
      </c>
      <c r="I20" s="100">
        <v>15142</v>
      </c>
      <c r="J20" s="100">
        <v>15193</v>
      </c>
      <c r="K20" s="100">
        <v>19338</v>
      </c>
      <c r="L20" s="100">
        <v>21039</v>
      </c>
      <c r="M20" s="100">
        <v>23415</v>
      </c>
      <c r="N20" s="100">
        <v>25819</v>
      </c>
    </row>
    <row r="21" spans="2:14" s="1" customFormat="1" x14ac:dyDescent="0.2"/>
    <row r="22" spans="2:14" x14ac:dyDescent="0.2">
      <c r="B22" s="102" t="s">
        <v>217</v>
      </c>
      <c r="C22" s="99"/>
      <c r="D22" s="99"/>
      <c r="E22" s="99"/>
      <c r="F22" s="99"/>
      <c r="G22" s="99"/>
      <c r="H22" s="99"/>
      <c r="I22" s="99"/>
      <c r="J22" s="99"/>
      <c r="K22" s="99"/>
      <c r="L22" s="99"/>
      <c r="M22" s="99"/>
      <c r="N22" s="99"/>
    </row>
    <row r="23" spans="2:14" x14ac:dyDescent="0.2">
      <c r="B23" s="101" t="s">
        <v>198</v>
      </c>
      <c r="C23" s="99">
        <v>383</v>
      </c>
      <c r="D23" s="99">
        <v>485</v>
      </c>
      <c r="E23" s="99">
        <v>662</v>
      </c>
      <c r="F23" s="99">
        <v>709</v>
      </c>
      <c r="G23" s="99">
        <v>739</v>
      </c>
      <c r="H23" s="99">
        <v>892</v>
      </c>
      <c r="I23" s="99">
        <v>1110</v>
      </c>
      <c r="J23" s="99">
        <v>1324</v>
      </c>
      <c r="K23" s="99">
        <v>1571</v>
      </c>
      <c r="L23" s="99">
        <v>1846</v>
      </c>
      <c r="M23" s="99">
        <v>2166</v>
      </c>
      <c r="N23" s="99">
        <v>2335</v>
      </c>
    </row>
    <row r="24" spans="2:14" x14ac:dyDescent="0.2">
      <c r="B24" s="101" t="s">
        <v>199</v>
      </c>
      <c r="C24" s="99">
        <v>184</v>
      </c>
      <c r="D24" s="99">
        <v>209</v>
      </c>
      <c r="E24" s="99">
        <v>226</v>
      </c>
      <c r="F24" s="99">
        <v>387</v>
      </c>
      <c r="G24" s="99">
        <v>356</v>
      </c>
      <c r="H24" s="99">
        <v>454</v>
      </c>
      <c r="I24" s="99">
        <v>639</v>
      </c>
      <c r="J24" s="99">
        <v>890</v>
      </c>
      <c r="K24" s="99">
        <v>1082</v>
      </c>
      <c r="L24" s="99">
        <v>1188</v>
      </c>
      <c r="M24" s="99">
        <v>1345</v>
      </c>
      <c r="N24" s="99">
        <v>1538</v>
      </c>
    </row>
    <row r="25" spans="2:14" x14ac:dyDescent="0.2">
      <c r="B25" s="101" t="s">
        <v>200</v>
      </c>
      <c r="C25" s="99">
        <v>4553</v>
      </c>
      <c r="D25" s="99">
        <v>5101</v>
      </c>
      <c r="E25" s="99">
        <v>5829</v>
      </c>
      <c r="F25" s="99">
        <v>7231</v>
      </c>
      <c r="G25" s="99">
        <v>2704</v>
      </c>
      <c r="H25" s="99">
        <v>3174</v>
      </c>
      <c r="I25" s="99">
        <v>4659</v>
      </c>
      <c r="J25" s="99">
        <v>6438</v>
      </c>
      <c r="K25" s="99">
        <v>7477</v>
      </c>
      <c r="L25" s="99">
        <v>8078</v>
      </c>
      <c r="M25" s="99">
        <v>9550</v>
      </c>
      <c r="N25" s="99">
        <v>10420</v>
      </c>
    </row>
    <row r="26" spans="2:14" x14ac:dyDescent="0.2">
      <c r="B26" s="101" t="s">
        <v>201</v>
      </c>
      <c r="C26" s="99">
        <v>37</v>
      </c>
      <c r="D26" s="99">
        <v>45</v>
      </c>
      <c r="E26" s="99">
        <v>54</v>
      </c>
      <c r="F26" s="99">
        <v>63</v>
      </c>
      <c r="G26" s="99">
        <v>19</v>
      </c>
      <c r="H26" s="99">
        <v>32</v>
      </c>
      <c r="I26" s="99">
        <v>39</v>
      </c>
      <c r="J26" s="99">
        <v>51</v>
      </c>
      <c r="K26" s="99">
        <v>65</v>
      </c>
      <c r="L26" s="99">
        <v>71</v>
      </c>
      <c r="M26" s="99">
        <v>80</v>
      </c>
      <c r="N26" s="99">
        <v>92</v>
      </c>
    </row>
    <row r="27" spans="2:14" x14ac:dyDescent="0.2">
      <c r="B27" s="101" t="s">
        <v>202</v>
      </c>
      <c r="C27" s="99">
        <v>24</v>
      </c>
      <c r="D27" s="99">
        <v>32</v>
      </c>
      <c r="E27" s="99">
        <v>38</v>
      </c>
      <c r="F27" s="99">
        <v>41</v>
      </c>
      <c r="G27" s="99">
        <v>17</v>
      </c>
      <c r="H27" s="99">
        <v>22</v>
      </c>
      <c r="I27" s="99">
        <v>30</v>
      </c>
      <c r="J27" s="99">
        <v>37</v>
      </c>
      <c r="K27" s="99">
        <v>43</v>
      </c>
      <c r="L27" s="99">
        <v>45</v>
      </c>
      <c r="M27" s="99">
        <v>53</v>
      </c>
      <c r="N27" s="99">
        <v>61</v>
      </c>
    </row>
    <row r="28" spans="2:14" x14ac:dyDescent="0.2">
      <c r="B28" s="101" t="s">
        <v>203</v>
      </c>
      <c r="C28" s="99">
        <v>13</v>
      </c>
      <c r="D28" s="99">
        <v>13</v>
      </c>
      <c r="E28" s="99">
        <v>35</v>
      </c>
      <c r="F28" s="99">
        <v>39</v>
      </c>
      <c r="G28" s="99">
        <v>20</v>
      </c>
      <c r="H28" s="99">
        <v>23</v>
      </c>
      <c r="I28" s="99">
        <v>23</v>
      </c>
      <c r="J28" s="99">
        <v>38</v>
      </c>
      <c r="K28" s="99">
        <v>38</v>
      </c>
      <c r="L28" s="99">
        <v>38</v>
      </c>
      <c r="M28" s="99">
        <v>203</v>
      </c>
      <c r="N28" s="99">
        <v>457</v>
      </c>
    </row>
    <row r="29" spans="2:14" x14ac:dyDescent="0.2">
      <c r="B29" s="101" t="s">
        <v>204</v>
      </c>
      <c r="C29" s="99">
        <v>29</v>
      </c>
      <c r="D29" s="99">
        <v>33</v>
      </c>
      <c r="E29" s="99">
        <v>36</v>
      </c>
      <c r="F29" s="99">
        <v>39</v>
      </c>
      <c r="G29" s="99">
        <v>14</v>
      </c>
      <c r="H29" s="99">
        <v>20</v>
      </c>
      <c r="I29" s="99">
        <v>26</v>
      </c>
      <c r="J29" s="99">
        <v>36</v>
      </c>
      <c r="K29" s="99">
        <v>50</v>
      </c>
      <c r="L29" s="99">
        <v>51</v>
      </c>
      <c r="M29" s="99">
        <v>77</v>
      </c>
      <c r="N29" s="99">
        <v>99</v>
      </c>
    </row>
    <row r="30" spans="2:14" x14ac:dyDescent="0.2">
      <c r="B30" s="101" t="s">
        <v>205</v>
      </c>
      <c r="C30" s="99">
        <v>0</v>
      </c>
      <c r="D30" s="99">
        <v>0</v>
      </c>
      <c r="E30" s="99">
        <v>0</v>
      </c>
      <c r="F30" s="99">
        <v>111</v>
      </c>
      <c r="G30" s="99">
        <v>0</v>
      </c>
      <c r="H30" s="99">
        <v>0</v>
      </c>
      <c r="I30" s="99">
        <v>0</v>
      </c>
      <c r="J30" s="99">
        <v>0</v>
      </c>
      <c r="K30" s="99">
        <v>0</v>
      </c>
      <c r="L30" s="99">
        <v>0</v>
      </c>
      <c r="M30" s="99">
        <v>0</v>
      </c>
      <c r="N30" s="99">
        <v>0</v>
      </c>
    </row>
    <row r="31" spans="2:14" x14ac:dyDescent="0.2">
      <c r="B31" s="101" t="s">
        <v>206</v>
      </c>
      <c r="C31" s="99">
        <v>22</v>
      </c>
      <c r="D31" s="99">
        <v>22</v>
      </c>
      <c r="E31" s="99">
        <v>27</v>
      </c>
      <c r="F31" s="99">
        <v>30</v>
      </c>
      <c r="G31" s="99">
        <v>3</v>
      </c>
      <c r="H31" s="99">
        <v>18</v>
      </c>
      <c r="I31" s="99">
        <v>21</v>
      </c>
      <c r="J31" s="99">
        <v>23</v>
      </c>
      <c r="K31" s="99">
        <v>37</v>
      </c>
      <c r="L31" s="99">
        <v>47</v>
      </c>
      <c r="M31" s="99">
        <v>50</v>
      </c>
      <c r="N31" s="99">
        <v>72</v>
      </c>
    </row>
    <row r="32" spans="2:14" x14ac:dyDescent="0.2">
      <c r="B32" s="102" t="s">
        <v>207</v>
      </c>
      <c r="C32" s="103">
        <v>5245</v>
      </c>
      <c r="D32" s="103">
        <v>5940</v>
      </c>
      <c r="E32" s="103">
        <v>6908</v>
      </c>
      <c r="F32" s="103">
        <v>8650</v>
      </c>
      <c r="G32" s="103">
        <v>3872</v>
      </c>
      <c r="H32" s="103">
        <v>4635</v>
      </c>
      <c r="I32" s="103">
        <v>6548</v>
      </c>
      <c r="J32" s="103">
        <v>8836</v>
      </c>
      <c r="K32" s="103">
        <v>10363</v>
      </c>
      <c r="L32" s="103">
        <v>11364</v>
      </c>
      <c r="M32" s="103">
        <v>13523</v>
      </c>
      <c r="N32" s="103">
        <v>15075</v>
      </c>
    </row>
    <row r="33" spans="2:14" x14ac:dyDescent="0.2">
      <c r="B33" s="102" t="s">
        <v>208</v>
      </c>
      <c r="C33" s="106">
        <v>3724</v>
      </c>
      <c r="D33" s="106">
        <v>4158</v>
      </c>
      <c r="E33" s="106">
        <v>4714</v>
      </c>
      <c r="F33" s="106">
        <v>5645</v>
      </c>
      <c r="G33" s="106">
        <v>822</v>
      </c>
      <c r="H33" s="106">
        <v>2036</v>
      </c>
      <c r="I33" s="106">
        <v>2959</v>
      </c>
      <c r="J33" s="106">
        <v>4361</v>
      </c>
      <c r="K33" s="106">
        <v>6044</v>
      </c>
      <c r="L33" s="106">
        <v>7173</v>
      </c>
      <c r="M33" s="106">
        <v>8201</v>
      </c>
      <c r="N33" s="106">
        <v>9743</v>
      </c>
    </row>
    <row r="34" spans="2:14" s="1" customFormat="1" x14ac:dyDescent="0.2">
      <c r="B34" s="102" t="s">
        <v>39</v>
      </c>
      <c r="C34" s="102">
        <f>C32-C33</f>
        <v>1521</v>
      </c>
      <c r="D34" s="102">
        <f t="shared" ref="D34:N34" si="0">D32-D33</f>
        <v>1782</v>
      </c>
      <c r="E34" s="102">
        <f t="shared" si="0"/>
        <v>2194</v>
      </c>
      <c r="F34" s="102">
        <f t="shared" si="0"/>
        <v>3005</v>
      </c>
      <c r="G34" s="102">
        <f t="shared" si="0"/>
        <v>3050</v>
      </c>
      <c r="H34" s="102">
        <f t="shared" si="0"/>
        <v>2599</v>
      </c>
      <c r="I34" s="102">
        <f t="shared" si="0"/>
        <v>3589</v>
      </c>
      <c r="J34" s="102">
        <f t="shared" si="0"/>
        <v>4475</v>
      </c>
      <c r="K34" s="102">
        <f t="shared" si="0"/>
        <v>4319</v>
      </c>
      <c r="L34" s="102">
        <f t="shared" si="0"/>
        <v>4191</v>
      </c>
      <c r="M34" s="102">
        <f t="shared" si="0"/>
        <v>5322</v>
      </c>
      <c r="N34" s="102">
        <f t="shared" si="0"/>
        <v>5332</v>
      </c>
    </row>
    <row r="35" spans="2:14" s="1" customFormat="1" x14ac:dyDescent="0.2">
      <c r="B35" s="102"/>
      <c r="C35" s="102"/>
      <c r="D35" s="102"/>
      <c r="E35" s="102"/>
      <c r="F35" s="102"/>
      <c r="G35" s="102"/>
      <c r="H35" s="102"/>
      <c r="I35" s="102"/>
      <c r="J35" s="102"/>
      <c r="K35" s="102"/>
      <c r="L35" s="102"/>
      <c r="M35" s="102"/>
      <c r="N35" s="102"/>
    </row>
    <row r="36" spans="2:14" x14ac:dyDescent="0.2">
      <c r="B36" s="102" t="s">
        <v>209</v>
      </c>
      <c r="C36" s="99">
        <v>97</v>
      </c>
      <c r="D36" s="99">
        <v>133</v>
      </c>
      <c r="E36" s="99">
        <v>758</v>
      </c>
      <c r="F36" s="99">
        <v>511</v>
      </c>
      <c r="G36" s="99">
        <v>264</v>
      </c>
      <c r="H36" s="99">
        <v>710</v>
      </c>
      <c r="I36" s="99">
        <v>1427</v>
      </c>
      <c r="J36" s="99">
        <v>1121</v>
      </c>
      <c r="K36" s="99">
        <v>962</v>
      </c>
      <c r="L36" s="99">
        <v>971</v>
      </c>
      <c r="M36" s="99">
        <v>973</v>
      </c>
      <c r="N36" s="99">
        <v>2320</v>
      </c>
    </row>
    <row r="37" spans="2:14" x14ac:dyDescent="0.2">
      <c r="B37" s="102" t="s">
        <v>41</v>
      </c>
      <c r="C37" s="99">
        <v>2535</v>
      </c>
      <c r="D37" s="99">
        <v>2203</v>
      </c>
      <c r="E37" s="99">
        <v>2244</v>
      </c>
      <c r="F37" s="99">
        <v>1663</v>
      </c>
      <c r="G37" s="99">
        <v>3030</v>
      </c>
      <c r="H37" s="99">
        <v>4043</v>
      </c>
      <c r="I37" s="99">
        <v>5434</v>
      </c>
      <c r="J37" s="99">
        <v>4444</v>
      </c>
      <c r="K37" s="99">
        <v>8915</v>
      </c>
      <c r="L37" s="99">
        <v>11051</v>
      </c>
      <c r="M37" s="99">
        <v>11546</v>
      </c>
      <c r="N37" s="99">
        <v>11651</v>
      </c>
    </row>
    <row r="38" spans="2:14" s="1" customFormat="1" x14ac:dyDescent="0.2">
      <c r="B38" s="102"/>
      <c r="C38" s="105"/>
      <c r="D38" s="105"/>
      <c r="E38" s="105"/>
      <c r="F38" s="105"/>
      <c r="G38" s="105"/>
      <c r="H38" s="105"/>
      <c r="I38" s="105"/>
      <c r="J38" s="105"/>
      <c r="K38" s="105"/>
      <c r="L38" s="105"/>
      <c r="M38" s="105"/>
      <c r="N38" s="105"/>
    </row>
    <row r="39" spans="2:14" x14ac:dyDescent="0.2">
      <c r="B39" s="102" t="s">
        <v>218</v>
      </c>
      <c r="C39" s="104"/>
      <c r="D39" s="104"/>
      <c r="E39" s="104"/>
      <c r="F39" s="104"/>
      <c r="G39" s="104"/>
      <c r="H39" s="104"/>
      <c r="I39" s="104"/>
      <c r="J39" s="104"/>
      <c r="K39" s="104"/>
      <c r="L39" s="104"/>
      <c r="M39" s="104"/>
      <c r="N39" s="104"/>
    </row>
    <row r="40" spans="2:14" x14ac:dyDescent="0.2">
      <c r="B40" s="101" t="s">
        <v>210</v>
      </c>
      <c r="C40" s="99">
        <v>503</v>
      </c>
      <c r="D40" s="99">
        <v>530</v>
      </c>
      <c r="E40" s="99">
        <v>810</v>
      </c>
      <c r="F40" s="99">
        <v>919</v>
      </c>
      <c r="G40" s="99">
        <v>815</v>
      </c>
      <c r="H40" s="99">
        <v>1314</v>
      </c>
      <c r="I40" s="99">
        <v>1569</v>
      </c>
      <c r="J40" s="99">
        <v>1589</v>
      </c>
      <c r="K40" s="99">
        <v>1428</v>
      </c>
      <c r="L40" s="99">
        <v>1477</v>
      </c>
      <c r="M40" s="99">
        <v>2161</v>
      </c>
      <c r="N40" s="99">
        <v>2423</v>
      </c>
    </row>
    <row r="41" spans="2:14" x14ac:dyDescent="0.2">
      <c r="B41" s="101" t="s">
        <v>211</v>
      </c>
      <c r="C41" s="99">
        <v>181</v>
      </c>
      <c r="D41" s="99">
        <v>315</v>
      </c>
      <c r="E41" s="99">
        <v>297</v>
      </c>
      <c r="F41" s="99">
        <v>476</v>
      </c>
      <c r="G41" s="99">
        <v>329</v>
      </c>
      <c r="H41" s="99">
        <v>335</v>
      </c>
      <c r="I41" s="99">
        <v>459</v>
      </c>
      <c r="J41" s="99">
        <v>732</v>
      </c>
      <c r="K41" s="99">
        <v>828</v>
      </c>
      <c r="L41" s="99">
        <v>479</v>
      </c>
      <c r="M41" s="99">
        <v>596</v>
      </c>
      <c r="N41" s="99">
        <v>906</v>
      </c>
    </row>
    <row r="42" spans="2:14" x14ac:dyDescent="0.2">
      <c r="B42" s="101" t="s">
        <v>212</v>
      </c>
      <c r="C42" s="99">
        <v>459</v>
      </c>
      <c r="D42" s="99">
        <v>379</v>
      </c>
      <c r="E42" s="99">
        <v>159</v>
      </c>
      <c r="F42" s="99">
        <v>308</v>
      </c>
      <c r="G42" s="99">
        <v>83</v>
      </c>
      <c r="H42" s="99">
        <v>111</v>
      </c>
      <c r="I42" s="99">
        <v>121</v>
      </c>
      <c r="J42" s="99">
        <v>308</v>
      </c>
      <c r="K42" s="99">
        <v>108</v>
      </c>
      <c r="L42" s="99">
        <v>210</v>
      </c>
      <c r="M42" s="99">
        <v>118</v>
      </c>
      <c r="N42" s="99">
        <v>119</v>
      </c>
    </row>
    <row r="43" spans="2:14" x14ac:dyDescent="0.2">
      <c r="B43" s="101" t="s">
        <v>213</v>
      </c>
      <c r="C43" s="99">
        <v>3</v>
      </c>
      <c r="D43" s="99">
        <v>2</v>
      </c>
      <c r="E43" s="99">
        <v>4</v>
      </c>
      <c r="F43" s="99">
        <v>4</v>
      </c>
      <c r="G43" s="99">
        <v>6</v>
      </c>
      <c r="H43" s="99">
        <v>6</v>
      </c>
      <c r="I43" s="99">
        <v>7</v>
      </c>
      <c r="J43" s="99">
        <v>8</v>
      </c>
      <c r="K43" s="99">
        <v>8</v>
      </c>
      <c r="L43" s="99">
        <v>7</v>
      </c>
      <c r="M43" s="99">
        <v>6</v>
      </c>
      <c r="N43" s="99">
        <v>6</v>
      </c>
    </row>
    <row r="44" spans="2:14" x14ac:dyDescent="0.2">
      <c r="B44" s="101" t="s">
        <v>214</v>
      </c>
      <c r="C44" s="105">
        <v>584</v>
      </c>
      <c r="D44" s="105">
        <v>815</v>
      </c>
      <c r="E44" s="105">
        <v>863</v>
      </c>
      <c r="F44" s="105">
        <v>1113</v>
      </c>
      <c r="G44" s="105">
        <v>1886</v>
      </c>
      <c r="H44" s="105">
        <v>2047</v>
      </c>
      <c r="I44" s="105">
        <v>2535</v>
      </c>
      <c r="J44" s="105">
        <v>2516</v>
      </c>
      <c r="K44" s="105">
        <v>2768</v>
      </c>
      <c r="L44" s="105">
        <v>2653</v>
      </c>
      <c r="M44" s="105">
        <v>2694</v>
      </c>
      <c r="N44" s="105">
        <v>3061</v>
      </c>
    </row>
    <row r="45" spans="2:14" x14ac:dyDescent="0.2">
      <c r="B45" s="100" t="s">
        <v>84</v>
      </c>
      <c r="C45" s="100">
        <v>5884</v>
      </c>
      <c r="D45" s="100">
        <v>6160</v>
      </c>
      <c r="E45" s="100">
        <v>7329</v>
      </c>
      <c r="F45" s="100">
        <v>7998</v>
      </c>
      <c r="G45" s="100">
        <v>9463</v>
      </c>
      <c r="H45" s="100">
        <v>11166</v>
      </c>
      <c r="I45" s="100">
        <v>15142</v>
      </c>
      <c r="J45" s="100">
        <v>15193</v>
      </c>
      <c r="K45" s="100">
        <v>19338</v>
      </c>
      <c r="L45" s="100">
        <v>21039</v>
      </c>
      <c r="M45" s="100">
        <v>23415</v>
      </c>
      <c r="N45" s="100">
        <v>25819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3A42-18EA-41CD-BD3C-BF69CDCED390}">
  <dimension ref="A1:N33"/>
  <sheetViews>
    <sheetView workbookViewId="0">
      <selection activeCell="J20" sqref="J20"/>
    </sheetView>
  </sheetViews>
  <sheetFormatPr defaultRowHeight="15" x14ac:dyDescent="0.2"/>
  <cols>
    <col min="2" max="2" width="35.51171875" bestFit="1" customWidth="1"/>
    <col min="3" max="6" width="0" hidden="1" customWidth="1"/>
    <col min="7" max="12" width="9.81640625" bestFit="1" customWidth="1"/>
  </cols>
  <sheetData>
    <row r="1" spans="1:14" x14ac:dyDescent="0.2">
      <c r="A1" t="s">
        <v>0</v>
      </c>
    </row>
    <row r="2" spans="1:14" x14ac:dyDescent="0.2">
      <c r="B2" s="24"/>
      <c r="C2" s="24">
        <v>41791</v>
      </c>
      <c r="D2" s="24">
        <v>42156</v>
      </c>
      <c r="E2" s="24">
        <v>42430</v>
      </c>
      <c r="F2" s="24">
        <v>42795</v>
      </c>
      <c r="G2" s="24">
        <v>43160</v>
      </c>
      <c r="H2" s="24">
        <v>43525</v>
      </c>
      <c r="I2" s="24">
        <v>43891</v>
      </c>
      <c r="J2" s="24">
        <v>44256</v>
      </c>
      <c r="K2" s="24">
        <v>44621</v>
      </c>
      <c r="L2" s="24">
        <v>44986</v>
      </c>
    </row>
    <row r="3" spans="1:14" x14ac:dyDescent="0.2">
      <c r="B3" s="25" t="s">
        <v>89</v>
      </c>
      <c r="C3" s="26">
        <v>1401</v>
      </c>
      <c r="D3" s="26">
        <v>1239</v>
      </c>
      <c r="E3" s="26">
        <v>1566</v>
      </c>
      <c r="F3" s="26">
        <v>2202</v>
      </c>
      <c r="G3" s="119">
        <v>1879</v>
      </c>
      <c r="H3" s="119">
        <v>2060</v>
      </c>
      <c r="I3" s="119">
        <v>3751</v>
      </c>
      <c r="J3" s="119">
        <v>4094</v>
      </c>
      <c r="K3" s="119">
        <v>2723</v>
      </c>
      <c r="L3" s="119">
        <v>2704</v>
      </c>
    </row>
    <row r="4" spans="1:14" x14ac:dyDescent="0.2">
      <c r="A4" t="s">
        <v>119</v>
      </c>
      <c r="B4" s="27" t="s">
        <v>90</v>
      </c>
      <c r="C4" s="26">
        <v>1338</v>
      </c>
      <c r="D4" s="26">
        <v>1351</v>
      </c>
      <c r="E4" s="26">
        <v>1884</v>
      </c>
      <c r="F4" s="26">
        <v>2542</v>
      </c>
      <c r="G4" s="119">
        <v>2499</v>
      </c>
      <c r="H4" s="119">
        <v>2820</v>
      </c>
      <c r="I4" s="119">
        <v>3678</v>
      </c>
      <c r="J4" s="119">
        <v>3986</v>
      </c>
      <c r="K4" s="119">
        <v>3651</v>
      </c>
      <c r="L4" s="119">
        <v>2936</v>
      </c>
    </row>
    <row r="5" spans="1:14" x14ac:dyDescent="0.2">
      <c r="B5" s="28" t="s">
        <v>43</v>
      </c>
      <c r="C5" s="29">
        <v>9</v>
      </c>
      <c r="D5" s="29">
        <v>-333</v>
      </c>
      <c r="E5" s="29">
        <v>-281</v>
      </c>
      <c r="F5" s="29">
        <v>17</v>
      </c>
      <c r="G5" s="120">
        <v>-510</v>
      </c>
      <c r="H5" s="120">
        <v>-401</v>
      </c>
      <c r="I5" s="120">
        <v>-3</v>
      </c>
      <c r="J5" s="120">
        <v>394</v>
      </c>
      <c r="K5" s="120">
        <v>-101</v>
      </c>
      <c r="L5" s="120">
        <v>-453</v>
      </c>
    </row>
    <row r="6" spans="1:14" x14ac:dyDescent="0.2">
      <c r="B6" s="28" t="s">
        <v>44</v>
      </c>
      <c r="C6" s="29">
        <v>-279</v>
      </c>
      <c r="D6" s="29">
        <v>-104</v>
      </c>
      <c r="E6" s="29">
        <v>104</v>
      </c>
      <c r="F6" s="29">
        <v>-499</v>
      </c>
      <c r="G6" s="120">
        <v>-255</v>
      </c>
      <c r="H6" s="120">
        <v>-20</v>
      </c>
      <c r="I6" s="120">
        <v>161</v>
      </c>
      <c r="J6" s="120">
        <v>-49</v>
      </c>
      <c r="K6" s="120">
        <v>-684</v>
      </c>
      <c r="L6" s="120">
        <v>-261</v>
      </c>
    </row>
    <row r="7" spans="1:14" x14ac:dyDescent="0.2">
      <c r="B7" s="28" t="s">
        <v>91</v>
      </c>
      <c r="C7" s="29">
        <v>389</v>
      </c>
      <c r="D7" s="29">
        <v>415</v>
      </c>
      <c r="E7" s="29">
        <v>3</v>
      </c>
      <c r="F7" s="29">
        <v>432</v>
      </c>
      <c r="G7" s="120">
        <v>651</v>
      </c>
      <c r="H7" s="120">
        <v>-109</v>
      </c>
      <c r="I7" s="120">
        <v>401</v>
      </c>
      <c r="J7" s="120">
        <v>507</v>
      </c>
      <c r="K7" s="120">
        <v>53</v>
      </c>
      <c r="L7" s="120">
        <v>810</v>
      </c>
      <c r="N7" s="33"/>
    </row>
    <row r="8" spans="1:14" x14ac:dyDescent="0.2">
      <c r="B8" s="28" t="s">
        <v>92</v>
      </c>
      <c r="C8" s="29">
        <v>0</v>
      </c>
      <c r="D8" s="29">
        <v>0</v>
      </c>
      <c r="E8" s="29">
        <v>0</v>
      </c>
      <c r="F8" s="29">
        <v>0</v>
      </c>
      <c r="G8" s="120">
        <v>0</v>
      </c>
      <c r="H8" s="120">
        <v>0</v>
      </c>
      <c r="I8" s="120">
        <v>0</v>
      </c>
      <c r="J8" s="120">
        <v>0</v>
      </c>
      <c r="K8" s="120">
        <v>0</v>
      </c>
      <c r="L8" s="120">
        <v>0</v>
      </c>
    </row>
    <row r="9" spans="1:14" x14ac:dyDescent="0.2">
      <c r="B9" s="27" t="s">
        <v>93</v>
      </c>
      <c r="C9" s="30">
        <v>119</v>
      </c>
      <c r="D9" s="30">
        <v>-22</v>
      </c>
      <c r="E9" s="30">
        <v>-175</v>
      </c>
      <c r="F9" s="30">
        <v>-51</v>
      </c>
      <c r="G9" s="119">
        <v>-113</v>
      </c>
      <c r="H9" s="119">
        <v>-530</v>
      </c>
      <c r="I9" s="119">
        <v>559</v>
      </c>
      <c r="J9" s="119">
        <v>851</v>
      </c>
      <c r="K9" s="119">
        <v>-732</v>
      </c>
      <c r="L9" s="119">
        <v>97</v>
      </c>
    </row>
    <row r="10" spans="1:14" x14ac:dyDescent="0.2">
      <c r="B10" s="28" t="s">
        <v>94</v>
      </c>
      <c r="C10" s="29">
        <v>-56</v>
      </c>
      <c r="D10" s="29">
        <v>-91</v>
      </c>
      <c r="E10" s="29">
        <v>-143</v>
      </c>
      <c r="F10" s="29">
        <v>-289</v>
      </c>
      <c r="G10" s="120">
        <v>-507</v>
      </c>
      <c r="H10" s="120">
        <v>-230</v>
      </c>
      <c r="I10" s="120">
        <v>-486</v>
      </c>
      <c r="J10" s="120">
        <v>-744</v>
      </c>
      <c r="K10" s="120">
        <v>-196</v>
      </c>
      <c r="L10" s="120">
        <v>-329</v>
      </c>
    </row>
    <row r="11" spans="1:14" x14ac:dyDescent="0.2">
      <c r="B11" s="28" t="s">
        <v>95</v>
      </c>
      <c r="C11" s="29">
        <v>0</v>
      </c>
      <c r="D11" s="29">
        <v>0</v>
      </c>
      <c r="E11" s="29">
        <v>0</v>
      </c>
      <c r="F11" s="29">
        <v>0</v>
      </c>
      <c r="G11" s="120">
        <v>0</v>
      </c>
      <c r="H11" s="120">
        <v>0</v>
      </c>
      <c r="I11" s="120">
        <v>0</v>
      </c>
      <c r="J11" s="120">
        <v>0</v>
      </c>
      <c r="K11" s="120">
        <v>0</v>
      </c>
      <c r="L11" s="120">
        <v>0</v>
      </c>
    </row>
    <row r="12" spans="1:14" x14ac:dyDescent="0.2">
      <c r="B12" s="25" t="s">
        <v>96</v>
      </c>
      <c r="C12" s="26">
        <v>-1234</v>
      </c>
      <c r="D12" s="30">
        <v>-990</v>
      </c>
      <c r="E12" s="26">
        <v>-1265</v>
      </c>
      <c r="F12" s="26">
        <v>-2048</v>
      </c>
      <c r="G12" s="119">
        <v>-3595</v>
      </c>
      <c r="H12" s="119">
        <v>-813</v>
      </c>
      <c r="I12" s="119">
        <v>-5373</v>
      </c>
      <c r="J12" s="119">
        <v>-2868</v>
      </c>
      <c r="K12" s="119">
        <v>-1865</v>
      </c>
      <c r="L12" s="119">
        <v>-2409</v>
      </c>
    </row>
    <row r="13" spans="1:14" x14ac:dyDescent="0.2">
      <c r="B13" s="28" t="s">
        <v>97</v>
      </c>
      <c r="C13" s="31">
        <v>-1585</v>
      </c>
      <c r="D13" s="31">
        <v>-1125</v>
      </c>
      <c r="E13" s="29">
        <v>-736</v>
      </c>
      <c r="F13" s="31">
        <v>-1281</v>
      </c>
      <c r="G13" s="120">
        <v>-2528</v>
      </c>
      <c r="H13" s="120">
        <v>-1899</v>
      </c>
      <c r="I13" s="120">
        <v>-1298</v>
      </c>
      <c r="J13" s="120">
        <v>-1003</v>
      </c>
      <c r="K13" s="120">
        <v>-1972</v>
      </c>
      <c r="L13" s="120">
        <v>-2828</v>
      </c>
    </row>
    <row r="14" spans="1:14" x14ac:dyDescent="0.2">
      <c r="B14" s="28" t="s">
        <v>98</v>
      </c>
      <c r="C14" s="29">
        <v>2</v>
      </c>
      <c r="D14" s="29">
        <v>1</v>
      </c>
      <c r="E14" s="29">
        <v>2</v>
      </c>
      <c r="F14" s="29">
        <v>2</v>
      </c>
      <c r="G14" s="120">
        <v>2</v>
      </c>
      <c r="H14" s="120">
        <v>14</v>
      </c>
      <c r="I14" s="120">
        <v>4</v>
      </c>
      <c r="J14" s="120">
        <v>5</v>
      </c>
      <c r="K14" s="120">
        <v>23</v>
      </c>
      <c r="L14" s="120">
        <v>66</v>
      </c>
    </row>
    <row r="15" spans="1:14" x14ac:dyDescent="0.2">
      <c r="B15" s="28" t="s">
        <v>99</v>
      </c>
      <c r="C15" s="31">
        <v>-1714</v>
      </c>
      <c r="D15" s="29">
        <v>0</v>
      </c>
      <c r="E15" s="29">
        <v>-926</v>
      </c>
      <c r="F15" s="31">
        <v>-1494</v>
      </c>
      <c r="G15" s="120">
        <v>-2747</v>
      </c>
      <c r="H15" s="120">
        <v>0</v>
      </c>
      <c r="I15" s="120">
        <v>-4190</v>
      </c>
      <c r="J15" s="120">
        <v>-2734</v>
      </c>
      <c r="K15" s="120">
        <v>-841</v>
      </c>
      <c r="L15" s="120">
        <v>0</v>
      </c>
    </row>
    <row r="16" spans="1:14" x14ac:dyDescent="0.2">
      <c r="B16" s="28" t="s">
        <v>100</v>
      </c>
      <c r="C16" s="31">
        <v>1723</v>
      </c>
      <c r="D16" s="29">
        <v>572</v>
      </c>
      <c r="E16" s="29">
        <v>267</v>
      </c>
      <c r="F16" s="29">
        <v>370</v>
      </c>
      <c r="G16" s="120">
        <v>914</v>
      </c>
      <c r="H16" s="120">
        <v>2985</v>
      </c>
      <c r="I16" s="120">
        <v>157</v>
      </c>
      <c r="J16" s="120">
        <v>890</v>
      </c>
      <c r="K16" s="120">
        <v>810</v>
      </c>
      <c r="L16" s="120">
        <v>528</v>
      </c>
    </row>
    <row r="17" spans="2:12" x14ac:dyDescent="0.2">
      <c r="B17" s="28" t="s">
        <v>101</v>
      </c>
      <c r="C17" s="29">
        <v>83</v>
      </c>
      <c r="D17" s="29">
        <v>58</v>
      </c>
      <c r="E17" s="29">
        <v>47</v>
      </c>
      <c r="F17" s="29">
        <v>367</v>
      </c>
      <c r="G17" s="120">
        <v>672</v>
      </c>
      <c r="H17" s="120">
        <v>190</v>
      </c>
      <c r="I17" s="120">
        <v>146</v>
      </c>
      <c r="J17" s="120">
        <v>205</v>
      </c>
      <c r="K17" s="120">
        <v>285</v>
      </c>
      <c r="L17" s="120">
        <v>335</v>
      </c>
    </row>
    <row r="18" spans="2:12" x14ac:dyDescent="0.2">
      <c r="B18" s="28" t="s">
        <v>102</v>
      </c>
      <c r="C18" s="29">
        <v>26</v>
      </c>
      <c r="D18" s="29">
        <v>19</v>
      </c>
      <c r="E18" s="29">
        <v>41</v>
      </c>
      <c r="F18" s="29">
        <v>38</v>
      </c>
      <c r="G18" s="120">
        <v>96</v>
      </c>
      <c r="H18" s="120">
        <v>59</v>
      </c>
      <c r="I18" s="120">
        <v>44</v>
      </c>
      <c r="J18" s="120">
        <v>9</v>
      </c>
      <c r="K18" s="120">
        <v>6</v>
      </c>
      <c r="L18" s="120">
        <v>6</v>
      </c>
    </row>
    <row r="19" spans="2:12" x14ac:dyDescent="0.2">
      <c r="B19" s="28" t="s">
        <v>103</v>
      </c>
      <c r="C19" s="29">
        <v>0</v>
      </c>
      <c r="D19" s="29">
        <v>0</v>
      </c>
      <c r="E19" s="29">
        <v>0</v>
      </c>
      <c r="F19" s="29">
        <v>0</v>
      </c>
      <c r="G19" s="120">
        <v>0</v>
      </c>
      <c r="H19" s="120">
        <v>-2099</v>
      </c>
      <c r="I19" s="120">
        <v>-400</v>
      </c>
      <c r="J19" s="120">
        <v>-122</v>
      </c>
      <c r="K19" s="120">
        <v>-265</v>
      </c>
      <c r="L19" s="120">
        <v>-525</v>
      </c>
    </row>
    <row r="20" spans="2:12" x14ac:dyDescent="0.2">
      <c r="B20" s="28" t="s">
        <v>104</v>
      </c>
      <c r="C20" s="29">
        <v>0</v>
      </c>
      <c r="D20" s="29">
        <v>0</v>
      </c>
      <c r="E20" s="29">
        <v>0</v>
      </c>
      <c r="F20" s="29">
        <v>0</v>
      </c>
      <c r="G20" s="120">
        <v>0</v>
      </c>
      <c r="H20" s="120">
        <v>0</v>
      </c>
      <c r="I20" s="120">
        <v>0</v>
      </c>
      <c r="J20" s="120">
        <v>-17</v>
      </c>
      <c r="K20" s="120">
        <v>-21</v>
      </c>
      <c r="L20" s="120">
        <v>-37</v>
      </c>
    </row>
    <row r="21" spans="2:12" x14ac:dyDescent="0.2">
      <c r="B21" s="28" t="s">
        <v>105</v>
      </c>
      <c r="C21" s="29">
        <v>0</v>
      </c>
      <c r="D21" s="29">
        <v>0</v>
      </c>
      <c r="E21" s="29">
        <v>0</v>
      </c>
      <c r="F21" s="29">
        <v>0</v>
      </c>
      <c r="G21" s="120">
        <v>0</v>
      </c>
      <c r="H21" s="120">
        <v>0</v>
      </c>
      <c r="I21" s="120">
        <v>0</v>
      </c>
      <c r="J21" s="120">
        <v>0</v>
      </c>
      <c r="K21" s="120">
        <v>0</v>
      </c>
      <c r="L21" s="120">
        <v>0</v>
      </c>
    </row>
    <row r="22" spans="2:12" x14ac:dyDescent="0.2">
      <c r="B22" s="28" t="s">
        <v>106</v>
      </c>
      <c r="C22" s="29">
        <v>0</v>
      </c>
      <c r="D22" s="29">
        <v>0</v>
      </c>
      <c r="E22" s="29">
        <v>0</v>
      </c>
      <c r="F22" s="29">
        <v>0</v>
      </c>
      <c r="G22" s="120">
        <v>0</v>
      </c>
      <c r="H22" s="120">
        <v>0</v>
      </c>
      <c r="I22" s="120">
        <v>0</v>
      </c>
      <c r="J22" s="120">
        <v>0</v>
      </c>
      <c r="K22" s="120">
        <v>0</v>
      </c>
      <c r="L22" s="120">
        <v>0</v>
      </c>
    </row>
    <row r="23" spans="2:12" x14ac:dyDescent="0.2">
      <c r="B23" s="28" t="s">
        <v>107</v>
      </c>
      <c r="C23" s="29">
        <v>231</v>
      </c>
      <c r="D23" s="29">
        <v>-517</v>
      </c>
      <c r="E23" s="29">
        <v>41</v>
      </c>
      <c r="F23" s="29">
        <v>-48</v>
      </c>
      <c r="G23" s="120">
        <v>-4</v>
      </c>
      <c r="H23" s="120">
        <v>-63</v>
      </c>
      <c r="I23" s="120">
        <v>162</v>
      </c>
      <c r="J23" s="120">
        <v>-103</v>
      </c>
      <c r="K23" s="120">
        <v>109</v>
      </c>
      <c r="L23" s="120">
        <v>46</v>
      </c>
    </row>
    <row r="24" spans="2:12" x14ac:dyDescent="0.2">
      <c r="B24" s="25" t="s">
        <v>108</v>
      </c>
      <c r="C24" s="30">
        <v>-156</v>
      </c>
      <c r="D24" s="30">
        <v>-259</v>
      </c>
      <c r="E24" s="30">
        <v>-271</v>
      </c>
      <c r="F24" s="30">
        <v>-167</v>
      </c>
      <c r="G24" s="119">
        <v>1726</v>
      </c>
      <c r="H24" s="119">
        <v>-1265</v>
      </c>
      <c r="I24" s="119">
        <v>1591</v>
      </c>
      <c r="J24" s="119">
        <v>-1215</v>
      </c>
      <c r="K24" s="119">
        <v>-858</v>
      </c>
      <c r="L24" s="119">
        <v>-315</v>
      </c>
    </row>
    <row r="25" spans="2:12" x14ac:dyDescent="0.2">
      <c r="B25" s="28" t="s">
        <v>109</v>
      </c>
      <c r="C25" s="29">
        <v>0</v>
      </c>
      <c r="D25" s="29">
        <v>0</v>
      </c>
      <c r="E25" s="29">
        <v>0</v>
      </c>
      <c r="F25" s="29">
        <v>0</v>
      </c>
      <c r="G25" s="120">
        <v>0</v>
      </c>
      <c r="H25" s="120">
        <v>0</v>
      </c>
      <c r="I25" s="120">
        <v>2383</v>
      </c>
      <c r="J25" s="120">
        <v>0</v>
      </c>
      <c r="K25" s="120">
        <v>0</v>
      </c>
      <c r="L25" s="120">
        <v>0</v>
      </c>
    </row>
    <row r="26" spans="2:12" x14ac:dyDescent="0.2">
      <c r="B26" s="28" t="s">
        <v>110</v>
      </c>
      <c r="C26" s="29">
        <v>692</v>
      </c>
      <c r="D26" s="29">
        <v>255</v>
      </c>
      <c r="E26" s="29">
        <v>278</v>
      </c>
      <c r="F26" s="29">
        <v>638</v>
      </c>
      <c r="G26" s="120">
        <v>2699</v>
      </c>
      <c r="H26" s="120">
        <v>298</v>
      </c>
      <c r="I26" s="120">
        <v>305</v>
      </c>
      <c r="J26" s="120">
        <v>0</v>
      </c>
      <c r="K26" s="120">
        <v>322</v>
      </c>
      <c r="L26" s="120">
        <v>834</v>
      </c>
    </row>
    <row r="27" spans="2:12" x14ac:dyDescent="0.2">
      <c r="B27" s="28" t="s">
        <v>111</v>
      </c>
      <c r="C27" s="29">
        <v>-781</v>
      </c>
      <c r="D27" s="29">
        <v>-538</v>
      </c>
      <c r="E27" s="29">
        <v>-300</v>
      </c>
      <c r="F27" s="29">
        <v>-192</v>
      </c>
      <c r="G27" s="120">
        <v>-660</v>
      </c>
      <c r="H27" s="120">
        <v>-1056</v>
      </c>
      <c r="I27" s="120">
        <v>-142</v>
      </c>
      <c r="J27" s="120">
        <v>-899</v>
      </c>
      <c r="K27" s="120">
        <v>-479</v>
      </c>
      <c r="L27" s="120">
        <v>-379</v>
      </c>
    </row>
    <row r="28" spans="2:12" x14ac:dyDescent="0.2">
      <c r="B28" s="28" t="s">
        <v>112</v>
      </c>
      <c r="C28" s="29">
        <v>170</v>
      </c>
      <c r="D28" s="29">
        <v>239</v>
      </c>
      <c r="E28" s="29">
        <v>0</v>
      </c>
      <c r="F28" s="29">
        <v>0</v>
      </c>
      <c r="G28" s="120">
        <v>0</v>
      </c>
      <c r="H28" s="120">
        <v>0</v>
      </c>
      <c r="I28" s="120">
        <v>0</v>
      </c>
      <c r="J28" s="120">
        <v>0</v>
      </c>
      <c r="K28" s="120">
        <v>0</v>
      </c>
      <c r="L28" s="120">
        <v>0</v>
      </c>
    </row>
    <row r="29" spans="2:12" x14ac:dyDescent="0.2">
      <c r="B29" s="28" t="s">
        <v>113</v>
      </c>
      <c r="C29" s="29">
        <v>-147</v>
      </c>
      <c r="D29" s="29">
        <v>-125</v>
      </c>
      <c r="E29" s="29">
        <v>-89</v>
      </c>
      <c r="F29" s="29">
        <v>-128</v>
      </c>
      <c r="G29" s="120">
        <v>-125</v>
      </c>
      <c r="H29" s="120">
        <v>-275</v>
      </c>
      <c r="I29" s="120">
        <v>-287</v>
      </c>
      <c r="J29" s="120">
        <v>-251</v>
      </c>
      <c r="K29" s="120">
        <v>-209</v>
      </c>
      <c r="L29" s="120">
        <v>-257</v>
      </c>
    </row>
    <row r="30" spans="2:12" x14ac:dyDescent="0.2">
      <c r="B30" s="28" t="s">
        <v>114</v>
      </c>
      <c r="C30" s="29">
        <v>-89</v>
      </c>
      <c r="D30" s="29">
        <v>-89</v>
      </c>
      <c r="E30" s="29">
        <v>-159</v>
      </c>
      <c r="F30" s="29">
        <v>0</v>
      </c>
      <c r="G30" s="120">
        <v>0</v>
      </c>
      <c r="H30" s="120">
        <v>-231</v>
      </c>
      <c r="I30" s="120">
        <v>-623</v>
      </c>
      <c r="J30" s="120">
        <v>-2</v>
      </c>
      <c r="K30" s="120">
        <v>-379</v>
      </c>
      <c r="L30" s="120">
        <v>-324</v>
      </c>
    </row>
    <row r="31" spans="2:12" x14ac:dyDescent="0.2">
      <c r="B31" s="28" t="s">
        <v>115</v>
      </c>
      <c r="C31" s="29">
        <v>0</v>
      </c>
      <c r="D31" s="29">
        <v>0</v>
      </c>
      <c r="E31" s="29">
        <v>0</v>
      </c>
      <c r="F31" s="29">
        <v>0</v>
      </c>
      <c r="G31" s="120">
        <v>-4</v>
      </c>
      <c r="H31" s="120">
        <v>-2</v>
      </c>
      <c r="I31" s="120">
        <v>-44</v>
      </c>
      <c r="J31" s="120">
        <v>-62</v>
      </c>
      <c r="K31" s="120">
        <v>-114</v>
      </c>
      <c r="L31" s="120">
        <v>-188</v>
      </c>
    </row>
    <row r="32" spans="2:12" x14ac:dyDescent="0.2">
      <c r="B32" s="28" t="s">
        <v>116</v>
      </c>
      <c r="C32" s="29">
        <v>0</v>
      </c>
      <c r="D32" s="29">
        <v>0</v>
      </c>
      <c r="E32" s="29">
        <v>0</v>
      </c>
      <c r="F32" s="29">
        <v>-485</v>
      </c>
      <c r="G32" s="120">
        <v>-184</v>
      </c>
      <c r="H32" s="120">
        <v>0</v>
      </c>
      <c r="I32" s="120">
        <v>0</v>
      </c>
      <c r="J32" s="120">
        <v>0</v>
      </c>
      <c r="K32" s="120">
        <v>0</v>
      </c>
      <c r="L32" s="120">
        <v>0</v>
      </c>
    </row>
    <row r="33" spans="2:12" x14ac:dyDescent="0.2">
      <c r="B33" s="25" t="s">
        <v>53</v>
      </c>
      <c r="C33" s="30">
        <v>11</v>
      </c>
      <c r="D33" s="30">
        <v>-10</v>
      </c>
      <c r="E33" s="30">
        <v>31</v>
      </c>
      <c r="F33" s="30">
        <v>-13</v>
      </c>
      <c r="G33" s="119">
        <v>10</v>
      </c>
      <c r="H33" s="119">
        <v>-18</v>
      </c>
      <c r="I33" s="119">
        <v>-31</v>
      </c>
      <c r="J33" s="119">
        <v>11</v>
      </c>
      <c r="K33" s="119">
        <v>-1</v>
      </c>
      <c r="L33" s="119">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E36FA-3569-4BCA-B717-A8A81A3B6498}">
  <sheetPr>
    <tabColor rgb="FFFF0000"/>
  </sheetPr>
  <dimension ref="A1:K93"/>
  <sheetViews>
    <sheetView topLeftCell="A20" workbookViewId="0">
      <selection activeCell="F20" sqref="F20"/>
    </sheetView>
  </sheetViews>
  <sheetFormatPr defaultRowHeight="15" x14ac:dyDescent="0.2"/>
  <cols>
    <col min="1" max="1" width="27.7109375" bestFit="1" customWidth="1"/>
  </cols>
  <sheetData>
    <row r="1" spans="1:11" x14ac:dyDescent="0.2">
      <c r="A1" s="2" t="s">
        <v>2</v>
      </c>
      <c r="B1" s="2" t="s">
        <v>3</v>
      </c>
      <c r="C1" s="2"/>
      <c r="D1" s="2"/>
      <c r="E1" s="286" t="s">
        <v>4</v>
      </c>
      <c r="F1" s="286"/>
      <c r="G1" s="286"/>
      <c r="H1" s="286"/>
      <c r="I1" s="286"/>
      <c r="J1" s="286"/>
      <c r="K1" s="286"/>
    </row>
    <row r="2" spans="1:11" x14ac:dyDescent="0.2">
      <c r="A2" s="2" t="s">
        <v>5</v>
      </c>
      <c r="B2" s="3">
        <v>2.1</v>
      </c>
      <c r="C2" s="1"/>
      <c r="D2" s="1"/>
      <c r="E2" s="287" t="s">
        <v>6</v>
      </c>
      <c r="F2" s="287"/>
      <c r="G2" s="287"/>
      <c r="H2" s="287"/>
      <c r="I2" s="287"/>
      <c r="J2" s="287"/>
      <c r="K2" s="287"/>
    </row>
    <row r="3" spans="1:11" x14ac:dyDescent="0.2">
      <c r="A3" s="2" t="s">
        <v>7</v>
      </c>
      <c r="B3" s="3">
        <v>2.1</v>
      </c>
      <c r="C3" s="1"/>
      <c r="D3" s="1"/>
      <c r="E3" s="1"/>
      <c r="F3" s="1"/>
      <c r="G3" s="1"/>
      <c r="H3" s="1"/>
      <c r="I3" s="1"/>
      <c r="J3" s="1"/>
      <c r="K3" s="1"/>
    </row>
    <row r="4" spans="1:11" x14ac:dyDescent="0.2">
      <c r="A4" s="2"/>
      <c r="B4" s="1"/>
      <c r="C4" s="1"/>
      <c r="D4" s="1"/>
      <c r="E4" s="1"/>
      <c r="F4" s="1"/>
      <c r="G4" s="1"/>
      <c r="H4" s="1"/>
      <c r="I4" s="1"/>
      <c r="J4" s="1"/>
      <c r="K4" s="1"/>
    </row>
    <row r="5" spans="1:11" x14ac:dyDescent="0.2">
      <c r="A5" s="2" t="s">
        <v>8</v>
      </c>
      <c r="B5" s="1"/>
      <c r="C5" s="1"/>
      <c r="D5" s="1"/>
      <c r="E5" s="1"/>
      <c r="F5" s="1"/>
      <c r="G5" s="1"/>
      <c r="H5" s="1"/>
      <c r="I5" s="1"/>
      <c r="J5" s="1"/>
      <c r="K5" s="1"/>
    </row>
    <row r="6" spans="1:11" x14ac:dyDescent="0.2">
      <c r="A6" s="3" t="s">
        <v>9</v>
      </c>
      <c r="B6" s="3" t="s">
        <v>4</v>
      </c>
      <c r="C6" s="1"/>
      <c r="D6" s="1"/>
      <c r="E6" s="1"/>
      <c r="F6" s="1"/>
      <c r="G6" s="1"/>
      <c r="H6" s="1"/>
      <c r="I6" s="1"/>
      <c r="J6" s="1"/>
      <c r="K6" s="1"/>
    </row>
    <row r="7" spans="1:11" x14ac:dyDescent="0.2">
      <c r="A7" s="3" t="s">
        <v>10</v>
      </c>
      <c r="B7" s="1">
        <v>10</v>
      </c>
      <c r="C7" s="1"/>
      <c r="D7" s="1"/>
      <c r="E7" s="1"/>
      <c r="F7" s="1"/>
      <c r="G7" s="1"/>
      <c r="H7" s="1"/>
      <c r="I7" s="1"/>
      <c r="J7" s="1"/>
      <c r="K7" s="1"/>
    </row>
    <row r="8" spans="1:11" x14ac:dyDescent="0.2">
      <c r="A8" s="3" t="s">
        <v>11</v>
      </c>
      <c r="B8" s="1">
        <v>24007.35</v>
      </c>
      <c r="C8" s="1"/>
      <c r="D8" s="1"/>
      <c r="E8" s="1"/>
      <c r="F8" s="1"/>
      <c r="G8" s="1"/>
      <c r="H8" s="1"/>
      <c r="I8" s="1"/>
      <c r="J8" s="1"/>
      <c r="K8" s="1"/>
    </row>
    <row r="9" spans="1:11" x14ac:dyDescent="0.2">
      <c r="A9" s="3" t="s">
        <v>12</v>
      </c>
      <c r="B9" s="1">
        <v>86620.29</v>
      </c>
      <c r="C9" s="1"/>
      <c r="D9" s="1"/>
      <c r="E9" s="1"/>
      <c r="F9" s="1"/>
      <c r="G9" s="1"/>
      <c r="H9" s="1"/>
      <c r="I9" s="1"/>
      <c r="J9" s="1"/>
      <c r="K9" s="1"/>
    </row>
    <row r="15" spans="1:11" x14ac:dyDescent="0.2">
      <c r="A15" s="2" t="s">
        <v>13</v>
      </c>
      <c r="B15" s="1"/>
      <c r="C15" s="1"/>
      <c r="D15" s="1"/>
      <c r="E15" s="1"/>
      <c r="F15" s="1"/>
      <c r="G15" s="1"/>
      <c r="H15" s="1"/>
      <c r="I15" s="1"/>
      <c r="J15" s="1"/>
      <c r="K15" s="1"/>
    </row>
    <row r="16" spans="1:11" x14ac:dyDescent="0.2">
      <c r="A16" s="6" t="s">
        <v>14</v>
      </c>
      <c r="B16" s="5">
        <v>41820</v>
      </c>
      <c r="C16" s="5">
        <v>42185</v>
      </c>
      <c r="D16" s="5">
        <v>42460</v>
      </c>
      <c r="E16" s="5">
        <v>42825</v>
      </c>
      <c r="F16" s="5">
        <v>43190</v>
      </c>
      <c r="G16" s="5">
        <v>43555</v>
      </c>
      <c r="H16" s="5">
        <v>43921</v>
      </c>
      <c r="I16" s="5">
        <v>44286</v>
      </c>
      <c r="J16" s="5">
        <v>44651</v>
      </c>
      <c r="K16" s="5">
        <v>45016</v>
      </c>
    </row>
    <row r="17" spans="1:11" x14ac:dyDescent="0.2">
      <c r="A17" s="4" t="s">
        <v>15</v>
      </c>
      <c r="B17" s="1">
        <v>5714.53</v>
      </c>
      <c r="C17" s="1">
        <v>6259.39</v>
      </c>
      <c r="D17" s="1">
        <v>5513.64</v>
      </c>
      <c r="E17" s="1">
        <v>8594.2999999999993</v>
      </c>
      <c r="F17" s="1">
        <v>9826.35</v>
      </c>
      <c r="G17" s="1">
        <v>11722</v>
      </c>
      <c r="H17" s="1">
        <v>11904</v>
      </c>
      <c r="I17" s="1">
        <v>12668.87</v>
      </c>
      <c r="J17" s="1">
        <v>14305.88</v>
      </c>
      <c r="K17" s="1">
        <v>16837.490000000002</v>
      </c>
    </row>
    <row r="18" spans="1:11" x14ac:dyDescent="0.2">
      <c r="A18" s="3" t="s">
        <v>16</v>
      </c>
      <c r="B18" s="1">
        <v>436.84</v>
      </c>
      <c r="C18" s="1">
        <v>552.76</v>
      </c>
      <c r="D18" s="1">
        <v>449.3</v>
      </c>
      <c r="E18" s="1">
        <v>680.66</v>
      </c>
      <c r="F18" s="1">
        <v>769.06</v>
      </c>
      <c r="G18" s="1">
        <v>894.81</v>
      </c>
      <c r="H18" s="1">
        <v>763.27</v>
      </c>
      <c r="I18" s="1">
        <v>833.59</v>
      </c>
      <c r="J18" s="1">
        <v>1285.04</v>
      </c>
      <c r="K18" s="1">
        <v>1338.36</v>
      </c>
    </row>
    <row r="19" spans="1:11" x14ac:dyDescent="0.2">
      <c r="A19" s="3" t="s">
        <v>17</v>
      </c>
      <c r="B19" s="1">
        <v>16.37</v>
      </c>
      <c r="C19" s="1">
        <v>79.099999999999994</v>
      </c>
      <c r="D19" s="1">
        <v>-3.28</v>
      </c>
      <c r="E19" s="1">
        <v>53.48</v>
      </c>
      <c r="F19" s="1">
        <v>-1.29</v>
      </c>
      <c r="G19" s="1">
        <v>30.61</v>
      </c>
      <c r="H19" s="1">
        <v>-4.97</v>
      </c>
      <c r="I19" s="1">
        <v>-42.05</v>
      </c>
      <c r="J19" s="1">
        <v>146.47999999999999</v>
      </c>
      <c r="K19" s="1">
        <v>78.52</v>
      </c>
    </row>
    <row r="20" spans="1:11" x14ac:dyDescent="0.2">
      <c r="A20" s="3" t="s">
        <v>18</v>
      </c>
      <c r="B20" s="1">
        <v>1378.7</v>
      </c>
      <c r="C20" s="1">
        <v>1579.82</v>
      </c>
      <c r="D20" s="1">
        <v>1122.95</v>
      </c>
      <c r="E20" s="1">
        <v>1444.27</v>
      </c>
      <c r="F20" s="1">
        <v>1979.65</v>
      </c>
      <c r="G20" s="1">
        <v>2745.04</v>
      </c>
      <c r="H20" s="1">
        <v>2347.62</v>
      </c>
      <c r="I20" s="1">
        <v>2082.42</v>
      </c>
      <c r="J20" s="1">
        <v>3161.38</v>
      </c>
      <c r="K20" s="1">
        <v>5544.93</v>
      </c>
    </row>
    <row r="21" spans="1:11" x14ac:dyDescent="0.2">
      <c r="A21" s="3" t="s">
        <v>19</v>
      </c>
      <c r="B21" s="1">
        <v>629.86</v>
      </c>
      <c r="C21" s="1">
        <v>637.98</v>
      </c>
      <c r="D21" s="1">
        <v>538.64</v>
      </c>
      <c r="E21" s="1">
        <v>821.25</v>
      </c>
      <c r="F21" s="1">
        <v>782.93</v>
      </c>
      <c r="G21" s="1">
        <v>928.08</v>
      </c>
      <c r="H21" s="1">
        <v>921.84</v>
      </c>
      <c r="I21" s="1">
        <v>977.32</v>
      </c>
      <c r="J21" s="1">
        <v>1296.26</v>
      </c>
      <c r="K21" s="1">
        <v>1365.93</v>
      </c>
    </row>
    <row r="22" spans="1:11" x14ac:dyDescent="0.2">
      <c r="A22" s="3" t="s">
        <v>20</v>
      </c>
      <c r="B22" s="1">
        <v>396.8</v>
      </c>
      <c r="C22" s="1">
        <v>456.87</v>
      </c>
      <c r="D22" s="1">
        <v>371.89</v>
      </c>
      <c r="E22" s="1">
        <v>540.63</v>
      </c>
      <c r="F22" s="1">
        <v>591.77</v>
      </c>
      <c r="G22" s="1">
        <v>681.23</v>
      </c>
      <c r="H22" s="1">
        <v>733.68</v>
      </c>
      <c r="I22" s="1">
        <v>762.62</v>
      </c>
      <c r="J22" s="1">
        <v>809.92</v>
      </c>
      <c r="K22" s="1">
        <v>868.38</v>
      </c>
    </row>
    <row r="23" spans="1:11" x14ac:dyDescent="0.2">
      <c r="A23" s="3" t="s">
        <v>21</v>
      </c>
      <c r="B23" s="1">
        <v>1600.09</v>
      </c>
      <c r="C23" s="1">
        <v>1842.85</v>
      </c>
      <c r="D23" s="1">
        <v>1510</v>
      </c>
      <c r="E23" s="1">
        <v>2420.29</v>
      </c>
      <c r="F23" s="1">
        <v>3040.92</v>
      </c>
      <c r="G23" s="1">
        <v>3484.14</v>
      </c>
      <c r="H23" s="1">
        <v>3229.07</v>
      </c>
      <c r="I23" s="1">
        <v>3739.56</v>
      </c>
      <c r="J23" s="1">
        <v>4006.08</v>
      </c>
      <c r="K23" s="1">
        <v>4565.45</v>
      </c>
    </row>
    <row r="24" spans="1:11" x14ac:dyDescent="0.2">
      <c r="A24" s="3" t="s">
        <v>22</v>
      </c>
      <c r="B24" s="1">
        <v>-101.19</v>
      </c>
      <c r="C24" s="1">
        <v>-75.64</v>
      </c>
      <c r="D24" s="1">
        <v>110.67</v>
      </c>
      <c r="E24" s="1">
        <v>227.51</v>
      </c>
      <c r="F24" s="1">
        <v>187.95</v>
      </c>
      <c r="G24" s="1">
        <v>363.49</v>
      </c>
      <c r="H24" s="1">
        <v>217.52</v>
      </c>
      <c r="I24" s="1">
        <v>239.48</v>
      </c>
      <c r="J24" s="1">
        <v>243.84</v>
      </c>
      <c r="K24" s="1">
        <v>290.7</v>
      </c>
    </row>
    <row r="25" spans="1:11" x14ac:dyDescent="0.2">
      <c r="A25" s="4" t="s">
        <v>23</v>
      </c>
      <c r="B25" s="1">
        <v>104.45</v>
      </c>
      <c r="C25" s="1">
        <v>102.39</v>
      </c>
      <c r="D25" s="1">
        <v>672.68</v>
      </c>
      <c r="E25" s="1">
        <v>361.77</v>
      </c>
      <c r="F25" s="1">
        <v>389.05</v>
      </c>
      <c r="G25" s="1">
        <v>64.27</v>
      </c>
      <c r="H25" s="1">
        <v>260.12</v>
      </c>
      <c r="I25" s="1">
        <v>420.89</v>
      </c>
      <c r="J25" s="1">
        <v>535.34</v>
      </c>
      <c r="K25" s="1">
        <v>431.51</v>
      </c>
    </row>
    <row r="26" spans="1:11" x14ac:dyDescent="0.2">
      <c r="A26" s="4" t="s">
        <v>24</v>
      </c>
      <c r="B26" s="1">
        <v>549.91</v>
      </c>
      <c r="C26" s="1">
        <v>924.78</v>
      </c>
      <c r="D26" s="1">
        <v>827.57</v>
      </c>
      <c r="E26" s="1">
        <v>1214.71</v>
      </c>
      <c r="F26" s="1">
        <v>899.4</v>
      </c>
      <c r="G26" s="1">
        <v>1391.68</v>
      </c>
      <c r="H26" s="1">
        <v>1699.42</v>
      </c>
      <c r="I26" s="1">
        <v>1139.9000000000001</v>
      </c>
      <c r="J26" s="1">
        <v>1036.48</v>
      </c>
      <c r="K26" s="1">
        <v>1546.2</v>
      </c>
    </row>
    <row r="27" spans="1:11" x14ac:dyDescent="0.2">
      <c r="A27" s="4" t="s">
        <v>25</v>
      </c>
      <c r="B27" s="1">
        <v>129.19</v>
      </c>
      <c r="C27" s="1">
        <v>120.63</v>
      </c>
      <c r="D27" s="1">
        <v>75.77</v>
      </c>
      <c r="E27" s="1">
        <v>129.41999999999999</v>
      </c>
      <c r="F27" s="1">
        <v>135.27000000000001</v>
      </c>
      <c r="G27" s="1">
        <v>246.98</v>
      </c>
      <c r="H27" s="1">
        <v>286.52</v>
      </c>
      <c r="I27" s="1">
        <v>247.1</v>
      </c>
      <c r="J27" s="1">
        <v>217.78</v>
      </c>
      <c r="K27" s="1">
        <v>268.93</v>
      </c>
    </row>
    <row r="28" spans="1:11" x14ac:dyDescent="0.2">
      <c r="A28" s="4" t="s">
        <v>26</v>
      </c>
      <c r="B28" s="1">
        <v>815.15</v>
      </c>
      <c r="C28" s="1">
        <v>400.83</v>
      </c>
      <c r="D28" s="1">
        <v>1176.25</v>
      </c>
      <c r="E28" s="1">
        <v>1530.81</v>
      </c>
      <c r="F28" s="1">
        <v>1827.16</v>
      </c>
      <c r="G28" s="1">
        <v>1081.43</v>
      </c>
      <c r="H28" s="1">
        <v>1960.21</v>
      </c>
      <c r="I28" s="1">
        <v>3025.72</v>
      </c>
      <c r="J28" s="1">
        <v>2930.92</v>
      </c>
      <c r="K28" s="1">
        <v>1558.64</v>
      </c>
    </row>
    <row r="29" spans="1:11" x14ac:dyDescent="0.2">
      <c r="A29" s="4" t="s">
        <v>27</v>
      </c>
      <c r="B29" s="1">
        <v>27.91</v>
      </c>
      <c r="C29" s="1">
        <v>-25.5</v>
      </c>
      <c r="D29" s="1">
        <v>33.119999999999997</v>
      </c>
      <c r="E29" s="1">
        <v>191.7</v>
      </c>
      <c r="F29" s="1">
        <v>442.98</v>
      </c>
      <c r="G29" s="1">
        <v>130.38</v>
      </c>
      <c r="H29" s="1">
        <v>390.03</v>
      </c>
      <c r="I29" s="1">
        <v>713.79</v>
      </c>
      <c r="J29" s="1">
        <v>554.29999999999995</v>
      </c>
      <c r="K29" s="1">
        <v>230.51</v>
      </c>
    </row>
    <row r="30" spans="1:11" x14ac:dyDescent="0.2">
      <c r="A30" s="4" t="s">
        <v>28</v>
      </c>
      <c r="B30" s="1">
        <v>787.24</v>
      </c>
      <c r="C30" s="1">
        <v>426.33</v>
      </c>
      <c r="D30" s="1">
        <v>1143.1300000000001</v>
      </c>
      <c r="E30" s="1">
        <v>1339.11</v>
      </c>
      <c r="F30" s="1">
        <v>1384.18</v>
      </c>
      <c r="G30" s="1">
        <v>951.05</v>
      </c>
      <c r="H30" s="1">
        <v>1570.18</v>
      </c>
      <c r="I30" s="1">
        <v>2311.9299999999998</v>
      </c>
      <c r="J30" s="1">
        <v>2376.62</v>
      </c>
      <c r="K30" s="1">
        <v>1328.13</v>
      </c>
    </row>
    <row r="31" spans="1:11" x14ac:dyDescent="0.2">
      <c r="A31" s="4" t="s">
        <v>29</v>
      </c>
      <c r="B31" s="1">
        <v>76.650000000000006</v>
      </c>
      <c r="C31" s="1">
        <v>83.62</v>
      </c>
      <c r="D31" s="1">
        <v>83.62</v>
      </c>
      <c r="E31" s="1">
        <v>487.76</v>
      </c>
      <c r="F31" s="1">
        <v>174.2</v>
      </c>
      <c r="G31" s="1">
        <v>209.04</v>
      </c>
      <c r="H31" s="1">
        <v>396.88</v>
      </c>
      <c r="I31" s="1">
        <v>216.48</v>
      </c>
      <c r="J31" s="1">
        <v>324.72000000000003</v>
      </c>
      <c r="K31" s="1">
        <v>360.8</v>
      </c>
    </row>
    <row r="32" spans="1:11" x14ac:dyDescent="0.2">
      <c r="A32" s="4"/>
      <c r="B32" s="4"/>
      <c r="C32" s="4"/>
      <c r="D32" s="4"/>
      <c r="E32" s="4"/>
      <c r="F32" s="4"/>
      <c r="G32" s="4"/>
      <c r="H32" s="4"/>
      <c r="I32" s="4"/>
      <c r="J32" s="4"/>
      <c r="K32" s="4"/>
    </row>
    <row r="33" spans="1:11" x14ac:dyDescent="0.2">
      <c r="A33" s="4"/>
      <c r="B33" s="1"/>
      <c r="C33" s="1"/>
      <c r="D33" s="1"/>
      <c r="E33" s="1"/>
      <c r="F33" s="1"/>
      <c r="G33" s="1"/>
      <c r="H33" s="1"/>
      <c r="I33" s="1"/>
      <c r="J33" s="1"/>
      <c r="K33" s="1"/>
    </row>
    <row r="34" spans="1:11" x14ac:dyDescent="0.2">
      <c r="A34" s="4"/>
      <c r="B34" s="1"/>
      <c r="C34" s="1"/>
      <c r="D34" s="1"/>
      <c r="E34" s="1"/>
      <c r="F34" s="1"/>
      <c r="G34" s="1"/>
      <c r="H34" s="1"/>
      <c r="I34" s="1"/>
      <c r="J34" s="1"/>
      <c r="K34" s="1"/>
    </row>
    <row r="35" spans="1:11" x14ac:dyDescent="0.2">
      <c r="A35" s="4"/>
      <c r="B35" s="1"/>
      <c r="C35" s="1"/>
      <c r="D35" s="1"/>
      <c r="E35" s="1"/>
      <c r="F35" s="1"/>
      <c r="G35" s="1"/>
      <c r="H35" s="1"/>
      <c r="I35" s="1"/>
      <c r="J35" s="1"/>
      <c r="K35" s="1"/>
    </row>
    <row r="36" spans="1:11" x14ac:dyDescent="0.2">
      <c r="A36" s="4"/>
      <c r="B36" s="1"/>
      <c r="C36" s="1"/>
      <c r="D36" s="1"/>
      <c r="E36" s="1"/>
      <c r="F36" s="1"/>
      <c r="G36" s="1"/>
      <c r="H36" s="1"/>
      <c r="I36" s="1"/>
      <c r="J36" s="1"/>
      <c r="K36" s="1"/>
    </row>
    <row r="37" spans="1:11" x14ac:dyDescent="0.2">
      <c r="A37" s="4"/>
      <c r="B37" s="1"/>
      <c r="C37" s="1"/>
      <c r="D37" s="1"/>
      <c r="E37" s="1"/>
      <c r="F37" s="1"/>
      <c r="G37" s="1"/>
      <c r="H37" s="1"/>
      <c r="I37" s="1"/>
      <c r="J37" s="1"/>
      <c r="K37" s="1"/>
    </row>
    <row r="38" spans="1:11" x14ac:dyDescent="0.2">
      <c r="A38" s="4"/>
      <c r="B38" s="1"/>
      <c r="C38" s="1"/>
      <c r="D38" s="1"/>
      <c r="E38" s="1"/>
      <c r="F38" s="1"/>
      <c r="G38" s="1"/>
      <c r="H38" s="1"/>
      <c r="I38" s="1"/>
      <c r="J38" s="1"/>
      <c r="K38" s="1"/>
    </row>
    <row r="39" spans="1:11" x14ac:dyDescent="0.2">
      <c r="A39" s="4"/>
      <c r="B39" s="1"/>
      <c r="C39" s="1"/>
      <c r="D39" s="1"/>
      <c r="E39" s="1"/>
      <c r="F39" s="1"/>
      <c r="G39" s="1"/>
      <c r="H39" s="1"/>
      <c r="I39" s="1"/>
      <c r="J39" s="1"/>
      <c r="K39" s="1"/>
    </row>
    <row r="40" spans="1:11" x14ac:dyDescent="0.2">
      <c r="A40" s="2" t="s">
        <v>30</v>
      </c>
      <c r="B40" s="1"/>
      <c r="C40" s="1"/>
      <c r="D40" s="1"/>
      <c r="E40" s="1"/>
      <c r="F40" s="1"/>
      <c r="G40" s="1"/>
      <c r="H40" s="1"/>
      <c r="I40" s="1"/>
      <c r="J40" s="1"/>
      <c r="K40" s="1"/>
    </row>
    <row r="41" spans="1:11" x14ac:dyDescent="0.2">
      <c r="A41" s="6" t="s">
        <v>14</v>
      </c>
      <c r="B41" s="5">
        <v>44196</v>
      </c>
      <c r="C41" s="5">
        <v>44286</v>
      </c>
      <c r="D41" s="5">
        <v>44377</v>
      </c>
      <c r="E41" s="5">
        <v>44469</v>
      </c>
      <c r="F41" s="5">
        <v>44561</v>
      </c>
      <c r="G41" s="5">
        <v>44651</v>
      </c>
      <c r="H41" s="5">
        <v>44742</v>
      </c>
      <c r="I41" s="5">
        <v>44834</v>
      </c>
      <c r="J41" s="5">
        <v>44926</v>
      </c>
      <c r="K41" s="5">
        <v>45016</v>
      </c>
    </row>
    <row r="42" spans="1:11" x14ac:dyDescent="0.2">
      <c r="A42" s="4" t="s">
        <v>15</v>
      </c>
      <c r="B42" s="1">
        <v>3309.43</v>
      </c>
      <c r="C42" s="1">
        <v>3957.96</v>
      </c>
      <c r="D42" s="1">
        <v>3449.49</v>
      </c>
      <c r="E42" s="1">
        <v>3205.87</v>
      </c>
      <c r="F42" s="1">
        <v>3551.76</v>
      </c>
      <c r="G42" s="1">
        <v>4098.76</v>
      </c>
      <c r="H42" s="1">
        <v>4202.6899999999996</v>
      </c>
      <c r="I42" s="1">
        <v>3780.9</v>
      </c>
      <c r="J42" s="1">
        <v>4068.79</v>
      </c>
      <c r="K42" s="1">
        <v>4785.1099999999997</v>
      </c>
    </row>
    <row r="43" spans="1:11" x14ac:dyDescent="0.2">
      <c r="A43" s="4" t="s">
        <v>31</v>
      </c>
      <c r="B43" s="1">
        <v>2220.48</v>
      </c>
      <c r="C43" s="1">
        <v>2775.5</v>
      </c>
      <c r="D43" s="1">
        <v>2435.98</v>
      </c>
      <c r="E43" s="1">
        <v>2307.67</v>
      </c>
      <c r="F43" s="1">
        <v>2726.23</v>
      </c>
      <c r="G43" s="1">
        <v>3188.16</v>
      </c>
      <c r="H43" s="1">
        <v>3383.87</v>
      </c>
      <c r="I43" s="1">
        <v>3257.97</v>
      </c>
      <c r="J43" s="1">
        <v>3360.83</v>
      </c>
      <c r="K43" s="1">
        <v>3892.66</v>
      </c>
    </row>
    <row r="44" spans="1:11" x14ac:dyDescent="0.2">
      <c r="A44" s="4" t="s">
        <v>23</v>
      </c>
      <c r="B44" s="1">
        <v>106.81</v>
      </c>
      <c r="C44" s="1">
        <v>119.05</v>
      </c>
      <c r="D44" s="1">
        <v>139.16999999999999</v>
      </c>
      <c r="E44" s="1">
        <v>149.94999999999999</v>
      </c>
      <c r="F44" s="1">
        <v>110.13</v>
      </c>
      <c r="G44" s="1">
        <v>138.09</v>
      </c>
      <c r="H44" s="1">
        <v>-21.58</v>
      </c>
      <c r="I44" s="1">
        <v>156.69</v>
      </c>
      <c r="J44" s="1">
        <v>161.22999999999999</v>
      </c>
      <c r="K44" s="1">
        <v>135.27000000000001</v>
      </c>
    </row>
    <row r="45" spans="1:11" x14ac:dyDescent="0.2">
      <c r="A45" s="4" t="s">
        <v>24</v>
      </c>
      <c r="B45" s="1">
        <v>290.62</v>
      </c>
      <c r="C45" s="1">
        <v>299.29000000000002</v>
      </c>
      <c r="D45" s="1">
        <v>232.5</v>
      </c>
      <c r="E45" s="1">
        <v>250.54</v>
      </c>
      <c r="F45" s="1">
        <v>252.1</v>
      </c>
      <c r="G45" s="1">
        <v>301.33999999999997</v>
      </c>
      <c r="H45" s="1">
        <v>327.94</v>
      </c>
      <c r="I45" s="1">
        <v>362.79</v>
      </c>
      <c r="J45" s="1">
        <v>413.56</v>
      </c>
      <c r="K45" s="1">
        <v>441.91</v>
      </c>
    </row>
    <row r="46" spans="1:11" x14ac:dyDescent="0.2">
      <c r="A46" s="4" t="s">
        <v>25</v>
      </c>
      <c r="B46" s="1">
        <v>58.52</v>
      </c>
      <c r="C46" s="1">
        <v>55.28</v>
      </c>
      <c r="D46" s="1">
        <v>53.52</v>
      </c>
      <c r="E46" s="1">
        <v>55.57</v>
      </c>
      <c r="F46" s="1">
        <v>55.14</v>
      </c>
      <c r="G46" s="1">
        <v>53.55</v>
      </c>
      <c r="H46" s="1">
        <v>57.33</v>
      </c>
      <c r="I46" s="1">
        <v>67.56</v>
      </c>
      <c r="J46" s="1">
        <v>71.430000000000007</v>
      </c>
      <c r="K46" s="1">
        <v>72.61</v>
      </c>
    </row>
    <row r="47" spans="1:11" x14ac:dyDescent="0.2">
      <c r="A47" s="4" t="s">
        <v>26</v>
      </c>
      <c r="B47" s="1">
        <v>846.62</v>
      </c>
      <c r="C47" s="1">
        <v>946.94</v>
      </c>
      <c r="D47" s="1">
        <v>866.66</v>
      </c>
      <c r="E47" s="1">
        <v>742.04</v>
      </c>
      <c r="F47" s="1">
        <v>628.41999999999996</v>
      </c>
      <c r="G47" s="1">
        <v>693.8</v>
      </c>
      <c r="H47" s="1">
        <v>411.97</v>
      </c>
      <c r="I47" s="1">
        <v>249.27</v>
      </c>
      <c r="J47" s="1">
        <v>384.2</v>
      </c>
      <c r="K47" s="1">
        <v>513.20000000000005</v>
      </c>
    </row>
    <row r="48" spans="1:11" x14ac:dyDescent="0.2">
      <c r="A48" s="4" t="s">
        <v>27</v>
      </c>
      <c r="B48" s="1">
        <v>220.39</v>
      </c>
      <c r="C48" s="1">
        <v>179.29</v>
      </c>
      <c r="D48" s="1">
        <v>204.94</v>
      </c>
      <c r="E48" s="1">
        <v>164.34</v>
      </c>
      <c r="F48" s="1">
        <v>136.43</v>
      </c>
      <c r="G48" s="1">
        <v>48.59</v>
      </c>
      <c r="H48" s="1">
        <v>96.42</v>
      </c>
      <c r="I48" s="1">
        <v>59.67</v>
      </c>
      <c r="J48" s="1">
        <v>107.43</v>
      </c>
      <c r="K48" s="1">
        <v>-33.01</v>
      </c>
    </row>
    <row r="49" spans="1:11" x14ac:dyDescent="0.2">
      <c r="A49" s="4" t="s">
        <v>28</v>
      </c>
      <c r="B49" s="1">
        <v>626.23</v>
      </c>
      <c r="C49" s="1">
        <v>767.65</v>
      </c>
      <c r="D49" s="1">
        <v>661.72</v>
      </c>
      <c r="E49" s="1">
        <v>577.70000000000005</v>
      </c>
      <c r="F49" s="1">
        <v>491.99</v>
      </c>
      <c r="G49" s="1">
        <v>645.21</v>
      </c>
      <c r="H49" s="1">
        <v>315.55</v>
      </c>
      <c r="I49" s="1">
        <v>189.6</v>
      </c>
      <c r="J49" s="1">
        <v>276.77</v>
      </c>
      <c r="K49" s="1">
        <v>546.21</v>
      </c>
    </row>
    <row r="50" spans="1:11" x14ac:dyDescent="0.2">
      <c r="A50" s="4" t="s">
        <v>32</v>
      </c>
      <c r="B50" s="1">
        <v>1088.95</v>
      </c>
      <c r="C50" s="1">
        <v>1182.46</v>
      </c>
      <c r="D50" s="1">
        <v>1013.51</v>
      </c>
      <c r="E50" s="1">
        <v>898.2</v>
      </c>
      <c r="F50" s="1">
        <v>825.53</v>
      </c>
      <c r="G50" s="1">
        <v>910.6</v>
      </c>
      <c r="H50" s="1">
        <v>818.82</v>
      </c>
      <c r="I50" s="1">
        <v>522.92999999999995</v>
      </c>
      <c r="J50" s="1">
        <v>707.96</v>
      </c>
      <c r="K50" s="1">
        <v>892.45</v>
      </c>
    </row>
    <row r="51" spans="1:11" x14ac:dyDescent="0.2">
      <c r="A51" s="4"/>
      <c r="B51" s="1"/>
      <c r="C51" s="1"/>
      <c r="D51" s="1"/>
      <c r="E51" s="1"/>
      <c r="F51" s="1"/>
      <c r="G51" s="1"/>
      <c r="H51" s="1"/>
      <c r="I51" s="1"/>
      <c r="J51" s="1"/>
      <c r="K51" s="1"/>
    </row>
    <row r="52" spans="1:11" x14ac:dyDescent="0.2">
      <c r="A52" s="4"/>
      <c r="B52" s="1"/>
      <c r="C52" s="1"/>
      <c r="D52" s="1"/>
      <c r="E52" s="1"/>
      <c r="F52" s="1"/>
      <c r="G52" s="1"/>
      <c r="H52" s="1"/>
      <c r="I52" s="1"/>
      <c r="J52" s="1"/>
      <c r="K52" s="1"/>
    </row>
    <row r="53" spans="1:11" x14ac:dyDescent="0.2">
      <c r="A53" s="4"/>
      <c r="B53" s="1"/>
      <c r="C53" s="1"/>
      <c r="D53" s="1"/>
      <c r="E53" s="1"/>
      <c r="F53" s="1"/>
      <c r="G53" s="1"/>
      <c r="H53" s="1"/>
      <c r="I53" s="1"/>
      <c r="J53" s="1"/>
      <c r="K53" s="1"/>
    </row>
    <row r="54" spans="1:11" x14ac:dyDescent="0.2">
      <c r="A54" s="4"/>
      <c r="B54" s="1"/>
      <c r="C54" s="1"/>
      <c r="D54" s="1"/>
      <c r="E54" s="1"/>
      <c r="F54" s="1"/>
      <c r="G54" s="1"/>
      <c r="H54" s="1"/>
      <c r="I54" s="1"/>
      <c r="J54" s="1"/>
      <c r="K54" s="1"/>
    </row>
    <row r="55" spans="1:11" x14ac:dyDescent="0.2">
      <c r="A55" s="2" t="s">
        <v>33</v>
      </c>
      <c r="B55" s="1"/>
      <c r="C55" s="1"/>
      <c r="D55" s="1"/>
      <c r="E55" s="1"/>
      <c r="F55" s="1"/>
      <c r="G55" s="1"/>
      <c r="H55" s="1"/>
      <c r="I55" s="1"/>
      <c r="J55" s="1"/>
      <c r="K55" s="1"/>
    </row>
    <row r="56" spans="1:11" x14ac:dyDescent="0.2">
      <c r="A56" s="6" t="s">
        <v>14</v>
      </c>
      <c r="B56" s="5">
        <v>41820</v>
      </c>
      <c r="C56" s="5">
        <v>42185</v>
      </c>
      <c r="D56" s="5">
        <v>42460</v>
      </c>
      <c r="E56" s="5">
        <v>42825</v>
      </c>
      <c r="F56" s="5">
        <v>43190</v>
      </c>
      <c r="G56" s="5">
        <v>43555</v>
      </c>
      <c r="H56" s="5">
        <v>43921</v>
      </c>
      <c r="I56" s="5">
        <v>44286</v>
      </c>
      <c r="J56" s="5">
        <v>44651</v>
      </c>
      <c r="K56" s="5">
        <v>45016</v>
      </c>
    </row>
    <row r="57" spans="1:11" x14ac:dyDescent="0.2">
      <c r="A57" s="4" t="s">
        <v>34</v>
      </c>
      <c r="B57" s="1">
        <v>34.840000000000003</v>
      </c>
      <c r="C57" s="1">
        <v>34.840000000000003</v>
      </c>
      <c r="D57" s="1">
        <v>34.840000000000003</v>
      </c>
      <c r="E57" s="1">
        <v>34.840000000000003</v>
      </c>
      <c r="F57" s="1">
        <v>34.840000000000003</v>
      </c>
      <c r="G57" s="1">
        <v>34.840000000000003</v>
      </c>
      <c r="H57" s="1">
        <v>36.08</v>
      </c>
      <c r="I57" s="1">
        <v>36.08</v>
      </c>
      <c r="J57" s="1">
        <v>36.08</v>
      </c>
      <c r="K57" s="1">
        <v>36.08</v>
      </c>
    </row>
    <row r="58" spans="1:11" x14ac:dyDescent="0.2">
      <c r="A58" s="4" t="s">
        <v>35</v>
      </c>
      <c r="B58" s="1">
        <v>4676.03</v>
      </c>
      <c r="C58" s="1">
        <v>5241.5600000000004</v>
      </c>
      <c r="D58" s="1">
        <v>6810.69</v>
      </c>
      <c r="E58" s="1">
        <v>7663.3</v>
      </c>
      <c r="F58" s="1">
        <v>8861.99</v>
      </c>
      <c r="G58" s="1">
        <v>9562.5499999999993</v>
      </c>
      <c r="H58" s="1">
        <v>12900.34</v>
      </c>
      <c r="I58" s="1">
        <v>15213.99</v>
      </c>
      <c r="J58" s="1">
        <v>17234.79</v>
      </c>
      <c r="K58" s="1">
        <v>18252.36</v>
      </c>
    </row>
    <row r="59" spans="1:11" x14ac:dyDescent="0.2">
      <c r="A59" s="4" t="s">
        <v>36</v>
      </c>
      <c r="B59" s="1">
        <v>1199.8699999999999</v>
      </c>
      <c r="C59" s="1">
        <v>916.64</v>
      </c>
      <c r="D59" s="1">
        <v>880.51</v>
      </c>
      <c r="E59" s="1">
        <v>1292.53</v>
      </c>
      <c r="F59" s="1">
        <v>3402.98</v>
      </c>
      <c r="G59" s="1">
        <v>2797.95</v>
      </c>
      <c r="H59" s="1">
        <v>3144.19</v>
      </c>
      <c r="I59" s="1">
        <v>2155.98</v>
      </c>
      <c r="J59" s="1">
        <v>2209.0700000000002</v>
      </c>
      <c r="K59" s="1">
        <v>2811.13</v>
      </c>
    </row>
    <row r="60" spans="1:11" x14ac:dyDescent="0.2">
      <c r="A60" s="4" t="s">
        <v>37</v>
      </c>
      <c r="B60" s="1">
        <v>1417.97</v>
      </c>
      <c r="C60" s="1">
        <v>1804.81</v>
      </c>
      <c r="D60" s="1">
        <v>1737.24</v>
      </c>
      <c r="E60" s="1">
        <v>2175.44</v>
      </c>
      <c r="F60" s="1">
        <v>2842.02</v>
      </c>
      <c r="G60" s="1">
        <v>2797.91</v>
      </c>
      <c r="H60" s="1">
        <v>3257.26</v>
      </c>
      <c r="I60" s="1">
        <v>3632.72</v>
      </c>
      <c r="J60" s="1">
        <v>3935.49</v>
      </c>
      <c r="K60" s="1">
        <v>4719.1099999999997</v>
      </c>
    </row>
    <row r="61" spans="1:11" x14ac:dyDescent="0.2">
      <c r="A61" s="2" t="s">
        <v>38</v>
      </c>
      <c r="B61" s="1">
        <v>7328.71</v>
      </c>
      <c r="C61" s="1">
        <v>7997.85</v>
      </c>
      <c r="D61" s="1">
        <v>9463.2800000000007</v>
      </c>
      <c r="E61" s="1">
        <v>11166.11</v>
      </c>
      <c r="F61" s="1">
        <v>15141.83</v>
      </c>
      <c r="G61" s="1">
        <v>15193.25</v>
      </c>
      <c r="H61" s="1">
        <v>19337.87</v>
      </c>
      <c r="I61" s="1">
        <v>21038.77</v>
      </c>
      <c r="J61" s="1">
        <v>23415.43</v>
      </c>
      <c r="K61" s="1">
        <v>25818.68</v>
      </c>
    </row>
    <row r="62" spans="1:11" x14ac:dyDescent="0.2">
      <c r="A62" s="4" t="s">
        <v>39</v>
      </c>
      <c r="B62" s="1">
        <v>2193.77</v>
      </c>
      <c r="C62" s="1">
        <v>3004.33</v>
      </c>
      <c r="D62" s="1">
        <v>3050.17</v>
      </c>
      <c r="E62" s="1">
        <v>2599.12</v>
      </c>
      <c r="F62" s="1">
        <v>3589.18</v>
      </c>
      <c r="G62" s="1">
        <v>4475.67</v>
      </c>
      <c r="H62" s="1">
        <v>4318.92</v>
      </c>
      <c r="I62" s="1">
        <v>4191.55</v>
      </c>
      <c r="J62" s="1">
        <v>5321.49</v>
      </c>
      <c r="K62" s="1">
        <v>5332.69</v>
      </c>
    </row>
    <row r="63" spans="1:11" x14ac:dyDescent="0.2">
      <c r="A63" s="4" t="s">
        <v>40</v>
      </c>
      <c r="B63" s="1">
        <v>758.5</v>
      </c>
      <c r="C63" s="1">
        <v>511.1</v>
      </c>
      <c r="D63" s="1">
        <v>264.5</v>
      </c>
      <c r="E63" s="1">
        <v>710.44</v>
      </c>
      <c r="F63" s="1">
        <v>1427.15</v>
      </c>
      <c r="G63" s="1">
        <v>1121.1099999999999</v>
      </c>
      <c r="H63" s="1">
        <v>962.11</v>
      </c>
      <c r="I63" s="1">
        <v>970.96</v>
      </c>
      <c r="J63" s="1">
        <v>972.91</v>
      </c>
      <c r="K63" s="1">
        <v>2320.25</v>
      </c>
    </row>
    <row r="64" spans="1:11" x14ac:dyDescent="0.2">
      <c r="A64" s="4" t="s">
        <v>41</v>
      </c>
      <c r="B64" s="1">
        <v>2244.39</v>
      </c>
      <c r="C64" s="1">
        <v>1662.61</v>
      </c>
      <c r="D64" s="1">
        <v>3030.47</v>
      </c>
      <c r="E64" s="1">
        <v>4042.6</v>
      </c>
      <c r="F64" s="1">
        <v>5434.33</v>
      </c>
      <c r="G64" s="1">
        <v>4443.88</v>
      </c>
      <c r="H64" s="1">
        <v>8915.43</v>
      </c>
      <c r="I64" s="1">
        <v>11050.61</v>
      </c>
      <c r="J64" s="1">
        <v>11545.95</v>
      </c>
      <c r="K64" s="1">
        <v>11650.53</v>
      </c>
    </row>
    <row r="65" spans="1:11" x14ac:dyDescent="0.2">
      <c r="A65" s="4" t="s">
        <v>42</v>
      </c>
      <c r="B65" s="1">
        <v>2132.0500000000002</v>
      </c>
      <c r="C65" s="1">
        <v>2819.81</v>
      </c>
      <c r="D65" s="1">
        <v>3118.14</v>
      </c>
      <c r="E65" s="1">
        <v>3813.95</v>
      </c>
      <c r="F65" s="1">
        <v>4691.17</v>
      </c>
      <c r="G65" s="1">
        <v>5152.59</v>
      </c>
      <c r="H65" s="1">
        <v>5141.41</v>
      </c>
      <c r="I65" s="1">
        <v>4825.6499999999996</v>
      </c>
      <c r="J65" s="1">
        <v>5575.08</v>
      </c>
      <c r="K65" s="1">
        <v>6515.21</v>
      </c>
    </row>
    <row r="66" spans="1:11" x14ac:dyDescent="0.2">
      <c r="A66" s="2" t="s">
        <v>38</v>
      </c>
      <c r="B66" s="1">
        <v>7328.71</v>
      </c>
      <c r="C66" s="1">
        <v>7997.85</v>
      </c>
      <c r="D66" s="1">
        <v>9463.2800000000007</v>
      </c>
      <c r="E66" s="1">
        <v>11166.11</v>
      </c>
      <c r="F66" s="1">
        <v>15141.83</v>
      </c>
      <c r="G66" s="1">
        <v>15193.25</v>
      </c>
      <c r="H66" s="1">
        <v>19337.87</v>
      </c>
      <c r="I66" s="1">
        <v>21038.77</v>
      </c>
      <c r="J66" s="1">
        <v>23415.43</v>
      </c>
      <c r="K66" s="1">
        <v>25818.68</v>
      </c>
    </row>
    <row r="67" spans="1:11" x14ac:dyDescent="0.2">
      <c r="A67" s="4" t="s">
        <v>43</v>
      </c>
      <c r="B67" s="1">
        <v>296.58999999999997</v>
      </c>
      <c r="C67" s="1">
        <v>476.39</v>
      </c>
      <c r="D67" s="1">
        <v>328.62</v>
      </c>
      <c r="E67" s="1">
        <v>335.12</v>
      </c>
      <c r="F67" s="1">
        <v>459.25</v>
      </c>
      <c r="G67" s="1">
        <v>732.4</v>
      </c>
      <c r="H67" s="1">
        <v>828.45</v>
      </c>
      <c r="I67" s="1">
        <v>479.42</v>
      </c>
      <c r="J67" s="1">
        <v>595.65</v>
      </c>
      <c r="K67" s="1">
        <v>906.05</v>
      </c>
    </row>
    <row r="68" spans="1:11" x14ac:dyDescent="0.2">
      <c r="A68" s="4" t="s">
        <v>44</v>
      </c>
      <c r="B68" s="1">
        <v>809.78</v>
      </c>
      <c r="C68" s="1">
        <v>918.86</v>
      </c>
      <c r="D68" s="1">
        <v>815.19</v>
      </c>
      <c r="E68" s="1">
        <v>1314.5</v>
      </c>
      <c r="F68" s="1">
        <v>1569.02</v>
      </c>
      <c r="G68" s="1">
        <v>1589.05</v>
      </c>
      <c r="H68" s="1">
        <v>1427.85</v>
      </c>
      <c r="I68" s="1">
        <v>1477.17</v>
      </c>
      <c r="J68" s="1">
        <v>2161.4</v>
      </c>
      <c r="K68" s="1">
        <v>2422.61</v>
      </c>
    </row>
    <row r="69" spans="1:11" x14ac:dyDescent="0.2">
      <c r="A69" s="3" t="s">
        <v>45</v>
      </c>
      <c r="B69" s="1">
        <v>159.27000000000001</v>
      </c>
      <c r="C69" s="1">
        <v>307.5</v>
      </c>
      <c r="D69" s="1">
        <v>83.04</v>
      </c>
      <c r="E69" s="1">
        <v>111</v>
      </c>
      <c r="F69" s="1">
        <v>120.9</v>
      </c>
      <c r="G69" s="1">
        <v>307.77999999999997</v>
      </c>
      <c r="H69" s="1">
        <v>108.16</v>
      </c>
      <c r="I69" s="1">
        <v>209.76</v>
      </c>
      <c r="J69" s="1">
        <v>118.26</v>
      </c>
      <c r="K69" s="1">
        <v>119.29</v>
      </c>
    </row>
    <row r="70" spans="1:11" x14ac:dyDescent="0.2">
      <c r="A70" s="3" t="s">
        <v>46</v>
      </c>
      <c r="B70" s="1">
        <v>34837200</v>
      </c>
      <c r="C70" s="1">
        <v>34837225</v>
      </c>
      <c r="D70" s="1">
        <v>34837225</v>
      </c>
      <c r="E70" s="1">
        <v>34837225</v>
      </c>
      <c r="F70" s="1">
        <v>34837225</v>
      </c>
      <c r="G70" s="1">
        <v>34837225</v>
      </c>
      <c r="H70" s="1">
        <v>36080748</v>
      </c>
      <c r="I70" s="1">
        <v>36080748</v>
      </c>
      <c r="J70" s="1">
        <v>36080748</v>
      </c>
      <c r="K70" s="1">
        <v>36080748</v>
      </c>
    </row>
    <row r="71" spans="1:11" x14ac:dyDescent="0.2">
      <c r="A71" s="3" t="s">
        <v>47</v>
      </c>
      <c r="B71" s="1"/>
      <c r="C71" s="1"/>
      <c r="D71" s="1"/>
      <c r="E71" s="1"/>
      <c r="F71" s="1"/>
      <c r="G71" s="1"/>
      <c r="H71" s="1"/>
      <c r="I71" s="1"/>
      <c r="J71" s="1"/>
      <c r="K71" s="1"/>
    </row>
    <row r="72" spans="1:11" x14ac:dyDescent="0.2">
      <c r="A72" s="3" t="s">
        <v>48</v>
      </c>
      <c r="B72" s="1">
        <v>10</v>
      </c>
      <c r="C72" s="1">
        <v>10</v>
      </c>
      <c r="D72" s="1">
        <v>10</v>
      </c>
      <c r="E72" s="1">
        <v>10</v>
      </c>
      <c r="F72" s="1">
        <v>10</v>
      </c>
      <c r="G72" s="1">
        <v>10</v>
      </c>
      <c r="H72" s="1">
        <v>10</v>
      </c>
      <c r="I72" s="1">
        <v>10</v>
      </c>
      <c r="J72" s="1">
        <v>10</v>
      </c>
      <c r="K72" s="1">
        <v>10</v>
      </c>
    </row>
    <row r="74" spans="1:11" x14ac:dyDescent="0.2">
      <c r="A74" s="4"/>
      <c r="B74" s="1"/>
      <c r="C74" s="1"/>
      <c r="D74" s="1"/>
      <c r="E74" s="1"/>
      <c r="F74" s="1"/>
      <c r="G74" s="1"/>
      <c r="H74" s="1"/>
      <c r="I74" s="1"/>
      <c r="J74" s="1"/>
      <c r="K74" s="1"/>
    </row>
    <row r="75" spans="1:11" x14ac:dyDescent="0.2">
      <c r="A75" s="4"/>
      <c r="B75" s="1"/>
      <c r="C75" s="1"/>
      <c r="D75" s="1"/>
      <c r="E75" s="1"/>
      <c r="F75" s="1"/>
      <c r="G75" s="1"/>
      <c r="H75" s="1"/>
      <c r="I75" s="1"/>
      <c r="J75" s="1"/>
      <c r="K75" s="1"/>
    </row>
    <row r="76" spans="1:11" x14ac:dyDescent="0.2">
      <c r="A76" s="4"/>
      <c r="B76" s="1"/>
      <c r="C76" s="1"/>
      <c r="D76" s="1"/>
      <c r="E76" s="1"/>
      <c r="F76" s="1"/>
      <c r="G76" s="1"/>
      <c r="H76" s="1"/>
      <c r="I76" s="1"/>
      <c r="J76" s="1"/>
      <c r="K76" s="1"/>
    </row>
    <row r="77" spans="1:11" x14ac:dyDescent="0.2">
      <c r="A77" s="4"/>
      <c r="B77" s="1"/>
      <c r="C77" s="1"/>
      <c r="D77" s="1"/>
      <c r="E77" s="1"/>
      <c r="F77" s="1"/>
      <c r="G77" s="1"/>
      <c r="H77" s="1"/>
      <c r="I77" s="1"/>
      <c r="J77" s="1"/>
      <c r="K77" s="1"/>
    </row>
    <row r="78" spans="1:11" x14ac:dyDescent="0.2">
      <c r="A78" s="4"/>
      <c r="B78" s="1"/>
      <c r="C78" s="1"/>
      <c r="D78" s="1"/>
      <c r="E78" s="1"/>
      <c r="F78" s="1"/>
      <c r="G78" s="1"/>
      <c r="H78" s="1"/>
      <c r="I78" s="1"/>
      <c r="J78" s="1"/>
      <c r="K78" s="1"/>
    </row>
    <row r="79" spans="1:11" x14ac:dyDescent="0.2">
      <c r="A79" s="4"/>
      <c r="B79" s="1"/>
      <c r="C79" s="1"/>
      <c r="D79" s="1"/>
      <c r="E79" s="1"/>
      <c r="F79" s="1"/>
      <c r="G79" s="1"/>
      <c r="H79" s="1"/>
      <c r="I79" s="1"/>
      <c r="J79" s="1"/>
      <c r="K79" s="1"/>
    </row>
    <row r="80" spans="1:11" x14ac:dyDescent="0.2">
      <c r="A80" s="2" t="s">
        <v>49</v>
      </c>
      <c r="B80" s="1"/>
      <c r="C80" s="1"/>
      <c r="D80" s="1"/>
      <c r="E80" s="1"/>
      <c r="F80" s="1"/>
      <c r="G80" s="1"/>
      <c r="H80" s="1"/>
      <c r="I80" s="1"/>
      <c r="J80" s="1"/>
      <c r="K80" s="1"/>
    </row>
    <row r="81" spans="1:11" x14ac:dyDescent="0.2">
      <c r="A81" s="6" t="s">
        <v>14</v>
      </c>
      <c r="B81" s="5">
        <v>41820</v>
      </c>
      <c r="C81" s="5">
        <v>42185</v>
      </c>
      <c r="D81" s="5">
        <v>42460</v>
      </c>
      <c r="E81" s="5">
        <v>42825</v>
      </c>
      <c r="F81" s="5">
        <v>43190</v>
      </c>
      <c r="G81" s="5">
        <v>43555</v>
      </c>
      <c r="H81" s="5">
        <v>43921</v>
      </c>
      <c r="I81" s="5">
        <v>44286</v>
      </c>
      <c r="J81" s="5">
        <v>44651</v>
      </c>
      <c r="K81" s="5">
        <v>45016</v>
      </c>
    </row>
    <row r="82" spans="1:11" x14ac:dyDescent="0.2">
      <c r="A82" s="4" t="s">
        <v>50</v>
      </c>
      <c r="B82" s="1">
        <v>1400.68</v>
      </c>
      <c r="C82" s="1">
        <v>1238.56</v>
      </c>
      <c r="D82" s="1">
        <v>1566.15</v>
      </c>
      <c r="E82" s="1">
        <v>2201.65</v>
      </c>
      <c r="F82" s="1">
        <v>1878.75</v>
      </c>
      <c r="G82" s="1">
        <v>2059.69</v>
      </c>
      <c r="H82" s="1">
        <v>3751.38</v>
      </c>
      <c r="I82" s="1">
        <v>4093.61</v>
      </c>
      <c r="J82" s="1">
        <v>2722.85</v>
      </c>
      <c r="K82" s="1">
        <v>2704.32</v>
      </c>
    </row>
    <row r="83" spans="1:11" x14ac:dyDescent="0.2">
      <c r="A83" s="4" t="s">
        <v>51</v>
      </c>
      <c r="B83" s="1">
        <v>-1233.94</v>
      </c>
      <c r="C83" s="1">
        <v>-990.14</v>
      </c>
      <c r="D83" s="1">
        <v>-1264.56</v>
      </c>
      <c r="E83" s="1">
        <v>-2047.9</v>
      </c>
      <c r="F83" s="1">
        <v>-3594.73</v>
      </c>
      <c r="G83" s="1">
        <v>-812.63</v>
      </c>
      <c r="H83" s="1">
        <v>-5373.32</v>
      </c>
      <c r="I83" s="1">
        <v>-2867.88</v>
      </c>
      <c r="J83" s="1">
        <v>-1865.34</v>
      </c>
      <c r="K83" s="1">
        <v>-2408.88</v>
      </c>
    </row>
    <row r="84" spans="1:11" x14ac:dyDescent="0.2">
      <c r="A84" s="4" t="s">
        <v>52</v>
      </c>
      <c r="B84" s="1">
        <v>-155.76</v>
      </c>
      <c r="C84" s="1">
        <v>-258.55</v>
      </c>
      <c r="D84" s="1">
        <v>-270.76</v>
      </c>
      <c r="E84" s="1">
        <v>-166.91</v>
      </c>
      <c r="F84" s="1">
        <v>1726.22</v>
      </c>
      <c r="G84" s="1">
        <v>-1265.27</v>
      </c>
      <c r="H84" s="1">
        <v>1590.99</v>
      </c>
      <c r="I84" s="1">
        <v>-1214.58</v>
      </c>
      <c r="J84" s="1">
        <v>-858.42</v>
      </c>
      <c r="K84" s="1">
        <v>-315.06</v>
      </c>
    </row>
    <row r="85" spans="1:11" x14ac:dyDescent="0.2">
      <c r="A85" s="4" t="s">
        <v>53</v>
      </c>
      <c r="B85" s="1">
        <v>10.98</v>
      </c>
      <c r="C85" s="1">
        <v>-10.130000000000001</v>
      </c>
      <c r="D85" s="1">
        <v>30.83</v>
      </c>
      <c r="E85" s="1">
        <v>-13.16</v>
      </c>
      <c r="F85" s="1">
        <v>10.24</v>
      </c>
      <c r="G85" s="1">
        <v>-18.21</v>
      </c>
      <c r="H85" s="1">
        <v>-30.95</v>
      </c>
      <c r="I85" s="1">
        <v>11.15</v>
      </c>
      <c r="J85" s="1">
        <v>-0.91</v>
      </c>
      <c r="K85" s="1">
        <v>-19.62</v>
      </c>
    </row>
    <row r="86" spans="1:11" x14ac:dyDescent="0.2">
      <c r="A86" s="4"/>
      <c r="B86" s="1"/>
      <c r="C86" s="1"/>
      <c r="D86" s="1"/>
      <c r="E86" s="1"/>
      <c r="F86" s="1"/>
      <c r="G86" s="1"/>
      <c r="H86" s="1"/>
      <c r="I86" s="1"/>
      <c r="J86" s="1"/>
      <c r="K86" s="1"/>
    </row>
    <row r="87" spans="1:11" x14ac:dyDescent="0.2">
      <c r="A87" s="4"/>
      <c r="B87" s="1"/>
      <c r="C87" s="1"/>
      <c r="D87" s="1"/>
      <c r="E87" s="1"/>
      <c r="F87" s="1"/>
      <c r="G87" s="1"/>
      <c r="H87" s="1"/>
      <c r="I87" s="1"/>
      <c r="J87" s="1"/>
      <c r="K87" s="1"/>
    </row>
    <row r="88" spans="1:11" x14ac:dyDescent="0.2">
      <c r="A88" s="4"/>
      <c r="B88" s="1"/>
      <c r="C88" s="1"/>
      <c r="D88" s="1"/>
      <c r="E88" s="1"/>
      <c r="F88" s="1"/>
      <c r="G88" s="1"/>
      <c r="H88" s="1"/>
      <c r="I88" s="1"/>
      <c r="J88" s="1"/>
      <c r="K88" s="1"/>
    </row>
    <row r="89" spans="1:11" x14ac:dyDescent="0.2">
      <c r="A89" s="4"/>
      <c r="B89" s="1"/>
      <c r="C89" s="1"/>
      <c r="D89" s="1"/>
      <c r="E89" s="1"/>
      <c r="F89" s="1"/>
      <c r="G89" s="1"/>
      <c r="H89" s="1"/>
      <c r="I89" s="1"/>
      <c r="J89" s="1"/>
      <c r="K89" s="1"/>
    </row>
    <row r="90" spans="1:11" x14ac:dyDescent="0.2">
      <c r="A90" s="2" t="s">
        <v>54</v>
      </c>
      <c r="B90" s="1">
        <v>7204.05</v>
      </c>
      <c r="C90" s="1">
        <v>11341.05</v>
      </c>
      <c r="D90" s="1">
        <v>12420.5</v>
      </c>
      <c r="E90" s="1">
        <v>17083.2</v>
      </c>
      <c r="F90" s="1">
        <v>16196.45</v>
      </c>
      <c r="G90" s="1">
        <v>18667.650000000001</v>
      </c>
      <c r="H90" s="1">
        <v>17546.349999999999</v>
      </c>
      <c r="I90" s="1">
        <v>29465.4</v>
      </c>
      <c r="J90" s="1">
        <v>24032.6</v>
      </c>
      <c r="K90" s="1">
        <v>26186.95</v>
      </c>
    </row>
    <row r="92" spans="1:11" x14ac:dyDescent="0.2">
      <c r="A92" s="2" t="s">
        <v>55</v>
      </c>
      <c r="B92" s="2"/>
      <c r="C92" s="2"/>
      <c r="D92" s="2"/>
      <c r="E92" s="2"/>
      <c r="F92" s="2"/>
      <c r="G92" s="2"/>
      <c r="H92" s="2"/>
      <c r="I92" s="2"/>
      <c r="J92" s="2"/>
      <c r="K92" s="2"/>
    </row>
    <row r="93" spans="1:11" x14ac:dyDescent="0.2">
      <c r="A93" s="3" t="s">
        <v>56</v>
      </c>
      <c r="B93" s="7">
        <v>3.48</v>
      </c>
      <c r="C93" s="7">
        <v>3.48</v>
      </c>
      <c r="D93" s="7">
        <v>3.48</v>
      </c>
      <c r="E93" s="7">
        <v>3.48</v>
      </c>
      <c r="F93" s="7">
        <v>3.48</v>
      </c>
      <c r="G93" s="7">
        <v>3.48</v>
      </c>
      <c r="H93" s="7">
        <v>3.61</v>
      </c>
      <c r="I93" s="7">
        <v>3.61</v>
      </c>
      <c r="J93" s="7">
        <v>3.61</v>
      </c>
      <c r="K93" s="7">
        <v>3.61</v>
      </c>
    </row>
  </sheetData>
  <mergeCells count="2">
    <mergeCell ref="E1:K1"/>
    <mergeCell ref="E2:K2"/>
  </mergeCells>
  <hyperlinks>
    <hyperlink ref="E1:K1" r:id="rId1" display="https://www.screener.in/excel/"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Front Page</vt:lpstr>
      <vt:lpstr>Historical data</vt:lpstr>
      <vt:lpstr>Ratio Analysis</vt:lpstr>
      <vt:lpstr>Common Size Statement</vt:lpstr>
      <vt:lpstr>Forecasting</vt:lpstr>
      <vt:lpstr>Intrinsic Growth</vt:lpstr>
      <vt:lpstr>WACC</vt:lpstr>
      <vt:lpstr>Beta</vt:lpstr>
      <vt:lpstr>DCF</vt:lpstr>
      <vt:lpstr>Forecasting Methods</vt:lpstr>
      <vt:lpstr>Data&gt;</vt:lpstr>
      <vt:lpstr>RAW FS</vt:lpstr>
      <vt:lpstr>raw CFS</vt:lpstr>
      <vt:lpstr>Data Sheet</vt:lpstr>
      <vt:lpstr>WACC!Print_Area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Arpit Nair</dc:creator>
  <cp:keywords/>
  <dc:description/>
  <cp:lastModifiedBy>Arpit Nair</cp:lastModifiedBy>
  <cp:revision/>
  <cp:lastPrinted>2023-07-15T17:37:39Z</cp:lastPrinted>
  <dcterms:created xsi:type="dcterms:W3CDTF">2023-06-30T18:22:36Z</dcterms:created>
  <dcterms:modified xsi:type="dcterms:W3CDTF">2023-08-13T12:04:20Z</dcterms:modified>
  <cp:category/>
  <cp:contentStatus/>
</cp:coreProperties>
</file>