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F:\23-24\SMHFC\ICAAP\ICAAP Presentation FY23-24\SMHFC ICAAP Final working files\SMHFC Risk Assessment Templates\"/>
    </mc:Choice>
  </mc:AlternateContent>
  <xr:revisionPtr revIDLastSave="0" documentId="13_ncr:1_{E2CD2FC0-8136-4C03-946E-29D093135D9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H16" i="1" l="1"/>
  <c r="K6" i="1"/>
  <c r="L6" i="1"/>
  <c r="J6" i="1"/>
  <c r="H6" i="1"/>
  <c r="H5" i="1"/>
  <c r="L10" i="1"/>
  <c r="J10" i="1"/>
  <c r="K10" i="1" s="1"/>
  <c r="H10" i="1"/>
  <c r="C51" i="1" l="1"/>
  <c r="E8" i="1" l="1"/>
  <c r="C8" i="1"/>
  <c r="C10" i="1"/>
  <c r="C37" i="1" l="1"/>
  <c r="C24" i="1" l="1"/>
  <c r="E24" i="1" s="1"/>
  <c r="C23" i="1"/>
  <c r="C22" i="1"/>
  <c r="J27" i="1" l="1"/>
  <c r="J28" i="1"/>
  <c r="J29" i="1"/>
  <c r="J30" i="1"/>
  <c r="J31" i="1"/>
  <c r="J32" i="1"/>
  <c r="J33" i="1"/>
  <c r="J34" i="1"/>
  <c r="J35" i="1"/>
  <c r="J36" i="1"/>
  <c r="J37" i="1"/>
  <c r="J38" i="1"/>
  <c r="J39" i="1"/>
  <c r="J26" i="1"/>
  <c r="C50" i="1" l="1"/>
  <c r="J41" i="1"/>
  <c r="C66" i="1" l="1"/>
  <c r="C61" i="1"/>
  <c r="C57" i="1"/>
  <c r="C67" i="1" l="1"/>
  <c r="H15" i="1"/>
  <c r="C46" i="1"/>
  <c r="C41" i="1"/>
  <c r="C40" i="1"/>
  <c r="E57" i="1" l="1"/>
  <c r="C48" i="1" l="1"/>
  <c r="C43" i="1" l="1"/>
  <c r="C42" i="1"/>
  <c r="H9" i="1"/>
  <c r="C44" i="1" l="1"/>
  <c r="C47" i="1" l="1"/>
  <c r="E61" i="1" l="1"/>
  <c r="G61" i="1" s="1"/>
  <c r="E65" i="1"/>
  <c r="G65" i="1" s="1"/>
  <c r="E64" i="1"/>
  <c r="G64" i="1" s="1"/>
  <c r="E60" i="1"/>
  <c r="G60" i="1" s="1"/>
  <c r="E59" i="1"/>
  <c r="G59" i="1" s="1"/>
  <c r="E56" i="1"/>
  <c r="E55" i="1"/>
  <c r="G55" i="1" s="1"/>
  <c r="G57" i="1" l="1"/>
  <c r="G56" i="1"/>
  <c r="F4" i="1" l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  <c r="F51" i="1" l="1"/>
  <c r="E66" i="1"/>
  <c r="E67" i="1" s="1"/>
  <c r="G66" i="1" l="1"/>
  <c r="G67" i="1" s="1"/>
  <c r="C7" i="1" l="1"/>
  <c r="C5" i="1"/>
  <c r="C4" i="1"/>
  <c r="H4" i="1" s="1"/>
  <c r="C3" i="1"/>
  <c r="L15" i="1"/>
  <c r="J15" i="1"/>
  <c r="H14" i="1"/>
  <c r="J14" i="1" s="1"/>
  <c r="H13" i="1"/>
  <c r="J13" i="1" s="1"/>
  <c r="J9" i="1"/>
  <c r="E50" i="1"/>
  <c r="E48" i="1"/>
  <c r="E47" i="1"/>
  <c r="E46" i="1"/>
  <c r="E44" i="1"/>
  <c r="E43" i="1"/>
  <c r="E42" i="1"/>
  <c r="E41" i="1"/>
  <c r="E40" i="1"/>
  <c r="E35" i="1"/>
  <c r="E34" i="1"/>
  <c r="E33" i="1"/>
  <c r="E32" i="1"/>
  <c r="E30" i="1"/>
  <c r="E23" i="1"/>
  <c r="L9" i="1" s="1"/>
  <c r="E10" i="1"/>
  <c r="E5" i="1"/>
  <c r="H3" i="1" l="1"/>
  <c r="E7" i="1"/>
  <c r="L14" i="1"/>
  <c r="K14" i="1" s="1"/>
  <c r="K15" i="1"/>
  <c r="K9" i="1"/>
  <c r="L13" i="1"/>
  <c r="K13" i="1" s="1"/>
  <c r="J5" i="1"/>
  <c r="L5" i="1" s="1"/>
  <c r="J4" i="1"/>
  <c r="L4" i="1" s="1"/>
  <c r="E4" i="1"/>
  <c r="E3" i="1"/>
  <c r="J3" i="1" l="1"/>
  <c r="M5" i="1"/>
  <c r="L3" i="1" l="1"/>
  <c r="E22" i="1"/>
  <c r="E37" i="1" l="1"/>
  <c r="C26" i="1" l="1"/>
  <c r="C20" i="1" l="1"/>
  <c r="E20" i="1" s="1"/>
  <c r="E26" i="1"/>
  <c r="L11" i="1" s="1"/>
  <c r="H11" i="1"/>
  <c r="J11" i="1" s="1"/>
  <c r="K11" i="1" l="1"/>
  <c r="C28" i="1"/>
  <c r="C36" i="1"/>
  <c r="C17" i="1"/>
  <c r="E17" i="1" s="1"/>
  <c r="C14" i="1"/>
  <c r="E14" i="1" s="1"/>
  <c r="C21" i="1" l="1"/>
  <c r="E21" i="1" s="1"/>
  <c r="E36" i="1"/>
  <c r="H8" i="1"/>
  <c r="J8" i="1" s="1"/>
  <c r="C18" i="1"/>
  <c r="E18" i="1" s="1"/>
  <c r="E28" i="1"/>
  <c r="C13" i="1" l="1"/>
  <c r="C29" i="1"/>
  <c r="K8" i="1"/>
  <c r="C16" i="1"/>
  <c r="E16" i="1" s="1"/>
  <c r="E29" i="1" l="1"/>
  <c r="L12" i="1" s="1"/>
  <c r="H12" i="1"/>
  <c r="J12" i="1" s="1"/>
  <c r="H7" i="1"/>
  <c r="E13" i="1"/>
  <c r="E51" i="1" s="1"/>
  <c r="C69" i="1" l="1"/>
  <c r="J7" i="1"/>
  <c r="J16" i="1" s="1"/>
  <c r="K12" i="1"/>
  <c r="L7" i="1"/>
  <c r="E69" i="1"/>
  <c r="G69" i="1" s="1"/>
  <c r="K7" i="1" l="1"/>
  <c r="L16" i="1"/>
  <c r="L17" i="1" s="1"/>
</calcChain>
</file>

<file path=xl/sharedStrings.xml><?xml version="1.0" encoding="utf-8"?>
<sst xmlns="http://schemas.openxmlformats.org/spreadsheetml/2006/main" count="118" uniqueCount="101">
  <si>
    <t>Sr. No.</t>
  </si>
  <si>
    <t>Description</t>
  </si>
  <si>
    <t>Carrying Amount/
Book value</t>
  </si>
  <si>
    <t>Risk Weight (RW)</t>
  </si>
  <si>
    <t>Adjusted Value</t>
  </si>
  <si>
    <t xml:space="preserve">Cash </t>
  </si>
  <si>
    <t>Bank balances including fixed deposits &amp; certificates of deposits</t>
  </si>
  <si>
    <t>The deposits / collaterals kept with CCIL in connection with CBLO</t>
  </si>
  <si>
    <t xml:space="preserve">Investments </t>
  </si>
  <si>
    <t>(a) Approved Securities as defined in National Housing Bank Act, 1987 [Except at (c) below]</t>
  </si>
  <si>
    <t>Domestic Sovereign:</t>
  </si>
  <si>
    <t>a. Central Government guaranteed claims</t>
  </si>
  <si>
    <t>Outstanding Housing loans to individuals:</t>
  </si>
  <si>
    <t>Outstanding Housing loans to individuals up to ₹30 lakh secured by mortgage of immovable property, which are classified as standard assets with:</t>
  </si>
  <si>
    <t>(a) LTV Ratio ≤ 80%</t>
  </si>
  <si>
    <t>(b) LTV Ratio &gt; 80% and ≤ 90%</t>
  </si>
  <si>
    <t>Outstanding Housing loans to individuals above ₹30 lakh and upto ₹75 lakh secured by mortgage of immoveable property which are classified as standard assets with:</t>
  </si>
  <si>
    <t>(a) LTV ratio ≤75% (loan sanctioned before 01-08-2017)</t>
  </si>
  <si>
    <t>(b) LTV ratio &gt; 75% and ≤ 80% (loan sanctioned before 01-08-2017)</t>
  </si>
  <si>
    <t>(c) LTV ratio ≤ 80% (loan sanctioned on or after 01-08-2017)</t>
  </si>
  <si>
    <t>Outstanding Housing loans to individuals above ₹75 lakh secured by mortgage of immoveable property, which are classified as standard assets with:</t>
  </si>
  <si>
    <t>(a) LTV ratio ≤ 75% (loan sanctioned before 01-08-2017)</t>
  </si>
  <si>
    <t>(b)  LTV ratio ≤ 75% (loan sanctioned on or after 01-08-2017)</t>
  </si>
  <si>
    <t>All other loans and advances not captured elsewhere above in the template classified as Standard Assets (please specify, if any)</t>
  </si>
  <si>
    <t>Loans and advances classified as Non-performing Assets</t>
  </si>
  <si>
    <t>Outstanding amount of Loans given for the purpose of insurance of the property / borrower in case of individual housing loans</t>
  </si>
  <si>
    <t>As applicable to the respective housing loan</t>
  </si>
  <si>
    <t>(i) Loans given for the purpose of insurance to the borrowers other than above</t>
  </si>
  <si>
    <t>Exposures to Commercial Real Estate</t>
  </si>
  <si>
    <t>(i) Fund based and non-fund based exposures to Commercial Real Estate- Residential Building</t>
  </si>
  <si>
    <t>(ii) Fund based and non-fund based exposures to all other Commercial Real Estate.</t>
  </si>
  <si>
    <t>(iii) Investments in Mortgage Backed Securities (MBS) and other securitised exposures backed by exposures as at 10(i) and 10(ii) above.</t>
  </si>
  <si>
    <t>Restructured Housing Loans classified as standard assets post the expiry of one year of satisfactory performance under the re-negotiated or rescheduled terms.</t>
  </si>
  <si>
    <t>(a) Housing loans, wherein prior to rescheduling / restructuring, the prescribed risk weight was 0%</t>
  </si>
  <si>
    <t>(b) Housing loans, wherein prior to rescheduling / restructuring, the prescribed risk weight was 35%</t>
  </si>
  <si>
    <t>(c) Housing loans, wherein prior to rescheduling / restructuring, the prescribed risk weight was 50%</t>
  </si>
  <si>
    <t>(d) Housing loans, wherein prior to rescheduling / restructuring, the prescribed risk weight was 75%</t>
  </si>
  <si>
    <t>(e) Housing loans, wherein prior to rescheduling / restructuring, the prescribed risk weight was 100%</t>
  </si>
  <si>
    <t>Fixed Asset (net of depreciation)</t>
  </si>
  <si>
    <t>(a) Assets leased out</t>
  </si>
  <si>
    <t>(i) Amounts deducted in PART-1</t>
  </si>
  <si>
    <t xml:space="preserve">(ii) Amounts not deducted in PART-1 </t>
  </si>
  <si>
    <t>(b) Premises</t>
  </si>
  <si>
    <t>(c) Furniture &amp; Fixtures</t>
  </si>
  <si>
    <t>(d) Other Fixed Assets (to be specified)</t>
  </si>
  <si>
    <t>Other Assets</t>
  </si>
  <si>
    <t>(a) Income-tax deducted at source (net of Provisions)</t>
  </si>
  <si>
    <t>(b) Advance tax paid (net of Provision)</t>
  </si>
  <si>
    <t>(c) Interest due on Government Securities and approved securities</t>
  </si>
  <si>
    <t>Additional items not captured elsewhere above in the template excluding Securitisation Exposure (please specify, if any)</t>
  </si>
  <si>
    <t>(a) Additional Items-1</t>
  </si>
  <si>
    <t>TOTAL</t>
  </si>
  <si>
    <t>Credit Portfolio</t>
  </si>
  <si>
    <t>Gross Exposure</t>
  </si>
  <si>
    <t>CCF</t>
  </si>
  <si>
    <t>Net Exposure</t>
  </si>
  <si>
    <t>RW- weighted</t>
  </si>
  <si>
    <t>RWA</t>
  </si>
  <si>
    <t>Cash</t>
  </si>
  <si>
    <t>Investments and Domestic Sovereign:</t>
  </si>
  <si>
    <t>Housing Loans*</t>
  </si>
  <si>
    <t>Other Loans</t>
  </si>
  <si>
    <t>Other Outstanding Loans</t>
  </si>
  <si>
    <t>Fixed Assets</t>
  </si>
  <si>
    <t>Off Balance Sheet</t>
  </si>
  <si>
    <t>Book Value (BV)</t>
  </si>
  <si>
    <t>Conversion Factor (CF)</t>
  </si>
  <si>
    <t>Equivalent Value</t>
  </si>
  <si>
    <t>Adjusted Value (AV)</t>
  </si>
  <si>
    <t xml:space="preserve">Undisbursed amount of housing loans/ other loans </t>
  </si>
  <si>
    <t>(a) Central Government/State Governments</t>
  </si>
  <si>
    <t>(b) Banks</t>
  </si>
  <si>
    <t>(c) Others</t>
  </si>
  <si>
    <t xml:space="preserve">Financial &amp; other guarantees </t>
  </si>
  <si>
    <t xml:space="preserve">Other commitments (e.g., formal standby facilities and credit lines, (including project loans)) with an original maturity of </t>
  </si>
  <si>
    <t xml:space="preserve">Over one year </t>
  </si>
  <si>
    <t>Total</t>
  </si>
  <si>
    <t>FY23</t>
  </si>
  <si>
    <t>Check</t>
  </si>
  <si>
    <t>Particulars</t>
  </si>
  <si>
    <t>Rs. (in lacs)</t>
  </si>
  <si>
    <t>Deposits for premises</t>
  </si>
  <si>
    <t xml:space="preserve">Accured Interest </t>
  </si>
  <si>
    <t>Accrued Interest on investments</t>
  </si>
  <si>
    <t>Sundry Debtors</t>
  </si>
  <si>
    <t>Computer &amp; Accessories</t>
  </si>
  <si>
    <t>Leashold Improvements</t>
  </si>
  <si>
    <t>Vehicles</t>
  </si>
  <si>
    <t>Assets on lease</t>
  </si>
  <si>
    <t>Office Equipments</t>
  </si>
  <si>
    <t>CWIP</t>
  </si>
  <si>
    <t>Capital Advance</t>
  </si>
  <si>
    <t>Right to use asset</t>
  </si>
  <si>
    <t>Goods and service tax recoverable</t>
  </si>
  <si>
    <t>Others</t>
  </si>
  <si>
    <t>PTC</t>
  </si>
  <si>
    <t>Loans and advances (LAP) not captured elsewhere and having risk weight of 125%</t>
  </si>
  <si>
    <t>Financial gurantee given</t>
  </si>
  <si>
    <t>4B</t>
  </si>
  <si>
    <t>Securitisation Exposure-Exposure with ERBA-AAA</t>
  </si>
  <si>
    <t>Securitisation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</si>
</sst>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_ ;_ * \-#,##0_ ;_ * &quot;-&quot;??_ ;_ @_ 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ova"/>
      <family val="2"/>
    </font>
    <font>
      <sz val="11"/>
      <color theme="0"/>
      <name val="Arial Nova"/>
      <family val="2"/>
    </font>
    <font>
      <b/>
      <sz val="11"/>
      <color theme="0"/>
      <name val="Arial Nova"/>
      <family val="2"/>
    </font>
    <font>
      <b/>
      <sz val="9"/>
      <name val="EYInterstate Light"/>
    </font>
    <font>
      <sz val="9"/>
      <name val="EYInterstate Light"/>
    </font>
    <font>
      <b/>
      <sz val="11"/>
      <name val="Calibri"/>
      <family val="2"/>
      <scheme val="minor"/>
    </font>
    <font>
      <sz val="12"/>
      <name val="Arial Nova"/>
      <family val="2"/>
    </font>
    <font>
      <b/>
      <sz val="12"/>
      <color theme="0"/>
      <name val="Arial Nova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48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BE68F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60">
    <xf numFmtId="0" fontId="0" fillId="0" borderId="0" xfId="0"/>
    <xf numFmtId="0" fontId="3" fillId="2" borderId="1" xfId="0" applyNumberFormat="1" applyFont="1" applyFill="1" applyBorder="1" applyAlignment="1" applyProtection="1">
      <alignment horizontal="left" vertical="center" wrapText="1"/>
      <protection hidden="1"/>
    </xf>
    <xf numFmtId="164" fontId="1" fillId="0" borderId="1" xfId="1" applyNumberFormat="1" applyBorder="1" applyAlignment="1">
      <alignment horizontal="center" vertical="center"/>
    </xf>
    <xf numFmtId="9" fontId="1" fillId="0" borderId="1" xfId="2" applyBorder="1" applyAlignment="1">
      <alignment horizontal="center" vertical="center"/>
    </xf>
    <xf numFmtId="164" fontId="1" fillId="3" borderId="1" xfId="1" applyNumberForma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left" vertical="center"/>
      <protection hidden="1"/>
    </xf>
    <xf numFmtId="0" fontId="5" fillId="4" borderId="1" xfId="0" applyNumberFormat="1" applyFont="1" applyFill="1" applyBorder="1" applyAlignment="1" applyProtection="1">
      <alignment horizontal="center" vertical="center"/>
      <protection hidden="1"/>
    </xf>
    <xf numFmtId="0" fontId="3" fillId="2" borderId="1" xfId="0" applyNumberFormat="1" applyFont="1" applyFill="1" applyBorder="1" applyAlignment="1" applyProtection="1">
      <alignment horizontal="center" vertical="center"/>
      <protection hidden="1"/>
    </xf>
    <xf numFmtId="0" fontId="7" fillId="5" borderId="1" xfId="0" applyFont="1" applyFill="1" applyBorder="1" applyAlignment="1">
      <alignment horizontal="left" vertical="center" wrapText="1"/>
    </xf>
    <xf numFmtId="164" fontId="1" fillId="0" borderId="1" xfId="1" applyNumberFormat="1" applyBorder="1"/>
    <xf numFmtId="9" fontId="1" fillId="0" borderId="1" xfId="2" applyBorder="1"/>
    <xf numFmtId="0" fontId="0" fillId="0" borderId="0" xfId="0" applyNumberFormat="1" applyFont="1" applyFill="1" applyBorder="1"/>
    <xf numFmtId="0" fontId="4" fillId="4" borderId="1" xfId="0" applyNumberFormat="1" applyFont="1" applyFill="1" applyBorder="1" applyAlignment="1" applyProtection="1">
      <alignment horizontal="left" vertical="center"/>
      <protection hidden="1"/>
    </xf>
    <xf numFmtId="164" fontId="2" fillId="4" borderId="1" xfId="1" applyNumberFormat="1" applyFont="1" applyFill="1" applyBorder="1" applyAlignment="1">
      <alignment horizontal="center" vertical="center"/>
    </xf>
    <xf numFmtId="9" fontId="2" fillId="4" borderId="1" xfId="2" applyFont="1" applyFill="1" applyBorder="1" applyAlignment="1">
      <alignment horizontal="center" vertical="center"/>
    </xf>
    <xf numFmtId="165" fontId="0" fillId="0" borderId="0" xfId="1" applyNumberFormat="1" applyFont="1"/>
    <xf numFmtId="165" fontId="8" fillId="0" borderId="1" xfId="1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10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1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 applyProtection="1">
      <alignment horizontal="center" vertical="center"/>
      <protection hidden="1"/>
    </xf>
    <xf numFmtId="43" fontId="0" fillId="0" borderId="0" xfId="0" applyNumberFormat="1"/>
    <xf numFmtId="165" fontId="2" fillId="4" borderId="1" xfId="0" applyNumberFormat="1" applyFont="1" applyFill="1" applyBorder="1" applyAlignment="1">
      <alignment vertical="center"/>
    </xf>
    <xf numFmtId="164" fontId="0" fillId="0" borderId="0" xfId="0" applyNumberFormat="1"/>
    <xf numFmtId="165" fontId="1" fillId="0" borderId="1" xfId="1" applyNumberFormat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  <xf numFmtId="0" fontId="12" fillId="0" borderId="3" xfId="3" applyFont="1" applyBorder="1" applyAlignment="1">
      <alignment horizontal="left"/>
    </xf>
    <xf numFmtId="0" fontId="12" fillId="0" borderId="4" xfId="3" applyFont="1" applyBorder="1" applyAlignment="1">
      <alignment horizontal="left"/>
    </xf>
    <xf numFmtId="0" fontId="12" fillId="0" borderId="4" xfId="3" applyFont="1" applyBorder="1" applyAlignment="1">
      <alignment horizontal="right"/>
    </xf>
    <xf numFmtId="0" fontId="13" fillId="0" borderId="5" xfId="3" applyFont="1" applyBorder="1"/>
    <xf numFmtId="0" fontId="13" fillId="0" borderId="6" xfId="3" applyFont="1" applyBorder="1"/>
    <xf numFmtId="43" fontId="13" fillId="0" borderId="6" xfId="4" applyFont="1" applyFill="1" applyBorder="1" applyAlignment="1"/>
    <xf numFmtId="0" fontId="12" fillId="0" borderId="3" xfId="3" applyFont="1" applyBorder="1"/>
    <xf numFmtId="0" fontId="13" fillId="0" borderId="7" xfId="3" applyFont="1" applyBorder="1"/>
    <xf numFmtId="43" fontId="12" fillId="0" borderId="1" xfId="4" applyFont="1" applyFill="1" applyBorder="1" applyAlignment="1"/>
    <xf numFmtId="0" fontId="13" fillId="0" borderId="6" xfId="3" applyFont="1" applyFill="1" applyBorder="1"/>
    <xf numFmtId="0" fontId="13" fillId="0" borderId="5" xfId="3" applyFont="1" applyFill="1" applyBorder="1"/>
    <xf numFmtId="3" fontId="0" fillId="0" borderId="0" xfId="0" applyNumberFormat="1"/>
    <xf numFmtId="43" fontId="1" fillId="0" borderId="1" xfId="1" applyNumberFormat="1" applyBorder="1" applyAlignment="1">
      <alignment horizontal="center" vertical="center"/>
    </xf>
    <xf numFmtId="164" fontId="14" fillId="0" borderId="0" xfId="0" applyNumberFormat="1" applyFont="1"/>
    <xf numFmtId="0" fontId="14" fillId="0" borderId="0" xfId="0" applyFont="1"/>
    <xf numFmtId="165" fontId="14" fillId="0" borderId="0" xfId="0" applyNumberFormat="1" applyFont="1"/>
    <xf numFmtId="164" fontId="1" fillId="7" borderId="1" xfId="1" applyNumberForma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/>
      <protection hidden="1"/>
    </xf>
    <xf numFmtId="164" fontId="1" fillId="7" borderId="1" xfId="1" applyNumberFormat="1" applyFill="1" applyBorder="1" applyAlignment="1">
      <alignment horizontal="center" vertical="center" wrapText="1"/>
    </xf>
    <xf numFmtId="165" fontId="1" fillId="7" borderId="1" xfId="1" applyNumberFormat="1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left" vertical="center"/>
      <protection hidden="1"/>
    </xf>
    <xf numFmtId="0" fontId="3" fillId="3" borderId="1" xfId="0" applyNumberFormat="1" applyFont="1" applyFill="1" applyBorder="1" applyAlignment="1" applyProtection="1">
      <alignment horizontal="left" vertical="center" wrapText="1"/>
      <protection hidden="1"/>
    </xf>
    <xf numFmtId="0" fontId="7" fillId="5" borderId="8" xfId="0" applyFont="1" applyFill="1" applyBorder="1" applyAlignment="1">
      <alignment horizontal="left" vertical="center" wrapText="1"/>
    </xf>
    <xf numFmtId="164" fontId="1" fillId="0" borderId="8" xfId="1" applyNumberFormat="1" applyBorder="1"/>
    <xf numFmtId="9" fontId="1" fillId="0" borderId="8" xfId="2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1" fillId="0" borderId="1" xfId="1" applyNumberFormat="1" applyFill="1" applyBorder="1"/>
  </cellXfs>
  <cellStyles count="5">
    <cellStyle name="Comma" xfId="1" builtinId="3"/>
    <cellStyle name="Comma 10 2" xfId="4" xr:uid="{321EBBCB-A21C-416D-8F34-B6D331B591CF}"/>
    <cellStyle name="Normal" xfId="0" builtinId="0"/>
    <cellStyle name="Normal 159" xfId="3" xr:uid="{633A690C-787C-4874-8584-BE1C7BAA35A1}"/>
    <cellStyle name="Percent" xfId="2" builtinId="5"/>
  </cellStyles>
  <dxfs count="0"/>
  <tableStyles count="0" defaultTableStyle="TableStyleMedium2" defaultPivotStyle="PivotStyleLight16"/>
  <colors>
    <mruColors>
      <color rgb="FFBBE68F"/>
      <color rgb="FF0048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3-24/SMHFC/12.%20Mar%2024/Financials/SMHFC%20Financial%20Ind%20AS_FY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3-24/SMHFC/ICAAP/Risk%20Assessment%20templates/Credit%20Risk%20Assessment%20FY'23_SMH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HFC/2.%20Returns/FY23-24/12.%20Mar%2024/Monthly%20final/4.%20Risk%20Weight%20Assets%20March'24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_AS BS"/>
      <sheetName val="Ind_AS P&amp;L"/>
      <sheetName val="Cash flow"/>
      <sheetName val="SOCIE"/>
      <sheetName val="Significant Accounting Policy F"/>
      <sheetName val="BS Schedule"/>
      <sheetName val="PL Schedule"/>
      <sheetName val="Others Schedule"/>
      <sheetName val="CDR disclosure"/>
      <sheetName val="NHB disclosures"/>
      <sheetName val="LCR disclosure"/>
      <sheetName val="LCR Disclosure daily"/>
      <sheetName val="Schedule to HFC"/>
      <sheetName val="Financial Grouping"/>
      <sheetName val="CAR Working_Ind AS"/>
      <sheetName val="TB"/>
      <sheetName val="Manual Entry"/>
      <sheetName val="Cashflow movement "/>
      <sheetName val="Breakdown of cashflow"/>
      <sheetName val="Cash Flow Working"/>
      <sheetName val="Deferred Tax"/>
      <sheetName val="PBC"/>
      <sheetName val="CAR movement"/>
      <sheetName val="ECL"/>
      <sheetName val="Reports =&gt;"/>
      <sheetName val="Director report"/>
      <sheetName val="MDA Working"/>
      <sheetName val="ALM bucketing"/>
      <sheetName val="ACM Deck =&gt;"/>
      <sheetName val="Balance Sheet"/>
      <sheetName val="BS Chart"/>
      <sheetName val="BS Linking Sheet"/>
      <sheetName val="BS Sch"/>
      <sheetName val="PnL and Sch"/>
      <sheetName val="Gross Revenue"/>
      <sheetName val="Ind HSG%"/>
      <sheetName val="RPT"/>
      <sheetName val="SBR disclosures"/>
      <sheetName val="Significant Accounting Policyv1"/>
    </sheetNames>
    <sheetDataSet>
      <sheetData sheetId="0">
        <row r="7">
          <cell r="C7">
            <v>33671.351069070173</v>
          </cell>
        </row>
        <row r="19">
          <cell r="C19">
            <v>1758.1731893000001</v>
          </cell>
        </row>
      </sheetData>
      <sheetData sheetId="1">
        <row r="7">
          <cell r="C7">
            <v>89305.792179275493</v>
          </cell>
        </row>
      </sheetData>
      <sheetData sheetId="2"/>
      <sheetData sheetId="3"/>
      <sheetData sheetId="4"/>
      <sheetData sheetId="5">
        <row r="66">
          <cell r="I66">
            <v>-15325.53672743969</v>
          </cell>
        </row>
      </sheetData>
      <sheetData sheetId="6">
        <row r="41">
          <cell r="K41">
            <v>1.4910185999999999</v>
          </cell>
        </row>
      </sheetData>
      <sheetData sheetId="7"/>
      <sheetData sheetId="8"/>
      <sheetData sheetId="9">
        <row r="8">
          <cell r="K8">
            <v>0.19482293677318244</v>
          </cell>
        </row>
      </sheetData>
      <sheetData sheetId="10"/>
      <sheetData sheetId="11"/>
      <sheetData sheetId="12"/>
      <sheetData sheetId="13">
        <row r="716">
          <cell r="E716">
            <v>999.88977</v>
          </cell>
        </row>
      </sheetData>
      <sheetData sheetId="14">
        <row r="20">
          <cell r="D20">
            <v>1062.41677150602</v>
          </cell>
        </row>
        <row r="72">
          <cell r="D72">
            <v>54.9788</v>
          </cell>
        </row>
        <row r="73">
          <cell r="D73">
            <v>38577.974570699997</v>
          </cell>
        </row>
        <row r="74">
          <cell r="D74">
            <v>0</v>
          </cell>
        </row>
        <row r="76">
          <cell r="D76">
            <v>20782.121860000003</v>
          </cell>
        </row>
        <row r="96">
          <cell r="D96">
            <v>457.16122820000004</v>
          </cell>
        </row>
        <row r="106">
          <cell r="D106">
            <v>243152.48610772862</v>
          </cell>
        </row>
        <row r="107">
          <cell r="D107">
            <v>74825.630335330497</v>
          </cell>
        </row>
        <row r="108">
          <cell r="D108">
            <v>232.90071196275764</v>
          </cell>
        </row>
        <row r="109">
          <cell r="D109">
            <v>978.65731637075487</v>
          </cell>
        </row>
        <row r="110">
          <cell r="D110">
            <v>104224.18565665465</v>
          </cell>
        </row>
        <row r="111">
          <cell r="D111">
            <v>191.6475626118818</v>
          </cell>
        </row>
        <row r="112">
          <cell r="D112">
            <v>14051.906577627205</v>
          </cell>
          <cell r="Q112">
            <v>9662.4712412160025</v>
          </cell>
          <cell r="R112">
            <v>1069.1578311473095</v>
          </cell>
        </row>
        <row r="113">
          <cell r="D113">
            <v>12113.585197363411</v>
          </cell>
          <cell r="Q113">
            <v>158071</v>
          </cell>
          <cell r="R113">
            <v>45742.424976241397</v>
          </cell>
        </row>
        <row r="116">
          <cell r="D116">
            <v>12.054210298434779</v>
          </cell>
        </row>
        <row r="117">
          <cell r="D117">
            <v>8979</v>
          </cell>
        </row>
        <row r="127">
          <cell r="D127">
            <v>63491.729557799998</v>
          </cell>
        </row>
        <row r="128">
          <cell r="D128">
            <v>47977.545428933241</v>
          </cell>
        </row>
        <row r="132">
          <cell r="D132">
            <v>0</v>
          </cell>
        </row>
        <row r="133">
          <cell r="D133">
            <v>0</v>
          </cell>
        </row>
        <row r="138">
          <cell r="D138">
            <v>5.98</v>
          </cell>
        </row>
        <row r="139">
          <cell r="D139">
            <v>502.89990499999999</v>
          </cell>
        </row>
        <row r="142">
          <cell r="D142">
            <v>0</v>
          </cell>
        </row>
        <row r="143">
          <cell r="D143">
            <v>546.62675891555728</v>
          </cell>
        </row>
        <row r="144">
          <cell r="D144">
            <v>139.1764359</v>
          </cell>
        </row>
        <row r="151">
          <cell r="B151" t="str">
            <v>Deposits for premises</v>
          </cell>
          <cell r="D151">
            <v>434.01519979999995</v>
          </cell>
        </row>
        <row r="152">
          <cell r="B152" t="str">
            <v xml:space="preserve">Accured Interest </v>
          </cell>
          <cell r="D152">
            <v>4.3236699999999928</v>
          </cell>
        </row>
        <row r="153">
          <cell r="B153" t="str">
            <v xml:space="preserve">Accured Interest </v>
          </cell>
          <cell r="D153">
            <v>0</v>
          </cell>
        </row>
        <row r="154">
          <cell r="B154" t="str">
            <v>Accrued Interest on investments</v>
          </cell>
          <cell r="D154">
            <v>0</v>
          </cell>
        </row>
        <row r="155">
          <cell r="B155" t="str">
            <v>Sundry Debtors</v>
          </cell>
          <cell r="D155">
            <v>208.28899459999997</v>
          </cell>
        </row>
        <row r="156">
          <cell r="B156" t="str">
            <v>Computer &amp; Accessories</v>
          </cell>
          <cell r="D156">
            <v>575.29085270000007</v>
          </cell>
        </row>
        <row r="157">
          <cell r="B157" t="str">
            <v>Leashold Improvements</v>
          </cell>
          <cell r="D157">
            <v>318.87245239999999</v>
          </cell>
        </row>
        <row r="158">
          <cell r="B158" t="str">
            <v>Vehicles</v>
          </cell>
          <cell r="D158">
            <v>223.5469574</v>
          </cell>
        </row>
        <row r="159">
          <cell r="B159" t="str">
            <v>Assets on lease</v>
          </cell>
          <cell r="D159">
            <v>0</v>
          </cell>
        </row>
        <row r="160">
          <cell r="B160" t="str">
            <v>Office Equipments</v>
          </cell>
          <cell r="D160">
            <v>131.58302179999998</v>
          </cell>
        </row>
        <row r="161">
          <cell r="B161" t="str">
            <v>CWIP</v>
          </cell>
          <cell r="D161">
            <v>1.0000000999999996</v>
          </cell>
        </row>
        <row r="163">
          <cell r="B163" t="str">
            <v>Capital Advance</v>
          </cell>
          <cell r="D163">
            <v>3.8602981000000001</v>
          </cell>
        </row>
        <row r="164">
          <cell r="B164" t="str">
            <v>Right to use asset</v>
          </cell>
          <cell r="D164">
            <v>5968.0754461999995</v>
          </cell>
        </row>
        <row r="165">
          <cell r="B165" t="str">
            <v>Goods and service tax recoverable</v>
          </cell>
          <cell r="D165">
            <v>50.506239099999995</v>
          </cell>
        </row>
        <row r="166">
          <cell r="B166" t="str">
            <v>Others</v>
          </cell>
          <cell r="D166">
            <v>946.57249089999937</v>
          </cell>
        </row>
        <row r="175">
          <cell r="D175">
            <v>0</v>
          </cell>
        </row>
        <row r="180">
          <cell r="D180">
            <v>110387.5505514</v>
          </cell>
        </row>
        <row r="185">
          <cell r="D185">
            <v>993.79173412333319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7">
          <cell r="F7">
            <v>47660.52590946453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PART-1"/>
      <sheetName val="PART-2"/>
      <sheetName val="PART-3"/>
      <sheetName val="PART-4A"/>
      <sheetName val="PART-4B"/>
      <sheetName val="Sheet1"/>
      <sheetName val="PART-4C"/>
      <sheetName val="PART-5"/>
      <sheetName val="PART-6"/>
      <sheetName val="PART-7"/>
      <sheetName val="SCH 2 P7 AN 1"/>
      <sheetName val="SCH 2 P7 AN 2"/>
      <sheetName val="SCH 2 P7 AN 3"/>
      <sheetName val="PART-8"/>
      <sheetName val="SCH 2 P8 Appendix1"/>
      <sheetName val="SCH 2 P8 Appendix2"/>
      <sheetName val="SCH 2 P8 Appendix3"/>
      <sheetName val="SCH 2 P8 Appendix4"/>
      <sheetName val="SCH 2 P8 Appendix5"/>
      <sheetName val="SCH 2 P8 Appendix6"/>
      <sheetName val="PART-9"/>
      <sheetName val="PART-10"/>
      <sheetName val="CERTIFICATE"/>
      <sheetName val="Summary"/>
      <sheetName val="Annex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C3">
            <v>5.0819999999999999</v>
          </cell>
        </row>
        <row r="4">
          <cell r="C4">
            <v>715.34100000000001</v>
          </cell>
        </row>
        <row r="7">
          <cell r="C7">
            <v>1630.7760000000001</v>
          </cell>
        </row>
        <row r="9">
          <cell r="C9">
            <v>69.832000000000008</v>
          </cell>
        </row>
        <row r="12">
          <cell r="C12">
            <v>18044.329000000002</v>
          </cell>
        </row>
        <row r="13">
          <cell r="C13">
            <v>4144.5050000000001</v>
          </cell>
        </row>
        <row r="15">
          <cell r="C15">
            <v>113.22799999999999</v>
          </cell>
        </row>
        <row r="16">
          <cell r="C16">
            <v>24.488999999999997</v>
          </cell>
        </row>
        <row r="17">
          <cell r="C17">
            <v>6785.4449999999997</v>
          </cell>
        </row>
        <row r="19">
          <cell r="C19">
            <v>63.265000000000001</v>
          </cell>
        </row>
        <row r="20">
          <cell r="C20">
            <v>1214.0509999999999</v>
          </cell>
        </row>
        <row r="21">
          <cell r="C21">
            <v>18589.392</v>
          </cell>
        </row>
        <row r="22">
          <cell r="C22">
            <v>1237.0309999999999</v>
          </cell>
        </row>
        <row r="24">
          <cell r="C24">
            <v>863.62299999999993</v>
          </cell>
        </row>
        <row r="26">
          <cell r="C26">
            <v>2754.268</v>
          </cell>
        </row>
        <row r="27">
          <cell r="C27">
            <v>4615.8989999999994</v>
          </cell>
        </row>
        <row r="28">
          <cell r="C28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1.1400000000000001</v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0.59800000000000009</v>
          </cell>
        </row>
        <row r="40">
          <cell r="C40">
            <v>27.516000000000002</v>
          </cell>
        </row>
        <row r="41">
          <cell r="C41">
            <v>78.717999999999989</v>
          </cell>
        </row>
        <row r="43">
          <cell r="C43">
            <v>34.917000000000002</v>
          </cell>
        </row>
        <row r="44">
          <cell r="C44">
            <v>110</v>
          </cell>
        </row>
        <row r="45">
          <cell r="C45">
            <v>6.3770000000000007</v>
          </cell>
        </row>
        <row r="47">
          <cell r="C47">
            <v>488.71699999999998</v>
          </cell>
        </row>
      </sheetData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check"/>
      <sheetName val="Sheet2"/>
      <sheetName val="RWA "/>
      <sheetName val="Master Purpose of loan"/>
      <sheetName val="ECLGS list"/>
      <sheetName val="PTC"/>
      <sheetName val="Master"/>
      <sheetName val="#LN00009"/>
      <sheetName val="NPA list"/>
      <sheetName val="FIHFC__lan_level_base"/>
    </sheetNames>
    <sheetDataSet>
      <sheetData sheetId="0" refreshError="1"/>
      <sheetData sheetId="1">
        <row r="4">
          <cell r="A4" t="str">
            <v>1.&lt;=30 Lacs &amp; LTV &lt;=80%</v>
          </cell>
        </row>
        <row r="22">
          <cell r="B22">
            <v>255.77570552336883</v>
          </cell>
        </row>
      </sheetData>
      <sheetData sheetId="2">
        <row r="2">
          <cell r="AB2">
            <v>40157.266183499996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9"/>
  <sheetViews>
    <sheetView tabSelected="1" topLeftCell="A42" zoomScale="80" zoomScaleNormal="80" workbookViewId="0">
      <selection activeCell="C52" sqref="C52:D52"/>
    </sheetView>
  </sheetViews>
  <sheetFormatPr defaultRowHeight="14.5"/>
  <cols>
    <col min="1" max="1" width="7" bestFit="1" customWidth="1"/>
    <col min="2" max="2" width="61.90625" customWidth="1"/>
    <col min="3" max="3" width="27.453125" bestFit="1" customWidth="1"/>
    <col min="4" max="4" width="16.90625" bestFit="1" customWidth="1"/>
    <col min="5" max="5" width="14.6328125" bestFit="1" customWidth="1"/>
    <col min="6" max="6" width="10.6328125" bestFit="1" customWidth="1"/>
    <col min="7" max="7" width="35.54296875" customWidth="1"/>
    <col min="8" max="8" width="26.36328125" bestFit="1" customWidth="1"/>
    <col min="10" max="10" width="10" bestFit="1" customWidth="1"/>
    <col min="12" max="12" width="9.6328125" bestFit="1" customWidth="1"/>
  </cols>
  <sheetData>
    <row r="2" spans="1:14" ht="2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24" t="s">
        <v>77</v>
      </c>
      <c r="G2" s="23" t="s">
        <v>52</v>
      </c>
      <c r="H2" s="23" t="s">
        <v>53</v>
      </c>
      <c r="I2" s="23" t="s">
        <v>54</v>
      </c>
      <c r="J2" s="23" t="s">
        <v>55</v>
      </c>
      <c r="K2" s="23" t="s">
        <v>56</v>
      </c>
      <c r="L2" s="23" t="s">
        <v>57</v>
      </c>
    </row>
    <row r="3" spans="1:14">
      <c r="A3" s="7">
        <v>1</v>
      </c>
      <c r="B3" s="5" t="s">
        <v>5</v>
      </c>
      <c r="C3" s="46">
        <f>'[1]CAR Working_Ind AS'!$D$72/10</f>
        <v>5.4978800000000003</v>
      </c>
      <c r="D3" s="3">
        <v>0</v>
      </c>
      <c r="E3" s="2">
        <f>C3*D3</f>
        <v>0</v>
      </c>
      <c r="F3" s="15">
        <f>[2]Summary!C3</f>
        <v>5.0819999999999999</v>
      </c>
      <c r="G3" s="8" t="s">
        <v>58</v>
      </c>
      <c r="H3" s="59">
        <f>C3</f>
        <v>5.4978800000000003</v>
      </c>
      <c r="I3" s="10"/>
      <c r="J3" s="9">
        <f>H3</f>
        <v>5.4978800000000003</v>
      </c>
      <c r="K3" s="10">
        <v>0</v>
      </c>
      <c r="L3" s="9">
        <f>J3*K3</f>
        <v>0</v>
      </c>
      <c r="N3" s="41">
        <v>5.4978800000000003</v>
      </c>
    </row>
    <row r="4" spans="1:14" ht="23">
      <c r="A4" s="7">
        <v>2</v>
      </c>
      <c r="B4" s="5" t="s">
        <v>6</v>
      </c>
      <c r="C4" s="46">
        <f>'[1]CAR Working_Ind AS'!$D$73/10</f>
        <v>3857.7974570699998</v>
      </c>
      <c r="D4" s="3">
        <v>0</v>
      </c>
      <c r="E4" s="2">
        <f t="shared" ref="E4:E5" si="0">C4*D4</f>
        <v>0</v>
      </c>
      <c r="F4" s="15">
        <f>[2]Summary!C4</f>
        <v>715.34100000000001</v>
      </c>
      <c r="G4" s="8" t="s">
        <v>6</v>
      </c>
      <c r="H4" s="59">
        <f>C4</f>
        <v>3857.7974570699998</v>
      </c>
      <c r="I4" s="10"/>
      <c r="J4" s="9">
        <f>H4</f>
        <v>3857.7974570699998</v>
      </c>
      <c r="K4" s="10">
        <v>0</v>
      </c>
      <c r="L4" s="9">
        <f t="shared" ref="L4:L5" si="1">J4*K4</f>
        <v>0</v>
      </c>
      <c r="N4" s="41">
        <v>3857.7974570699998</v>
      </c>
    </row>
    <row r="5" spans="1:14">
      <c r="A5" s="7">
        <v>3</v>
      </c>
      <c r="B5" s="1" t="s">
        <v>7</v>
      </c>
      <c r="C5" s="29">
        <f>'[1]CAR Working_Ind AS'!$D$74/10</f>
        <v>0</v>
      </c>
      <c r="D5" s="3">
        <v>0.2</v>
      </c>
      <c r="E5" s="2">
        <f t="shared" si="0"/>
        <v>0</v>
      </c>
      <c r="F5" s="15">
        <f>[2]Summary!C5</f>
        <v>0</v>
      </c>
      <c r="G5" s="8" t="s">
        <v>59</v>
      </c>
      <c r="H5" s="59">
        <f>C7</f>
        <v>2078.2121860000002</v>
      </c>
      <c r="I5" s="10"/>
      <c r="J5" s="9">
        <f t="shared" ref="J5:J6" si="2">H5</f>
        <v>2078.2121860000002</v>
      </c>
      <c r="K5" s="10">
        <v>0</v>
      </c>
      <c r="L5" s="9">
        <f t="shared" si="1"/>
        <v>0</v>
      </c>
      <c r="M5" s="27">
        <f>C7-H5</f>
        <v>0</v>
      </c>
      <c r="N5" s="41">
        <v>0</v>
      </c>
    </row>
    <row r="6" spans="1:14">
      <c r="A6" s="7">
        <v>4</v>
      </c>
      <c r="B6" s="5" t="s">
        <v>8</v>
      </c>
      <c r="C6" s="29"/>
      <c r="D6" s="3"/>
      <c r="E6" s="2"/>
      <c r="F6" s="15">
        <f>[2]Summary!C6</f>
        <v>0</v>
      </c>
      <c r="G6" s="8" t="s">
        <v>100</v>
      </c>
      <c r="H6" s="57">
        <f>C8</f>
        <v>45.716122820000002</v>
      </c>
      <c r="I6" s="56"/>
      <c r="J6" s="9">
        <f t="shared" si="2"/>
        <v>45.716122820000002</v>
      </c>
      <c r="K6" s="10">
        <f>L6/J6</f>
        <v>0.7</v>
      </c>
      <c r="L6" s="57">
        <f>E8</f>
        <v>32.001285973999998</v>
      </c>
      <c r="N6" s="41"/>
    </row>
    <row r="7" spans="1:14" ht="28">
      <c r="A7" s="7"/>
      <c r="B7" s="1" t="s">
        <v>9</v>
      </c>
      <c r="C7" s="46">
        <f>'[1]CAR Working_Ind AS'!$D$76/10</f>
        <v>2078.2121860000002</v>
      </c>
      <c r="D7" s="3">
        <v>0</v>
      </c>
      <c r="E7" s="2">
        <f>C7*D7</f>
        <v>0</v>
      </c>
      <c r="F7" s="15">
        <f>[2]Summary!C7</f>
        <v>1630.7760000000001</v>
      </c>
      <c r="G7" s="8" t="s">
        <v>60</v>
      </c>
      <c r="H7" s="9">
        <f>SUM(C13:C21)</f>
        <v>43765.741426828645</v>
      </c>
      <c r="I7" s="10"/>
      <c r="J7" s="9">
        <f t="shared" ref="J7:J14" si="3">H7</f>
        <v>43765.741426828645</v>
      </c>
      <c r="K7" s="10">
        <f>L7/J7</f>
        <v>0.38071631881584439</v>
      </c>
      <c r="L7" s="9">
        <f>SUM(E13:E21)</f>
        <v>16662.331966268302</v>
      </c>
      <c r="N7" s="41">
        <v>2078.2121860000002</v>
      </c>
    </row>
    <row r="8" spans="1:14">
      <c r="A8" s="7" t="s">
        <v>98</v>
      </c>
      <c r="B8" s="1" t="s">
        <v>99</v>
      </c>
      <c r="C8" s="46">
        <f>'[1]CAR Working_Ind AS'!$D$96/10</f>
        <v>45.716122820000002</v>
      </c>
      <c r="D8" s="3">
        <v>0.7</v>
      </c>
      <c r="E8" s="2">
        <f>C8*D8</f>
        <v>32.001285973999998</v>
      </c>
      <c r="F8" s="15"/>
      <c r="G8" s="8" t="s">
        <v>61</v>
      </c>
      <c r="H8" s="9">
        <f>C22+C36</f>
        <v>15808.305421029843</v>
      </c>
      <c r="I8" s="10"/>
      <c r="J8" s="9">
        <f t="shared" si="3"/>
        <v>15808.305421029843</v>
      </c>
      <c r="K8" s="10">
        <f t="shared" ref="K8" si="4">L8/J8</f>
        <v>0.99995580520973426</v>
      </c>
      <c r="L8" s="9">
        <f>E22+E36-1</f>
        <v>15807.606776287304</v>
      </c>
      <c r="N8" s="41"/>
    </row>
    <row r="9" spans="1:14" ht="23">
      <c r="A9" s="7">
        <v>5</v>
      </c>
      <c r="B9" s="5" t="s">
        <v>10</v>
      </c>
      <c r="C9" s="29"/>
      <c r="D9" s="3"/>
      <c r="E9" s="2"/>
      <c r="F9" s="15">
        <f>[2]Summary!C8</f>
        <v>0</v>
      </c>
      <c r="G9" s="53" t="s">
        <v>24</v>
      </c>
      <c r="H9" s="54">
        <f>C23</f>
        <v>966.24712412160022</v>
      </c>
      <c r="I9" s="11"/>
      <c r="J9" s="54">
        <f t="shared" si="3"/>
        <v>966.24712412160022</v>
      </c>
      <c r="K9" s="55">
        <f t="shared" ref="K9:K15" si="5">L9/J9</f>
        <v>1</v>
      </c>
      <c r="L9" s="54">
        <f>E23</f>
        <v>966.24712412160022</v>
      </c>
      <c r="N9" s="41"/>
    </row>
    <row r="10" spans="1:14" ht="23">
      <c r="A10" s="50"/>
      <c r="B10" s="51" t="s">
        <v>11</v>
      </c>
      <c r="C10" s="4">
        <f>[3]Sheet2!$B$22/10</f>
        <v>25.577570552336883</v>
      </c>
      <c r="D10" s="3">
        <v>0</v>
      </c>
      <c r="E10" s="2">
        <f>C10*D10</f>
        <v>0</v>
      </c>
      <c r="F10" s="15">
        <f>[2]Summary!C9</f>
        <v>69.832000000000008</v>
      </c>
      <c r="G10" s="8" t="s">
        <v>96</v>
      </c>
      <c r="H10" s="57">
        <f>C24</f>
        <v>4681.1582807388713</v>
      </c>
      <c r="I10" s="56"/>
      <c r="J10" s="54">
        <f t="shared" si="3"/>
        <v>4681.1582807388713</v>
      </c>
      <c r="K10" s="55">
        <f t="shared" si="5"/>
        <v>1.25</v>
      </c>
      <c r="L10" s="58">
        <f>E24</f>
        <v>5851.4478509235887</v>
      </c>
      <c r="N10" s="41">
        <v>25.577570552336883</v>
      </c>
    </row>
    <row r="11" spans="1:14">
      <c r="A11" s="7">
        <v>6</v>
      </c>
      <c r="B11" s="5" t="s">
        <v>12</v>
      </c>
      <c r="C11" s="29"/>
      <c r="D11" s="3"/>
      <c r="E11" s="2"/>
      <c r="F11" s="15">
        <f>[2]Summary!C10</f>
        <v>0</v>
      </c>
      <c r="G11" s="8" t="s">
        <v>62</v>
      </c>
      <c r="H11" s="9">
        <f>C26</f>
        <v>1211.3585197363411</v>
      </c>
      <c r="I11" s="10"/>
      <c r="J11" s="9">
        <f t="shared" si="3"/>
        <v>1211.3585197363411</v>
      </c>
      <c r="K11" s="10">
        <f t="shared" si="5"/>
        <v>1</v>
      </c>
      <c r="L11" s="9">
        <f>E26</f>
        <v>1211.3585197363411</v>
      </c>
      <c r="N11" s="41"/>
    </row>
    <row r="12" spans="1:14" ht="42">
      <c r="A12" s="7">
        <v>6.1</v>
      </c>
      <c r="B12" s="1" t="s">
        <v>13</v>
      </c>
      <c r="C12" s="29"/>
      <c r="D12" s="3"/>
      <c r="E12" s="2"/>
      <c r="F12" s="15">
        <f>[2]Summary!C11</f>
        <v>0</v>
      </c>
      <c r="G12" s="8" t="s">
        <v>28</v>
      </c>
      <c r="H12" s="9">
        <f>SUM(C28:C29)</f>
        <v>11146.927498673325</v>
      </c>
      <c r="I12" s="10"/>
      <c r="J12" s="9">
        <f t="shared" si="3"/>
        <v>11146.927498673325</v>
      </c>
      <c r="K12" s="10">
        <f t="shared" si="5"/>
        <v>0.85760262286321365</v>
      </c>
      <c r="L12" s="9">
        <f>E28+E29</f>
        <v>9559.6342597283256</v>
      </c>
      <c r="N12" s="41"/>
    </row>
    <row r="13" spans="1:14">
      <c r="A13" s="7"/>
      <c r="B13" s="5" t="s">
        <v>14</v>
      </c>
      <c r="C13" s="46">
        <f>'[1]CAR Working_Ind AS'!$D106/10</f>
        <v>24315.248610772862</v>
      </c>
      <c r="D13" s="3">
        <v>0.35</v>
      </c>
      <c r="E13" s="2">
        <f>C13*D13</f>
        <v>8510.3370137705006</v>
      </c>
      <c r="F13" s="15">
        <f>[2]Summary!C12</f>
        <v>18044.329000000002</v>
      </c>
      <c r="G13" s="8" t="s">
        <v>63</v>
      </c>
      <c r="H13" s="9">
        <f>SUM(C39:C44)</f>
        <v>175.81731893</v>
      </c>
      <c r="I13" s="10"/>
      <c r="J13" s="9">
        <f t="shared" si="3"/>
        <v>175.81731893</v>
      </c>
      <c r="K13" s="10">
        <f t="shared" si="5"/>
        <v>1</v>
      </c>
      <c r="L13" s="9">
        <f>E42+E43+E44</f>
        <v>175.81731893</v>
      </c>
      <c r="N13" s="41">
        <v>24315.248610772862</v>
      </c>
    </row>
    <row r="14" spans="1:14">
      <c r="A14" s="7"/>
      <c r="B14" s="5" t="s">
        <v>15</v>
      </c>
      <c r="C14" s="46">
        <f>'[1]CAR Working_Ind AS'!$D$107/10</f>
        <v>7482.5630335330497</v>
      </c>
      <c r="D14" s="3">
        <v>0.5</v>
      </c>
      <c r="E14" s="2">
        <f>C14*D14</f>
        <v>3741.2815167665249</v>
      </c>
      <c r="F14" s="15">
        <f>[2]Summary!C13</f>
        <v>4144.5050000000001</v>
      </c>
      <c r="G14" s="8" t="s">
        <v>45</v>
      </c>
      <c r="H14" s="9">
        <f>SUM(C46:C50)</f>
        <v>833.24629036155557</v>
      </c>
      <c r="I14" s="10"/>
      <c r="J14" s="9">
        <f t="shared" si="3"/>
        <v>833.24629036155557</v>
      </c>
      <c r="K14" s="10">
        <f t="shared" si="5"/>
        <v>0.91769501973804413</v>
      </c>
      <c r="L14" s="9">
        <f>E46+E47+E48+E50</f>
        <v>764.6659708799998</v>
      </c>
      <c r="N14" s="41">
        <v>7482.5630335330497</v>
      </c>
    </row>
    <row r="15" spans="1:14" ht="42">
      <c r="A15" s="7">
        <v>6.2</v>
      </c>
      <c r="B15" s="1" t="s">
        <v>16</v>
      </c>
      <c r="C15" s="29"/>
      <c r="D15" s="3"/>
      <c r="E15" s="2"/>
      <c r="F15" s="15">
        <f>[2]Summary!C14</f>
        <v>0</v>
      </c>
      <c r="G15" s="8" t="s">
        <v>64</v>
      </c>
      <c r="H15" s="9">
        <f>SUM(C54:C66)</f>
        <v>11138.134228552333</v>
      </c>
      <c r="I15" s="10">
        <v>0.5</v>
      </c>
      <c r="J15" s="9">
        <f>H15*I15</f>
        <v>5569.0671142761666</v>
      </c>
      <c r="K15" s="10">
        <f t="shared" si="5"/>
        <v>1</v>
      </c>
      <c r="L15" s="9">
        <f>G57+G61+G66</f>
        <v>5569.0671142761666</v>
      </c>
      <c r="N15" s="41"/>
    </row>
    <row r="16" spans="1:14">
      <c r="A16" s="7"/>
      <c r="B16" s="5" t="s">
        <v>17</v>
      </c>
      <c r="C16" s="46">
        <f>'[1]CAR Working_Ind AS'!$D$109/10</f>
        <v>97.865731637075484</v>
      </c>
      <c r="D16" s="3">
        <v>0.35</v>
      </c>
      <c r="E16" s="2">
        <f>C16*D16</f>
        <v>34.253006072976419</v>
      </c>
      <c r="F16" s="15">
        <f>[2]Summary!C15</f>
        <v>113.22799999999999</v>
      </c>
      <c r="G16" s="25"/>
      <c r="H16" s="43">
        <f>SUM(H3:H15)</f>
        <v>95714.1597548625</v>
      </c>
      <c r="I16" s="44"/>
      <c r="J16" s="43">
        <f>SUM(J3:J15)</f>
        <v>90145.092640586343</v>
      </c>
      <c r="K16" s="44"/>
      <c r="L16" s="43">
        <f>SUM(L3:L15)</f>
        <v>56600.178187125617</v>
      </c>
      <c r="N16" s="41">
        <v>97.865731637075484</v>
      </c>
    </row>
    <row r="17" spans="1:14">
      <c r="A17" s="7"/>
      <c r="B17" s="47" t="s">
        <v>18</v>
      </c>
      <c r="C17" s="46">
        <f>'[1]CAR Working_Ind AS'!$D$108/10</f>
        <v>23.290071196275765</v>
      </c>
      <c r="D17" s="3">
        <v>0.5</v>
      </c>
      <c r="E17" s="2">
        <f>C17*D17</f>
        <v>11.645035598137882</v>
      </c>
      <c r="F17" s="15">
        <f>[2]Summary!C16</f>
        <v>24.488999999999997</v>
      </c>
      <c r="L17" s="45">
        <f>L16*15%</f>
        <v>8490.0267280688422</v>
      </c>
      <c r="N17" s="41">
        <v>23.290071196275765</v>
      </c>
    </row>
    <row r="18" spans="1:14">
      <c r="A18" s="7"/>
      <c r="B18" s="5" t="s">
        <v>19</v>
      </c>
      <c r="C18" s="46">
        <f>'[1]CAR Working_Ind AS'!$D$110/10</f>
        <v>10422.418565665464</v>
      </c>
      <c r="D18" s="3">
        <v>0.35</v>
      </c>
      <c r="E18" s="2">
        <f>C18*D18</f>
        <v>3647.8464979829123</v>
      </c>
      <c r="F18" s="15">
        <f>[2]Summary!C17</f>
        <v>6785.4449999999997</v>
      </c>
      <c r="N18" s="41">
        <v>10422.418565665464</v>
      </c>
    </row>
    <row r="19" spans="1:14" ht="42">
      <c r="A19" s="7">
        <v>6.3</v>
      </c>
      <c r="B19" s="1" t="s">
        <v>20</v>
      </c>
      <c r="C19" s="29"/>
      <c r="D19" s="3"/>
      <c r="E19" s="2"/>
      <c r="F19" s="15">
        <f>[2]Summary!C18</f>
        <v>0</v>
      </c>
      <c r="N19" s="41"/>
    </row>
    <row r="20" spans="1:14">
      <c r="A20" s="7"/>
      <c r="B20" s="5" t="s">
        <v>21</v>
      </c>
      <c r="C20" s="46">
        <f>'[1]CAR Working_Ind AS'!$D$111/10</f>
        <v>19.164756261188181</v>
      </c>
      <c r="D20" s="3">
        <v>0.75</v>
      </c>
      <c r="E20" s="2">
        <f>C20*D20</f>
        <v>14.373567195891136</v>
      </c>
      <c r="F20" s="15">
        <f>[2]Summary!C19</f>
        <v>63.265000000000001</v>
      </c>
      <c r="N20" s="41">
        <v>19.164756261188181</v>
      </c>
    </row>
    <row r="21" spans="1:14">
      <c r="A21" s="7"/>
      <c r="B21" s="5" t="s">
        <v>22</v>
      </c>
      <c r="C21" s="46">
        <f>'[1]CAR Working_Ind AS'!$D$112/10</f>
        <v>1405.1906577627205</v>
      </c>
      <c r="D21" s="3">
        <v>0.5</v>
      </c>
      <c r="E21" s="2">
        <f>C21*D21</f>
        <v>702.59532888136027</v>
      </c>
      <c r="F21" s="15">
        <f>[2]Summary!C20</f>
        <v>1214.0509999999999</v>
      </c>
      <c r="N21" s="41">
        <v>1405.1906577627205</v>
      </c>
    </row>
    <row r="22" spans="1:14" ht="28">
      <c r="A22" s="7">
        <v>6.4</v>
      </c>
      <c r="B22" s="1" t="s">
        <v>23</v>
      </c>
      <c r="C22" s="48">
        <f>'[1]CAR Working_Ind AS'!$Q$113/10</f>
        <v>15807.1</v>
      </c>
      <c r="D22" s="3">
        <v>1</v>
      </c>
      <c r="E22" s="2">
        <f>C22*D22</f>
        <v>15807.1</v>
      </c>
      <c r="F22" s="15">
        <f>[2]Summary!C21</f>
        <v>18589.392</v>
      </c>
      <c r="G22" t="s">
        <v>78</v>
      </c>
      <c r="N22" s="41">
        <v>20381.3</v>
      </c>
    </row>
    <row r="23" spans="1:14">
      <c r="A23" s="7">
        <v>6.5</v>
      </c>
      <c r="B23" s="5" t="s">
        <v>24</v>
      </c>
      <c r="C23" s="46">
        <f>'[1]CAR Working_Ind AS'!$Q$112/10</f>
        <v>966.24712412160022</v>
      </c>
      <c r="D23" s="3">
        <v>1</v>
      </c>
      <c r="E23" s="2">
        <f>C23*D23</f>
        <v>966.24712412160022</v>
      </c>
      <c r="F23" s="15">
        <f>[2]Summary!C22</f>
        <v>1237.0309999999999</v>
      </c>
      <c r="N23" s="41">
        <v>1073.1629072363312</v>
      </c>
    </row>
    <row r="24" spans="1:14">
      <c r="A24" s="7">
        <v>6.6</v>
      </c>
      <c r="B24" s="5" t="s">
        <v>96</v>
      </c>
      <c r="C24" s="46">
        <f>('[1]CAR Working_Ind AS'!$R$113+'[1]CAR Working_Ind AS'!$R$112)/10</f>
        <v>4681.1582807388713</v>
      </c>
      <c r="D24" s="3">
        <v>1.25</v>
      </c>
      <c r="E24" s="28">
        <f>C24*D24</f>
        <v>5851.4478509235887</v>
      </c>
      <c r="F24" s="15"/>
      <c r="N24" s="41"/>
    </row>
    <row r="25" spans="1:14" ht="28">
      <c r="A25" s="7">
        <v>6.7</v>
      </c>
      <c r="B25" s="1" t="s">
        <v>25</v>
      </c>
      <c r="C25" s="29"/>
      <c r="D25" s="3" t="s">
        <v>26</v>
      </c>
      <c r="E25" s="2"/>
      <c r="F25" s="15">
        <f>[2]Summary!C23</f>
        <v>0</v>
      </c>
      <c r="H25" s="30" t="s">
        <v>79</v>
      </c>
      <c r="I25" s="31"/>
      <c r="J25" s="32" t="s">
        <v>80</v>
      </c>
      <c r="N25" s="41"/>
    </row>
    <row r="26" spans="1:14" ht="28">
      <c r="A26" s="7"/>
      <c r="B26" s="1" t="s">
        <v>27</v>
      </c>
      <c r="C26" s="46">
        <f>'[1]CAR Working_Ind AS'!$D$113/10</f>
        <v>1211.3585197363411</v>
      </c>
      <c r="D26" s="3">
        <v>1</v>
      </c>
      <c r="E26" s="2">
        <f>C26*D26</f>
        <v>1211.3585197363411</v>
      </c>
      <c r="F26" s="15">
        <f>[2]Summary!C24</f>
        <v>863.62299999999993</v>
      </c>
      <c r="H26" s="33" t="s">
        <v>81</v>
      </c>
      <c r="I26" s="34"/>
      <c r="J26" s="35">
        <f>VLOOKUP(H26,'[1]CAR Working_Ind AS'!$B$151:$D$166,3,0)</f>
        <v>434.01519979999995</v>
      </c>
      <c r="N26" s="41">
        <v>1211.3585197363411</v>
      </c>
    </row>
    <row r="27" spans="1:14">
      <c r="A27" s="7">
        <v>7</v>
      </c>
      <c r="B27" s="5" t="s">
        <v>28</v>
      </c>
      <c r="C27" s="29"/>
      <c r="D27" s="3"/>
      <c r="E27" s="2"/>
      <c r="F27" s="15">
        <f>[2]Summary!C25</f>
        <v>0</v>
      </c>
      <c r="H27" s="33" t="s">
        <v>82</v>
      </c>
      <c r="I27" s="34"/>
      <c r="J27" s="35">
        <f>VLOOKUP(H27,'[1]CAR Working_Ind AS'!$B$151:$D$166,3,0)</f>
        <v>4.3236699999999928</v>
      </c>
      <c r="N27" s="41"/>
    </row>
    <row r="28" spans="1:14" ht="28">
      <c r="A28" s="7"/>
      <c r="B28" s="1" t="s">
        <v>29</v>
      </c>
      <c r="C28" s="46">
        <f>'[1]CAR Working_Ind AS'!$D$127/10</f>
        <v>6349.1729557799999</v>
      </c>
      <c r="D28" s="3">
        <v>0.75</v>
      </c>
      <c r="E28" s="2">
        <f>C28*D28</f>
        <v>4761.8797168350002</v>
      </c>
      <c r="F28" s="15">
        <f>[2]Summary!C26</f>
        <v>2754.268</v>
      </c>
      <c r="H28" s="33" t="s">
        <v>83</v>
      </c>
      <c r="I28" s="34"/>
      <c r="J28" s="35">
        <f>VLOOKUP(H28,'[1]CAR Working_Ind AS'!$B$151:$D$166,3,0)</f>
        <v>0</v>
      </c>
      <c r="N28" s="41">
        <v>6349.1729557799999</v>
      </c>
    </row>
    <row r="29" spans="1:14" ht="28">
      <c r="A29" s="7"/>
      <c r="B29" s="1" t="s">
        <v>30</v>
      </c>
      <c r="C29" s="46">
        <f>'[1]CAR Working_Ind AS'!$D$128/10</f>
        <v>4797.7545428933245</v>
      </c>
      <c r="D29" s="3">
        <v>1</v>
      </c>
      <c r="E29" s="2">
        <f>C29*D29</f>
        <v>4797.7545428933245</v>
      </c>
      <c r="F29" s="15">
        <f>[2]Summary!C27</f>
        <v>4615.8989999999994</v>
      </c>
      <c r="H29" s="33" t="s">
        <v>84</v>
      </c>
      <c r="I29" s="34"/>
      <c r="J29" s="35">
        <f>VLOOKUP(H29,'[1]CAR Working_Ind AS'!$B$151:$D$166,3,0)</f>
        <v>208.28899459999997</v>
      </c>
      <c r="N29" s="41">
        <v>4797.7545428933245</v>
      </c>
    </row>
    <row r="30" spans="1:14" ht="42">
      <c r="A30" s="7"/>
      <c r="B30" s="1" t="s">
        <v>31</v>
      </c>
      <c r="C30" s="29"/>
      <c r="D30" s="3">
        <v>1.25</v>
      </c>
      <c r="E30" s="2">
        <f>C30*D30</f>
        <v>0</v>
      </c>
      <c r="F30" s="15">
        <f>[2]Summary!C28</f>
        <v>0</v>
      </c>
      <c r="H30" s="33" t="s">
        <v>85</v>
      </c>
      <c r="I30" s="34"/>
      <c r="J30" s="35">
        <f>VLOOKUP(H30,'[1]CAR Working_Ind AS'!$B$151:$D$166,3,0)</f>
        <v>575.29085270000007</v>
      </c>
      <c r="N30" s="41"/>
    </row>
    <row r="31" spans="1:14" ht="42">
      <c r="A31" s="7">
        <v>8</v>
      </c>
      <c r="B31" s="1" t="s">
        <v>32</v>
      </c>
      <c r="C31" s="29"/>
      <c r="D31" s="3"/>
      <c r="E31" s="2"/>
      <c r="F31" s="15">
        <f>[2]Summary!C29</f>
        <v>0</v>
      </c>
      <c r="H31" s="33" t="s">
        <v>86</v>
      </c>
      <c r="I31" s="34"/>
      <c r="J31" s="35">
        <f>VLOOKUP(H31,'[1]CAR Working_Ind AS'!$B$151:$D$166,3,0)</f>
        <v>318.87245239999999</v>
      </c>
      <c r="N31" s="41"/>
    </row>
    <row r="32" spans="1:14" ht="28">
      <c r="A32" s="7"/>
      <c r="B32" s="1" t="s">
        <v>33</v>
      </c>
      <c r="C32" s="29"/>
      <c r="D32" s="3">
        <v>0.25</v>
      </c>
      <c r="E32" s="2">
        <f t="shared" ref="E32:E37" si="6">C32*D32</f>
        <v>0</v>
      </c>
      <c r="F32" s="15">
        <f>[2]Summary!C30</f>
        <v>0</v>
      </c>
      <c r="H32" s="33" t="s">
        <v>87</v>
      </c>
      <c r="I32" s="34"/>
      <c r="J32" s="35">
        <f>VLOOKUP(H32,'[1]CAR Working_Ind AS'!$B$151:$D$166,3,0)</f>
        <v>223.5469574</v>
      </c>
      <c r="N32" s="41"/>
    </row>
    <row r="33" spans="1:14" ht="28">
      <c r="A33" s="7"/>
      <c r="B33" s="1" t="s">
        <v>34</v>
      </c>
      <c r="C33" s="29"/>
      <c r="D33" s="3">
        <v>0.6</v>
      </c>
      <c r="E33" s="2">
        <f t="shared" si="6"/>
        <v>0</v>
      </c>
      <c r="F33" s="15">
        <f>[2]Summary!C31</f>
        <v>0</v>
      </c>
      <c r="H33" s="33" t="s">
        <v>88</v>
      </c>
      <c r="I33" s="34"/>
      <c r="J33" s="35">
        <f>VLOOKUP(H33,'[1]CAR Working_Ind AS'!$B$151:$D$166,3,0)</f>
        <v>0</v>
      </c>
      <c r="N33" s="41"/>
    </row>
    <row r="34" spans="1:14" ht="28">
      <c r="A34" s="7"/>
      <c r="B34" s="1" t="s">
        <v>35</v>
      </c>
      <c r="C34" s="29"/>
      <c r="D34" s="3">
        <v>0.75</v>
      </c>
      <c r="E34" s="2">
        <f t="shared" si="6"/>
        <v>0</v>
      </c>
      <c r="F34" s="15">
        <f>[2]Summary!C32</f>
        <v>0</v>
      </c>
      <c r="H34" s="33" t="s">
        <v>89</v>
      </c>
      <c r="I34" s="34"/>
      <c r="J34" s="35">
        <f>VLOOKUP(H34,'[1]CAR Working_Ind AS'!$B$151:$D$166,3,0)</f>
        <v>131.58302179999998</v>
      </c>
      <c r="N34" s="41"/>
    </row>
    <row r="35" spans="1:14" ht="28">
      <c r="A35" s="7"/>
      <c r="B35" s="1" t="s">
        <v>36</v>
      </c>
      <c r="C35" s="29"/>
      <c r="D35" s="3">
        <v>1</v>
      </c>
      <c r="E35" s="2">
        <f t="shared" si="6"/>
        <v>0</v>
      </c>
      <c r="F35" s="15">
        <f>[2]Summary!C33</f>
        <v>0</v>
      </c>
      <c r="H35" s="33" t="s">
        <v>90</v>
      </c>
      <c r="I35" s="34"/>
      <c r="J35" s="35">
        <f>VLOOKUP(H35,'[1]CAR Working_Ind AS'!$B$151:$D$166,3,0)</f>
        <v>1.0000000999999996</v>
      </c>
      <c r="N35" s="41"/>
    </row>
    <row r="36" spans="1:14" ht="28">
      <c r="A36" s="7"/>
      <c r="B36" s="1" t="s">
        <v>37</v>
      </c>
      <c r="C36" s="46">
        <f>'[1]CAR Working_Ind AS'!$D$116/10</f>
        <v>1.2054210298434778</v>
      </c>
      <c r="D36" s="3">
        <v>1.25</v>
      </c>
      <c r="E36" s="2">
        <f t="shared" si="6"/>
        <v>1.5067762873043473</v>
      </c>
      <c r="F36" s="15">
        <f>[2]Summary!C34</f>
        <v>1.1400000000000001</v>
      </c>
      <c r="H36" s="33" t="s">
        <v>91</v>
      </c>
      <c r="I36" s="34"/>
      <c r="J36" s="35">
        <f>VLOOKUP(H36,'[1]CAR Working_Ind AS'!$B$151:$D$166,3,0)</f>
        <v>3.8602981000000001</v>
      </c>
      <c r="N36" s="41">
        <v>1.2054210298434778</v>
      </c>
    </row>
    <row r="37" spans="1:14">
      <c r="A37" s="50">
        <v>9</v>
      </c>
      <c r="B37" s="52" t="s">
        <v>95</v>
      </c>
      <c r="C37" s="4">
        <f>'[1]CAR Working_Ind AS'!$D$117/10</f>
        <v>897.9</v>
      </c>
      <c r="D37" s="3">
        <v>0</v>
      </c>
      <c r="E37" s="2">
        <f t="shared" si="6"/>
        <v>0</v>
      </c>
      <c r="F37" s="15"/>
      <c r="H37" s="33" t="s">
        <v>92</v>
      </c>
      <c r="I37" s="34"/>
      <c r="J37" s="35">
        <f>VLOOKUP(H37,'[1]CAR Working_Ind AS'!$B$151:$D$166,3,0)</f>
        <v>5968.0754461999995</v>
      </c>
      <c r="N37" s="41">
        <v>897.9</v>
      </c>
    </row>
    <row r="38" spans="1:14">
      <c r="A38" s="7">
        <v>10</v>
      </c>
      <c r="B38" s="5" t="s">
        <v>38</v>
      </c>
      <c r="C38" s="29"/>
      <c r="D38" s="3"/>
      <c r="E38" s="2"/>
      <c r="F38" s="15" t="str">
        <f>[2]Summary!C35</f>
        <v/>
      </c>
      <c r="H38" s="40" t="s">
        <v>93</v>
      </c>
      <c r="I38" s="34"/>
      <c r="J38" s="35">
        <f>VLOOKUP(H38,'[1]CAR Working_Ind AS'!$B$151:$D$166,3,0)</f>
        <v>50.506239099999995</v>
      </c>
      <c r="N38" s="41"/>
    </row>
    <row r="39" spans="1:14">
      <c r="A39" s="7"/>
      <c r="B39" s="5" t="s">
        <v>39</v>
      </c>
      <c r="C39" s="29"/>
      <c r="D39" s="3"/>
      <c r="E39" s="2"/>
      <c r="F39" s="15" t="str">
        <f>[2]Summary!C36</f>
        <v/>
      </c>
      <c r="H39" s="33" t="s">
        <v>94</v>
      </c>
      <c r="I39" s="34"/>
      <c r="J39" s="35">
        <f>VLOOKUP(H39,'[1]CAR Working_Ind AS'!$B$151:$D$166,3,0)</f>
        <v>946.57249089999937</v>
      </c>
      <c r="N39" s="41"/>
    </row>
    <row r="40" spans="1:14">
      <c r="A40" s="7"/>
      <c r="B40" s="5" t="s">
        <v>40</v>
      </c>
      <c r="C40" s="29">
        <f>'[1]CAR Working_Ind AS'!$D$132/10</f>
        <v>0</v>
      </c>
      <c r="D40" s="3">
        <v>0</v>
      </c>
      <c r="E40" s="2">
        <f>C40*D40</f>
        <v>0</v>
      </c>
      <c r="F40" s="15">
        <f>[2]Summary!C37</f>
        <v>0</v>
      </c>
      <c r="H40" s="33" t="s">
        <v>97</v>
      </c>
      <c r="I40" s="39"/>
      <c r="J40" s="35">
        <v>30.01737</v>
      </c>
      <c r="N40" s="41">
        <v>0</v>
      </c>
    </row>
    <row r="41" spans="1:14">
      <c r="A41" s="7"/>
      <c r="B41" s="5" t="s">
        <v>41</v>
      </c>
      <c r="C41" s="29">
        <f>'[1]CAR Working_Ind AS'!$D$133/10</f>
        <v>0</v>
      </c>
      <c r="D41" s="3">
        <v>1</v>
      </c>
      <c r="E41" s="2">
        <f>C41*D41</f>
        <v>0</v>
      </c>
      <c r="F41" s="15">
        <f>[2]Summary!C38</f>
        <v>0</v>
      </c>
      <c r="H41" s="36" t="s">
        <v>76</v>
      </c>
      <c r="I41" s="37"/>
      <c r="J41" s="38">
        <f>SUM(J26:J40)</f>
        <v>8895.9529930999979</v>
      </c>
      <c r="N41" s="41">
        <v>0</v>
      </c>
    </row>
    <row r="42" spans="1:14">
      <c r="A42" s="7"/>
      <c r="B42" s="5" t="s">
        <v>42</v>
      </c>
      <c r="C42" s="46">
        <f>'[1]CAR Working_Ind AS'!$D$138/10</f>
        <v>0.59800000000000009</v>
      </c>
      <c r="D42" s="3">
        <v>1</v>
      </c>
      <c r="E42" s="2">
        <f>C42*D42</f>
        <v>0.59800000000000009</v>
      </c>
      <c r="F42" s="15">
        <f>[2]Summary!C39</f>
        <v>0.59800000000000009</v>
      </c>
      <c r="N42" s="41">
        <v>0.59800000000000009</v>
      </c>
    </row>
    <row r="43" spans="1:14">
      <c r="A43" s="7"/>
      <c r="B43" s="5" t="s">
        <v>43</v>
      </c>
      <c r="C43" s="46">
        <f>'[1]CAR Working_Ind AS'!$D$139/10</f>
        <v>50.289990500000002</v>
      </c>
      <c r="D43" s="3">
        <v>1</v>
      </c>
      <c r="E43" s="2">
        <f>C43*D43</f>
        <v>50.289990500000002</v>
      </c>
      <c r="F43" s="15">
        <f>[2]Summary!C40</f>
        <v>27.516000000000002</v>
      </c>
      <c r="N43" s="41">
        <v>50.289990500000002</v>
      </c>
    </row>
    <row r="44" spans="1:14">
      <c r="A44" s="7"/>
      <c r="B44" s="5" t="s">
        <v>44</v>
      </c>
      <c r="C44" s="49">
        <f>'[1]Ind_AS BS'!$C$19/10-C40-C41-C42-C43</f>
        <v>124.92932842999998</v>
      </c>
      <c r="D44" s="3">
        <v>1</v>
      </c>
      <c r="E44" s="2">
        <f>C44*D44</f>
        <v>124.92932842999998</v>
      </c>
      <c r="F44" s="15">
        <f>[2]Summary!C41</f>
        <v>78.717999999999989</v>
      </c>
      <c r="N44" s="41">
        <v>124.92932842999998</v>
      </c>
    </row>
    <row r="45" spans="1:14">
      <c r="A45" s="7">
        <v>11</v>
      </c>
      <c r="B45" s="5" t="s">
        <v>45</v>
      </c>
      <c r="C45" s="29"/>
      <c r="D45" s="3"/>
      <c r="E45" s="2"/>
      <c r="F45" s="15">
        <f>[2]Summary!C42</f>
        <v>0</v>
      </c>
      <c r="N45" s="41"/>
    </row>
    <row r="46" spans="1:14">
      <c r="A46" s="7"/>
      <c r="B46" s="5" t="s">
        <v>46</v>
      </c>
      <c r="C46" s="29">
        <f>'[1]CAR Working_Ind AS'!$D$142/10</f>
        <v>0</v>
      </c>
      <c r="D46" s="3">
        <v>0</v>
      </c>
      <c r="E46" s="2">
        <f>C46*D46</f>
        <v>0</v>
      </c>
      <c r="F46" s="15">
        <f>[2]Summary!C43</f>
        <v>34.917000000000002</v>
      </c>
      <c r="N46" s="41">
        <v>0</v>
      </c>
    </row>
    <row r="47" spans="1:14">
      <c r="A47" s="7"/>
      <c r="B47" s="5" t="s">
        <v>47</v>
      </c>
      <c r="C47" s="46">
        <f>'[1]CAR Working_Ind AS'!$D$143/10</f>
        <v>54.662675891555729</v>
      </c>
      <c r="D47" s="3">
        <v>0</v>
      </c>
      <c r="E47" s="2">
        <f>C47*D47</f>
        <v>0</v>
      </c>
      <c r="F47" s="15">
        <f>[2]Summary!C44</f>
        <v>110</v>
      </c>
      <c r="N47" s="41">
        <v>54.662675891555729</v>
      </c>
    </row>
    <row r="48" spans="1:14">
      <c r="A48" s="7"/>
      <c r="B48" s="1" t="s">
        <v>48</v>
      </c>
      <c r="C48" s="46">
        <f>'[1]CAR Working_Ind AS'!$D$144/10</f>
        <v>13.917643590000001</v>
      </c>
      <c r="D48" s="3">
        <v>0</v>
      </c>
      <c r="E48" s="2">
        <f>C48*D48</f>
        <v>0</v>
      </c>
      <c r="F48" s="15">
        <f>[2]Summary!C45</f>
        <v>6.3770000000000007</v>
      </c>
      <c r="N48" s="41">
        <v>13.917643590000001</v>
      </c>
    </row>
    <row r="49" spans="1:14" ht="28">
      <c r="A49" s="7">
        <v>12</v>
      </c>
      <c r="B49" s="1" t="s">
        <v>49</v>
      </c>
      <c r="C49" s="29"/>
      <c r="D49" s="3"/>
      <c r="E49" s="2"/>
      <c r="F49" s="15">
        <f>[2]Summary!C46</f>
        <v>0</v>
      </c>
      <c r="N49" s="41"/>
    </row>
    <row r="50" spans="1:14">
      <c r="A50" s="7"/>
      <c r="B50" s="5" t="s">
        <v>50</v>
      </c>
      <c r="C50" s="46">
        <f>SUM(J26,J27,J28,J29,J35,J36,J37,J38,J39,J40)/10</f>
        <v>764.6659708799998</v>
      </c>
      <c r="D50" s="3">
        <v>1</v>
      </c>
      <c r="E50" s="2">
        <f t="shared" ref="E50" si="7">C50*D50</f>
        <v>764.6659708799998</v>
      </c>
      <c r="F50" s="15">
        <f>[2]Summary!C47</f>
        <v>488.71699999999998</v>
      </c>
      <c r="G50" s="27"/>
      <c r="H50" s="25"/>
      <c r="N50" s="41">
        <v>761.66423387999987</v>
      </c>
    </row>
    <row r="51" spans="1:14">
      <c r="A51" s="12"/>
      <c r="B51" s="12" t="s">
        <v>51</v>
      </c>
      <c r="C51" s="13">
        <f>SUM(C3:C50)-C10-C37</f>
        <v>84576.025526310157</v>
      </c>
      <c r="D51" s="14"/>
      <c r="E51" s="13">
        <f>SUM(E3:E50)</f>
        <v>51032.111072849468</v>
      </c>
      <c r="F51" s="16">
        <f>SUM(F3:F50)</f>
        <v>61618.539000000004</v>
      </c>
      <c r="N51" s="41">
        <v>85450.742739418347</v>
      </c>
    </row>
    <row r="52" spans="1:14">
      <c r="C52" s="41"/>
      <c r="D52" s="25"/>
      <c r="N52" s="41">
        <v>85473.797422879696</v>
      </c>
    </row>
    <row r="53" spans="1:14" ht="45">
      <c r="A53" s="19" t="s">
        <v>0</v>
      </c>
      <c r="B53" s="19" t="s">
        <v>1</v>
      </c>
      <c r="C53" s="19" t="s">
        <v>65</v>
      </c>
      <c r="D53" s="19" t="s">
        <v>66</v>
      </c>
      <c r="E53" s="19" t="s">
        <v>67</v>
      </c>
      <c r="F53" s="19" t="s">
        <v>3</v>
      </c>
      <c r="G53" s="19" t="s">
        <v>68</v>
      </c>
      <c r="N53" s="41" t="s">
        <v>65</v>
      </c>
    </row>
    <row r="54" spans="1:14" ht="15">
      <c r="A54" s="17">
        <v>1</v>
      </c>
      <c r="B54" s="17" t="s">
        <v>69</v>
      </c>
      <c r="C54" s="2"/>
      <c r="D54" s="3"/>
      <c r="E54" s="2"/>
      <c r="F54" s="3"/>
      <c r="G54" s="2"/>
      <c r="N54" s="41"/>
    </row>
    <row r="55" spans="1:14" ht="15">
      <c r="A55" s="17"/>
      <c r="B55" s="17" t="s">
        <v>70</v>
      </c>
      <c r="C55" s="2"/>
      <c r="D55" s="3">
        <v>0.5</v>
      </c>
      <c r="E55" s="2">
        <f>C55*D55</f>
        <v>0</v>
      </c>
      <c r="F55" s="3">
        <v>0</v>
      </c>
      <c r="G55" s="2">
        <f>E55*F55</f>
        <v>0</v>
      </c>
      <c r="N55" s="41"/>
    </row>
    <row r="56" spans="1:14" ht="15">
      <c r="A56" s="17"/>
      <c r="B56" s="17" t="s">
        <v>71</v>
      </c>
      <c r="C56" s="2"/>
      <c r="D56" s="3">
        <v>0.5</v>
      </c>
      <c r="E56" s="2">
        <f t="shared" ref="E56" si="8">C56*D56</f>
        <v>0</v>
      </c>
      <c r="F56" s="3">
        <v>0.2</v>
      </c>
      <c r="G56" s="2">
        <f>E56*F56</f>
        <v>0</v>
      </c>
      <c r="N56" s="41"/>
    </row>
    <row r="57" spans="1:14" ht="15">
      <c r="A57" s="17"/>
      <c r="B57" s="17" t="s">
        <v>72</v>
      </c>
      <c r="C57" s="2">
        <f>'[1]CAR Working_Ind AS'!$D$180/10</f>
        <v>11038.75505514</v>
      </c>
      <c r="D57" s="3">
        <v>0.5</v>
      </c>
      <c r="E57" s="28">
        <f>C57*D57</f>
        <v>5519.37752757</v>
      </c>
      <c r="F57" s="3">
        <v>1</v>
      </c>
      <c r="G57" s="2">
        <f>E57*F57</f>
        <v>5519.37752757</v>
      </c>
      <c r="N57" s="41">
        <v>11038.75505514</v>
      </c>
    </row>
    <row r="58" spans="1:14" ht="15">
      <c r="A58" s="17">
        <v>2</v>
      </c>
      <c r="B58" s="17" t="s">
        <v>73</v>
      </c>
      <c r="C58" s="2"/>
      <c r="D58" s="3"/>
      <c r="E58" s="2"/>
      <c r="F58" s="3"/>
      <c r="G58" s="2"/>
      <c r="N58" s="41"/>
    </row>
    <row r="59" spans="1:14" ht="15">
      <c r="A59" s="17"/>
      <c r="B59" s="17" t="s">
        <v>70</v>
      </c>
      <c r="C59" s="2"/>
      <c r="D59" s="3">
        <v>1</v>
      </c>
      <c r="E59" s="2">
        <f>C59*D59</f>
        <v>0</v>
      </c>
      <c r="F59" s="3">
        <v>0</v>
      </c>
      <c r="G59" s="2">
        <f>E59*F59</f>
        <v>0</v>
      </c>
      <c r="N59" s="41"/>
    </row>
    <row r="60" spans="1:14" ht="15">
      <c r="A60" s="17"/>
      <c r="B60" s="17" t="s">
        <v>71</v>
      </c>
      <c r="C60" s="2"/>
      <c r="D60" s="3">
        <v>1</v>
      </c>
      <c r="E60" s="2">
        <f>C60*D60</f>
        <v>0</v>
      </c>
      <c r="F60" s="3">
        <v>0.2</v>
      </c>
      <c r="G60" s="2">
        <f>E60*F60</f>
        <v>0</v>
      </c>
      <c r="N60" s="41"/>
    </row>
    <row r="61" spans="1:14" ht="15">
      <c r="A61" s="17"/>
      <c r="B61" s="17" t="s">
        <v>72</v>
      </c>
      <c r="C61" s="2">
        <f>'[1]CAR Working_Ind AS'!$D$175/10</f>
        <v>0</v>
      </c>
      <c r="D61" s="3">
        <v>1</v>
      </c>
      <c r="E61" s="2">
        <f>C61*D61</f>
        <v>0</v>
      </c>
      <c r="F61" s="3">
        <v>1</v>
      </c>
      <c r="G61" s="42">
        <f>E61*F61</f>
        <v>0</v>
      </c>
      <c r="N61" s="41">
        <v>0</v>
      </c>
    </row>
    <row r="62" spans="1:14" ht="30">
      <c r="A62" s="17">
        <v>3</v>
      </c>
      <c r="B62" s="17" t="s">
        <v>74</v>
      </c>
      <c r="C62" s="2"/>
      <c r="D62" s="3"/>
      <c r="E62" s="2"/>
      <c r="F62" s="3"/>
      <c r="G62" s="2"/>
      <c r="N62" s="41"/>
    </row>
    <row r="63" spans="1:14" ht="15">
      <c r="A63" s="17"/>
      <c r="B63" s="17" t="s">
        <v>75</v>
      </c>
      <c r="C63" s="2"/>
      <c r="D63" s="3"/>
      <c r="E63" s="2"/>
      <c r="F63" s="3"/>
      <c r="G63" s="2"/>
      <c r="N63" s="41"/>
    </row>
    <row r="64" spans="1:14" ht="15">
      <c r="A64" s="17"/>
      <c r="B64" s="17" t="s">
        <v>70</v>
      </c>
      <c r="C64" s="2"/>
      <c r="D64" s="3">
        <v>0.5</v>
      </c>
      <c r="E64" s="2">
        <f>C64*D64</f>
        <v>0</v>
      </c>
      <c r="F64" s="3">
        <v>0</v>
      </c>
      <c r="G64" s="2">
        <f>E64*F64</f>
        <v>0</v>
      </c>
      <c r="N64" s="41"/>
    </row>
    <row r="65" spans="1:14" ht="15">
      <c r="A65" s="17"/>
      <c r="B65" s="17" t="s">
        <v>71</v>
      </c>
      <c r="C65" s="2"/>
      <c r="D65" s="3">
        <v>0.5</v>
      </c>
      <c r="E65" s="2">
        <f>C65*D65</f>
        <v>0</v>
      </c>
      <c r="F65" s="3">
        <v>0.2</v>
      </c>
      <c r="G65" s="2">
        <f>E65*F65</f>
        <v>0</v>
      </c>
      <c r="N65" s="41"/>
    </row>
    <row r="66" spans="1:14" ht="15">
      <c r="A66" s="17"/>
      <c r="B66" s="17" t="s">
        <v>72</v>
      </c>
      <c r="C66" s="2">
        <f>'[1]CAR Working_Ind AS'!$D$185/10</f>
        <v>99.379173412333316</v>
      </c>
      <c r="D66" s="3">
        <v>0.5</v>
      </c>
      <c r="E66" s="2">
        <f>C66*D66</f>
        <v>49.689586706166658</v>
      </c>
      <c r="F66" s="3">
        <v>1</v>
      </c>
      <c r="G66" s="2">
        <f>E66*F66</f>
        <v>49.689586706166658</v>
      </c>
      <c r="N66" s="41">
        <v>99.379173412333316</v>
      </c>
    </row>
    <row r="67" spans="1:14">
      <c r="A67" s="20"/>
      <c r="B67" s="21" t="s">
        <v>76</v>
      </c>
      <c r="C67" s="13">
        <f>SUM(C54:C66)</f>
        <v>11138.134228552333</v>
      </c>
      <c r="D67" s="13"/>
      <c r="E67" s="13">
        <f>SUM(E54:E66)</f>
        <v>5569.0671142761666</v>
      </c>
      <c r="F67" s="13"/>
      <c r="G67" s="13">
        <f>SUM(G54:G66)</f>
        <v>5569.0671142761666</v>
      </c>
      <c r="N67" s="41">
        <v>11138.134228552333</v>
      </c>
    </row>
    <row r="68" spans="1:14">
      <c r="A68" s="11"/>
      <c r="B68" s="18"/>
      <c r="C68" s="11"/>
      <c r="D68" s="11"/>
      <c r="E68" s="11"/>
      <c r="F68" s="11"/>
      <c r="N68" s="41"/>
    </row>
    <row r="69" spans="1:14">
      <c r="A69" s="20"/>
      <c r="B69" s="21" t="s">
        <v>76</v>
      </c>
      <c r="C69" s="22">
        <f>C67+C51</f>
        <v>95714.159754862485</v>
      </c>
      <c r="D69" s="20"/>
      <c r="E69" s="22">
        <f>G67+E51</f>
        <v>56601.178187125632</v>
      </c>
      <c r="F69" s="20"/>
      <c r="G69" s="26">
        <f>E69*15%</f>
        <v>8490.1767280688437</v>
      </c>
      <c r="N69" s="41">
        <v>96588.876967970675</v>
      </c>
    </row>
  </sheetData>
  <dataValidations disablePrompts="1" count="4">
    <dataValidation type="decimal" allowBlank="1" showInputMessage="1" showErrorMessage="1" sqref="C7:C8 C3:C5" xr:uid="{80ACF532-004E-442D-B47C-E8DD03C849F9}">
      <formula1>0</formula1>
      <formula2>9999999999.9999</formula2>
    </dataValidation>
    <dataValidation type="decimal" allowBlank="1" showInputMessage="1" showErrorMessage="1" sqref="C50 C13:C14 C16:C18 C55:C56 C20:C24 C28:C30 C10 C26 C46:C48 C40:C44 C32:C37" xr:uid="{4B1B247F-AD49-4400-B00F-7FC2B0745BFB}">
      <formula1>0</formula1>
      <formula2>999999999999.999</formula2>
    </dataValidation>
    <dataValidation type="decimal" allowBlank="1" showInputMessage="1" showErrorMessage="1" sqref="D50" xr:uid="{A715AEC7-A8D3-4797-8F6C-7191D7DD5E57}">
      <formula1>0</formula1>
      <formula2>999999.99</formula2>
    </dataValidation>
    <dataValidation type="decimal" allowBlank="1" showInputMessage="1" showErrorMessage="1" sqref="C59:C61 C57 C64:C66" xr:uid="{6DE961E6-3778-47C3-AEF6-BC4065D18540}">
      <formula1>0</formula1>
      <formula2>99999999999.9999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Mittal</dc:creator>
  <cp:lastModifiedBy>Ankit Mittal</cp:lastModifiedBy>
  <dcterms:created xsi:type="dcterms:W3CDTF">2015-06-05T18:17:20Z</dcterms:created>
  <dcterms:modified xsi:type="dcterms:W3CDTF">2024-06-13T12:39:03Z</dcterms:modified>
</cp:coreProperties>
</file>