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0"/>
  <workbookPr/>
  <mc:AlternateContent xmlns:mc="http://schemas.openxmlformats.org/markup-compatibility/2006">
    <mc:Choice Requires="x15">
      <x15ac:absPath xmlns:x15ac="http://schemas.microsoft.com/office/spreadsheetml/2010/11/ac" url="F:\23-24\SMHFC\ICAAP\ICAAP Presentation FY23-24\SMHFC ICAAP Final working files\SMHFC Risk Assessment Templates\"/>
    </mc:Choice>
  </mc:AlternateContent>
  <xr:revisionPtr revIDLastSave="0" documentId="13_ncr:1_{D57FE520-28AC-4A28-9E44-D46356D94D7D}" xr6:coauthVersionLast="36" xr6:coauthVersionMax="47" xr10:uidLastSave="{00000000-0000-0000-0000-000000000000}"/>
  <bookViews>
    <workbookView xWindow="-110" yWindow="-110" windowWidth="23260" windowHeight="12580" firstSheet="1" activeTab="1" xr2:uid="{00000000-000D-0000-FFFF-FFFF00000000}"/>
  </bookViews>
  <sheets>
    <sheet name="old" sheetId="2" state="hidden" r:id="rId1"/>
    <sheet name="Op Risk" sheetId="3" r:id="rId2"/>
    <sheet name="Gross Income" sheetId="4" r:id="rId3"/>
    <sheet name="Regulation" sheetId="5" r:id="rId4"/>
    <sheet name="Input - Operational Risk" sheetId="1" state="hidden" r:id="rId5"/>
  </sheets>
  <externalReferences>
    <externalReference r:id="rId6"/>
    <externalReference r:id="rId7"/>
    <externalReference r:id="rId8"/>
    <externalReference r:id="rId9"/>
  </externalReferenc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3" l="1"/>
  <c r="D14" i="3" l="1"/>
  <c r="D16" i="3"/>
  <c r="D7" i="3" l="1"/>
  <c r="C7" i="3"/>
  <c r="C16" i="3"/>
  <c r="E12" i="2"/>
  <c r="D13" i="3"/>
  <c r="D11" i="3"/>
  <c r="D10" i="3"/>
  <c r="D9" i="3"/>
  <c r="D5" i="3" l="1"/>
  <c r="C13" i="3" l="1"/>
  <c r="C11" i="3"/>
  <c r="C10" i="3"/>
  <c r="C9" i="3"/>
  <c r="C5" i="3"/>
  <c r="C18" i="3" l="1"/>
  <c r="B13" i="3" l="1"/>
  <c r="C10" i="2"/>
  <c r="C12" i="2" l="1"/>
  <c r="B16" i="3"/>
  <c r="B11" i="3"/>
  <c r="B10" i="3" l="1"/>
  <c r="B9" i="3" l="1"/>
  <c r="B7" i="3" l="1"/>
  <c r="B5" i="3" l="1"/>
  <c r="B18" i="3" s="1"/>
  <c r="D20" i="3" s="1"/>
  <c r="C3" i="2"/>
  <c r="D23" i="3" l="1"/>
  <c r="C11" i="2"/>
  <c r="C8" i="2"/>
  <c r="C7" i="2"/>
  <c r="C5" i="2"/>
  <c r="C14" i="2" s="1"/>
  <c r="C16" i="2" s="1"/>
  <c r="L10" i="2" l="1"/>
  <c r="K10" i="2"/>
  <c r="J10" i="2"/>
  <c r="G22" i="2"/>
  <c r="J23" i="2"/>
  <c r="K23" i="2"/>
  <c r="L23" i="2"/>
  <c r="F24" i="2"/>
  <c r="E24" i="2"/>
  <c r="D24" i="2"/>
  <c r="F22" i="2"/>
  <c r="E22" i="2"/>
  <c r="D22" i="2"/>
  <c r="F23" i="2"/>
  <c r="E23" i="2"/>
  <c r="D23" i="2"/>
  <c r="G23" i="2" s="1"/>
  <c r="G24" i="2" s="1"/>
  <c r="J5" i="2"/>
  <c r="K5" i="2"/>
  <c r="L5" i="2"/>
  <c r="L3" i="2"/>
  <c r="K3" i="2"/>
  <c r="J3" i="2"/>
  <c r="L8" i="2" l="1"/>
  <c r="K8" i="2"/>
  <c r="K14" i="2" s="1"/>
  <c r="J8" i="2"/>
  <c r="I14" i="2"/>
  <c r="H14" i="2"/>
  <c r="I12" i="2"/>
  <c r="H12" i="2"/>
  <c r="I11" i="2"/>
  <c r="H11" i="2"/>
  <c r="I10" i="2"/>
  <c r="H10" i="2"/>
  <c r="I9" i="2"/>
  <c r="H9" i="2"/>
  <c r="I8" i="2"/>
  <c r="H8" i="2"/>
  <c r="I7" i="2"/>
  <c r="H7" i="2"/>
  <c r="I6" i="2"/>
  <c r="H6" i="2"/>
  <c r="I5" i="2"/>
  <c r="H5" i="2"/>
  <c r="H3" i="2"/>
  <c r="I3" i="2"/>
  <c r="H2" i="2"/>
  <c r="I2" i="2"/>
  <c r="L14" i="2"/>
  <c r="J14" i="2"/>
  <c r="J2" i="2"/>
  <c r="K2" i="2" s="1"/>
  <c r="L2" i="2" s="1"/>
  <c r="F12" i="2"/>
  <c r="D12" i="2"/>
  <c r="F11" i="2"/>
  <c r="E11" i="2"/>
  <c r="D11" i="2"/>
  <c r="F10" i="2"/>
  <c r="E10" i="2"/>
  <c r="D10" i="2"/>
  <c r="F8" i="2"/>
  <c r="E8" i="2"/>
  <c r="D8" i="2"/>
  <c r="F7" i="2"/>
  <c r="E7" i="2"/>
  <c r="D7" i="2"/>
  <c r="F5" i="2"/>
  <c r="E5" i="2"/>
  <c r="D5" i="2"/>
  <c r="F3" i="2"/>
  <c r="E3" i="2"/>
  <c r="D3" i="2"/>
  <c r="L16" i="2" l="1"/>
  <c r="L19" i="2" s="1"/>
  <c r="L20" i="2" s="1"/>
  <c r="K16" i="2"/>
  <c r="K19" i="2" s="1"/>
  <c r="K20" i="2" s="1"/>
  <c r="J16" i="2"/>
  <c r="J19" i="2" s="1"/>
  <c r="J20" i="2" s="1"/>
  <c r="F14" i="2"/>
  <c r="E14" i="2"/>
  <c r="D14" i="2"/>
  <c r="F16" i="2" l="1"/>
  <c r="F19" i="2" s="1"/>
  <c r="F20" i="2" s="1"/>
  <c r="D12" i="1" l="1"/>
  <c r="F12" i="1"/>
  <c r="F14" i="1" s="1"/>
  <c r="F18" i="1" s="1"/>
  <c r="E25" i="1"/>
  <c r="F25" i="1"/>
  <c r="D25" i="1"/>
  <c r="H13" i="1"/>
  <c r="H14" i="1" s="1"/>
  <c r="E12" i="1"/>
  <c r="G13" i="1"/>
  <c r="G14" i="1" s="1"/>
  <c r="I33" i="1"/>
  <c r="I36" i="1" s="1"/>
  <c r="I35" i="1"/>
  <c r="I13" i="1"/>
  <c r="I14" i="1" s="1"/>
  <c r="E14" i="1" l="1"/>
  <c r="E18" i="1" s="1"/>
  <c r="D14" i="1"/>
  <c r="D18" i="1" s="1"/>
  <c r="E5" i="1"/>
  <c r="F5" i="1" s="1"/>
  <c r="F28" i="1" l="1"/>
  <c r="F31" i="1" s="1"/>
  <c r="C19" i="2" l="1"/>
</calcChain>
</file>

<file path=xl/sharedStrings.xml><?xml version="1.0" encoding="utf-8"?>
<sst xmlns="http://schemas.openxmlformats.org/spreadsheetml/2006/main" count="98" uniqueCount="78">
  <si>
    <t>Year</t>
  </si>
  <si>
    <t>Interest income</t>
  </si>
  <si>
    <t>Interest income (per income statement)</t>
  </si>
  <si>
    <t>Add back: interest reserved during the year</t>
  </si>
  <si>
    <t>Less: Reserved interest recovered</t>
  </si>
  <si>
    <t>Gross interest income</t>
  </si>
  <si>
    <t>Interest expense (w/o tier 2 cap.)</t>
  </si>
  <si>
    <t>Interest expense on tier 2 capital (subordinated liab.)</t>
  </si>
  <si>
    <t>Net interest income</t>
  </si>
  <si>
    <t>Other operating income:</t>
  </si>
  <si>
    <t>Commission and fees income (net)</t>
  </si>
  <si>
    <t>Other income (incl. dealing in sec.)</t>
  </si>
  <si>
    <t>Total other income</t>
  </si>
  <si>
    <t>Gross income</t>
  </si>
  <si>
    <t>Average gross income - past 3 years</t>
  </si>
  <si>
    <t>Alpha factor</t>
  </si>
  <si>
    <t>Rental income</t>
  </si>
  <si>
    <t>You can include other components which are a part of the operating income not captured above.</t>
  </si>
  <si>
    <t>Please Note:</t>
  </si>
  <si>
    <t>Net interest income (w/o tier 2 cap)</t>
  </si>
  <si>
    <t>Operational Risk Assessment - Basic Indicator Approach</t>
  </si>
  <si>
    <t>Capital Charge = Alpha factor times 3 year average income</t>
  </si>
  <si>
    <t>Finance costs</t>
  </si>
  <si>
    <t>FD Income</t>
  </si>
  <si>
    <t>Fee (Forex, Insuenace,PF,Prepayment &amp; other charges)</t>
  </si>
  <si>
    <t>Others (Profit on sale of investments, Upfronting income of assignemnet miscellaneous)</t>
  </si>
  <si>
    <t>RWA</t>
  </si>
  <si>
    <t>Net Owned Fund</t>
  </si>
  <si>
    <t>Tier 2 capital</t>
  </si>
  <si>
    <t>CAPAD</t>
  </si>
  <si>
    <t>Total</t>
  </si>
  <si>
    <t>Please input values in negative</t>
  </si>
  <si>
    <t>In Mn.</t>
  </si>
  <si>
    <t>Less operating expense</t>
  </si>
  <si>
    <t>Profit before tax</t>
  </si>
  <si>
    <t>Add: Provisions and contingencies</t>
  </si>
  <si>
    <t>Add: Operating expenses:</t>
  </si>
  <si>
    <t>1. Other expenses</t>
  </si>
  <si>
    <t>1. Employee benefit expenses</t>
  </si>
  <si>
    <t>Less: Income from insurance activities</t>
  </si>
  <si>
    <t>Particulars</t>
  </si>
  <si>
    <t>Less: Realised gain on Financial Instruments</t>
  </si>
  <si>
    <t>Less: Realised gain on Derecognition of Property Plant &amp; Equipment</t>
  </si>
  <si>
    <t>Notional Risk Weight Assets (12.5 times of Capital Charge)</t>
  </si>
  <si>
    <t>In mn</t>
  </si>
  <si>
    <t>A</t>
  </si>
  <si>
    <t>P</t>
  </si>
  <si>
    <t>As per FS</t>
  </si>
  <si>
    <t>As per BP&amp;A</t>
  </si>
  <si>
    <t>Operational exp as % of BP&amp;A expense</t>
  </si>
  <si>
    <t>Average</t>
  </si>
  <si>
    <t>GL 313000029</t>
  </si>
  <si>
    <t>Section 6.5 - Operational Risk - Basic Indicator Approach as per Basel III Regulations</t>
  </si>
  <si>
    <t>2. Employee benefit expenses</t>
  </si>
  <si>
    <t>3. Depreciation and amortisation</t>
  </si>
  <si>
    <t>Less: Day1 gain on securitisation (one time)</t>
  </si>
  <si>
    <t>Less: Profit on sale of FA</t>
  </si>
  <si>
    <t>INR mn</t>
  </si>
  <si>
    <t>SMFG India Home Finance Company Limited</t>
  </si>
  <si>
    <t>Realised profits/losses from the sale of securities in the “held to maturity” category</t>
  </si>
  <si>
    <t>Income derived from insurance activities (i.e. income derived by writing insurance policies) and insurance claims</t>
  </si>
  <si>
    <t>Gross income is defined as “Net interest income” plus “net non-interest income”. It is intended that this measure should:</t>
  </si>
  <si>
    <t>(i) be gross of any provisions (e.g. for unpaid interest) and write-offs made during the year;</t>
  </si>
  <si>
    <t>(ii) be gross of operating expenses, including fees paid to outsourcing service providers, in addition to fees paid for services that are outsourced, fees received by banks that provide outsourcing services shall be included in the definition of gross income;</t>
  </si>
  <si>
    <t>(iii) exclude reversal during the year in respect of provisions and write-offs made during the previous year(s);</t>
  </si>
  <si>
    <t>(iv) exclude income recognised from the disposal of items of movable and immovable property;</t>
  </si>
  <si>
    <t>(v) exclude realised profits/losses from the sale of securities in the “held to maturity” category;</t>
  </si>
  <si>
    <t>(vi) exclude income from legal settlements in favour of the bank;</t>
  </si>
  <si>
    <t>(vii) exclude other extraordinary or irregular items of income and expenditure; and</t>
  </si>
  <si>
    <t>(viii) exclude income derived from insurance activities (i.e. income derived by writing insurance policies) and insurance claims in favour of the bank.</t>
  </si>
  <si>
    <t>Banks are advised to compute capital charge for operational risk under the Basic Indicator Approach as follows:</t>
  </si>
  <si>
    <t>(a) Average of [Gross Income * alpha] for each of the last three financial years, excluding years of negative or zero gross income</t>
  </si>
  <si>
    <t>(b) Gross income = Net profit (+) Provisions &amp; contingencies (+) operating expenses (Schedule 16) (–) items (iii) to (viii) of paragraph 9.3.2.</t>
  </si>
  <si>
    <t>(c) Alpha = 15 per cent</t>
  </si>
  <si>
    <t>2023-24</t>
  </si>
  <si>
    <t>2022-23</t>
  </si>
  <si>
    <t>2021-22</t>
  </si>
  <si>
    <t>Less: Realised gain on Financial Instruments held to maturity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</si>
</sst>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14">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color theme="1"/>
      <name val="Arial"/>
      <family val="2"/>
    </font>
    <font>
      <b/>
      <sz val="9"/>
      <name val="EYInterstate Light"/>
    </font>
    <font>
      <sz val="9"/>
      <name val="EYInterstate Light"/>
    </font>
    <font>
      <b/>
      <sz val="9"/>
      <color theme="1"/>
      <name val="EYInterstate Light"/>
    </font>
    <font>
      <sz val="11"/>
      <color theme="0"/>
      <name val="Calibri"/>
      <family val="2"/>
      <scheme val="minor"/>
    </font>
    <font>
      <sz val="9"/>
      <color theme="0"/>
      <name val="EYInterstate Light"/>
    </font>
    <font>
      <b/>
      <sz val="11"/>
      <color theme="0"/>
      <name val="Calibri"/>
      <family val="2"/>
      <scheme val="minor"/>
    </font>
    <font>
      <b/>
      <sz val="9"/>
      <color theme="0"/>
      <name val="EYInterstate Light"/>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4"/>
        <bgColor indexed="64"/>
      </patternFill>
    </fill>
    <fill>
      <patternFill patternType="solid">
        <fgColor rgb="FF004831"/>
        <bgColor indexed="64"/>
      </patternFill>
    </fill>
    <fill>
      <patternFill patternType="solid">
        <fgColor rgb="FFE8F7D9"/>
        <bgColor indexed="64"/>
      </patternFill>
    </fill>
  </fills>
  <borders count="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right>
      <top style="thin">
        <color theme="0" tint="-0.34998626667073579"/>
      </top>
      <bottom style="thin">
        <color theme="0" tint="-0.34998626667073579"/>
      </bottom>
      <diagonal/>
    </border>
    <border>
      <left style="thin">
        <color theme="0"/>
      </left>
      <right style="thin">
        <color theme="0"/>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2">
    <xf numFmtId="0" fontId="0" fillId="0" borderId="0" xfId="0"/>
    <xf numFmtId="0" fontId="4" fillId="0" borderId="0" xfId="0" applyFont="1"/>
    <xf numFmtId="37" fontId="3" fillId="2" borderId="0" xfId="0" applyNumberFormat="1" applyFont="1" applyFill="1" applyProtection="1">
      <protection locked="0"/>
    </xf>
    <xf numFmtId="37" fontId="0" fillId="0" borderId="0" xfId="0" applyNumberFormat="1"/>
    <xf numFmtId="0" fontId="2" fillId="4" borderId="0" xfId="0" applyFont="1" applyFill="1"/>
    <xf numFmtId="164" fontId="0" fillId="0" borderId="1" xfId="1" applyNumberFormat="1" applyFont="1" applyBorder="1"/>
    <xf numFmtId="0" fontId="2" fillId="0" borderId="0" xfId="0" applyFont="1"/>
    <xf numFmtId="39" fontId="0" fillId="0" borderId="0" xfId="0" applyNumberFormat="1"/>
    <xf numFmtId="165" fontId="0" fillId="0" borderId="0" xfId="2" applyNumberFormat="1" applyFont="1"/>
    <xf numFmtId="10" fontId="0" fillId="0" borderId="0" xfId="2" applyNumberFormat="1" applyFont="1"/>
    <xf numFmtId="164" fontId="6" fillId="3" borderId="2" xfId="1" applyNumberFormat="1" applyFont="1" applyFill="1" applyBorder="1" applyProtection="1">
      <protection locked="0"/>
    </xf>
    <xf numFmtId="164" fontId="6" fillId="2" borderId="2" xfId="1" applyNumberFormat="1" applyFont="1" applyFill="1" applyBorder="1" applyProtection="1"/>
    <xf numFmtId="164" fontId="6" fillId="5" borderId="2" xfId="1" applyNumberFormat="1" applyFont="1" applyFill="1" applyBorder="1" applyProtection="1">
      <protection locked="0"/>
    </xf>
    <xf numFmtId="37" fontId="6" fillId="2" borderId="2" xfId="0" applyNumberFormat="1" applyFont="1" applyFill="1" applyBorder="1"/>
    <xf numFmtId="0" fontId="6" fillId="2" borderId="2" xfId="0" applyFont="1" applyFill="1" applyBorder="1"/>
    <xf numFmtId="9" fontId="6" fillId="2" borderId="2" xfId="2" applyFont="1" applyFill="1" applyBorder="1" applyProtection="1"/>
    <xf numFmtId="0" fontId="5" fillId="2" borderId="2" xfId="0" applyFont="1" applyFill="1" applyBorder="1" applyAlignment="1">
      <alignment horizontal="center"/>
    </xf>
    <xf numFmtId="0" fontId="6" fillId="2" borderId="2" xfId="0" applyFont="1" applyFill="1" applyBorder="1" applyAlignment="1">
      <alignment horizontal="center"/>
    </xf>
    <xf numFmtId="0" fontId="6" fillId="2" borderId="2" xfId="0" applyFont="1" applyFill="1" applyBorder="1" applyAlignment="1">
      <alignment horizontal="center" wrapText="1"/>
    </xf>
    <xf numFmtId="0" fontId="5" fillId="2" borderId="2" xfId="0" applyFont="1" applyFill="1" applyBorder="1"/>
    <xf numFmtId="0" fontId="7" fillId="2" borderId="2" xfId="0" applyFont="1" applyFill="1" applyBorder="1"/>
    <xf numFmtId="0" fontId="6" fillId="0" borderId="2" xfId="0" applyFont="1" applyBorder="1"/>
    <xf numFmtId="37" fontId="5" fillId="2" borderId="2" xfId="0" applyNumberFormat="1" applyFont="1" applyFill="1" applyBorder="1"/>
    <xf numFmtId="0" fontId="7" fillId="6" borderId="2" xfId="0" applyFont="1" applyFill="1" applyBorder="1"/>
    <xf numFmtId="0" fontId="6" fillId="6" borderId="2" xfId="0" applyFont="1" applyFill="1" applyBorder="1"/>
    <xf numFmtId="164" fontId="6" fillId="6" borderId="2" xfId="1" applyNumberFormat="1" applyFont="1" applyFill="1" applyBorder="1" applyProtection="1">
      <protection locked="0"/>
    </xf>
    <xf numFmtId="0" fontId="0" fillId="6" borderId="0" xfId="0" applyFill="1"/>
    <xf numFmtId="0" fontId="0" fillId="0" borderId="2" xfId="0" applyBorder="1"/>
    <xf numFmtId="164" fontId="0" fillId="0" borderId="2" xfId="1" applyNumberFormat="1" applyFont="1" applyBorder="1"/>
    <xf numFmtId="164" fontId="0" fillId="0" borderId="2" xfId="0" applyNumberFormat="1" applyBorder="1"/>
    <xf numFmtId="9" fontId="0" fillId="0" borderId="2" xfId="0" applyNumberFormat="1" applyBorder="1"/>
    <xf numFmtId="0" fontId="0" fillId="0" borderId="2" xfId="0" applyBorder="1" applyAlignment="1">
      <alignment wrapText="1"/>
    </xf>
    <xf numFmtId="164" fontId="2" fillId="0" borderId="2" xfId="1" applyNumberFormat="1" applyFont="1" applyBorder="1"/>
    <xf numFmtId="0" fontId="2" fillId="0" borderId="2" xfId="0" applyFont="1" applyBorder="1"/>
    <xf numFmtId="164" fontId="2" fillId="0" borderId="2" xfId="0" applyNumberFormat="1" applyFont="1" applyBorder="1"/>
    <xf numFmtId="164" fontId="0" fillId="0" borderId="0" xfId="0" applyNumberFormat="1"/>
    <xf numFmtId="0" fontId="0" fillId="0" borderId="0" xfId="0" applyAlignment="1">
      <alignment horizontal="center"/>
    </xf>
    <xf numFmtId="164" fontId="2" fillId="0" borderId="2" xfId="1" applyNumberFormat="1" applyFont="1" applyBorder="1" applyAlignment="1">
      <alignment vertical="center"/>
    </xf>
    <xf numFmtId="0" fontId="0" fillId="0" borderId="2" xfId="0" applyBorder="1" applyAlignment="1">
      <alignment horizontal="center"/>
    </xf>
    <xf numFmtId="164" fontId="0" fillId="0" borderId="2" xfId="0" applyNumberFormat="1" applyBorder="1" applyAlignment="1">
      <alignment vertical="center"/>
    </xf>
    <xf numFmtId="0" fontId="0" fillId="0" borderId="2" xfId="0" applyBorder="1" applyAlignment="1">
      <alignment vertical="center"/>
    </xf>
    <xf numFmtId="1" fontId="0" fillId="0" borderId="2" xfId="0" applyNumberFormat="1" applyBorder="1" applyAlignment="1">
      <alignment horizontal="center"/>
    </xf>
    <xf numFmtId="43" fontId="0" fillId="0" borderId="2" xfId="1" applyFont="1" applyBorder="1" applyAlignment="1">
      <alignment vertical="center"/>
    </xf>
    <xf numFmtId="43" fontId="0" fillId="0" borderId="2" xfId="1" applyFont="1" applyBorder="1" applyAlignment="1">
      <alignment horizontal="center"/>
    </xf>
    <xf numFmtId="164" fontId="0" fillId="0" borderId="0" xfId="1" applyNumberFormat="1" applyFont="1"/>
    <xf numFmtId="166" fontId="0" fillId="0" borderId="0" xfId="0" applyNumberFormat="1"/>
    <xf numFmtId="1" fontId="0" fillId="0" borderId="0" xfId="0" applyNumberFormat="1"/>
    <xf numFmtId="0" fontId="9" fillId="7" borderId="2" xfId="0" applyFont="1" applyFill="1" applyBorder="1" applyAlignment="1">
      <alignment horizontal="center" wrapText="1"/>
    </xf>
    <xf numFmtId="0" fontId="8" fillId="7" borderId="2" xfId="0" applyFont="1" applyFill="1" applyBorder="1" applyAlignment="1">
      <alignment horizontal="center"/>
    </xf>
    <xf numFmtId="3" fontId="0" fillId="0" borderId="2" xfId="0" applyNumberFormat="1" applyBorder="1"/>
    <xf numFmtId="3" fontId="0" fillId="0" borderId="2" xfId="0" applyNumberFormat="1" applyBorder="1" applyAlignment="1">
      <alignment wrapText="1"/>
    </xf>
    <xf numFmtId="3" fontId="2" fillId="0" borderId="2" xfId="1" applyNumberFormat="1" applyFont="1" applyBorder="1"/>
    <xf numFmtId="3" fontId="6" fillId="2" borderId="2" xfId="0" applyNumberFormat="1" applyFont="1" applyFill="1" applyBorder="1"/>
    <xf numFmtId="3" fontId="5" fillId="2" borderId="2" xfId="0" applyNumberFormat="1" applyFont="1" applyFill="1" applyBorder="1"/>
    <xf numFmtId="9" fontId="6" fillId="2" borderId="2" xfId="2" applyFont="1" applyFill="1" applyBorder="1"/>
    <xf numFmtId="0" fontId="10" fillId="8" borderId="2" xfId="0" applyFont="1" applyFill="1" applyBorder="1"/>
    <xf numFmtId="0" fontId="11" fillId="8" borderId="2" xfId="0" applyFont="1" applyFill="1" applyBorder="1" applyAlignment="1">
      <alignment horizontal="center" wrapText="1"/>
    </xf>
    <xf numFmtId="0" fontId="12" fillId="0" borderId="0" xfId="0" applyFont="1"/>
    <xf numFmtId="0" fontId="0" fillId="0" borderId="5" xfId="0" applyBorder="1" applyAlignment="1">
      <alignment vertical="center"/>
    </xf>
    <xf numFmtId="164" fontId="0" fillId="0" borderId="5" xfId="1" applyNumberFormat="1" applyFont="1" applyBorder="1" applyAlignment="1">
      <alignment horizontal="center" vertical="center" wrapText="1" shrinkToFit="1"/>
    </xf>
    <xf numFmtId="0" fontId="2" fillId="9" borderId="5" xfId="0" applyFont="1" applyFill="1" applyBorder="1" applyAlignment="1">
      <alignment vertical="center"/>
    </xf>
    <xf numFmtId="164" fontId="1" fillId="9" borderId="5" xfId="1" applyNumberFormat="1" applyFont="1" applyFill="1" applyBorder="1" applyAlignment="1">
      <alignment horizontal="center" vertical="center" wrapText="1" shrinkToFit="1"/>
    </xf>
    <xf numFmtId="0" fontId="0" fillId="9" borderId="5" xfId="0" applyFill="1" applyBorder="1" applyAlignment="1">
      <alignment horizontal="center" vertical="center" wrapText="1" shrinkToFit="1"/>
    </xf>
    <xf numFmtId="164" fontId="0" fillId="9" borderId="5" xfId="0" applyNumberFormat="1" applyFill="1" applyBorder="1" applyAlignment="1">
      <alignment horizontal="center" vertical="center" wrapText="1" shrinkToFit="1"/>
    </xf>
    <xf numFmtId="0" fontId="0" fillId="0" borderId="5" xfId="0" applyBorder="1" applyAlignment="1">
      <alignment horizontal="center" vertical="center" wrapText="1" shrinkToFit="1"/>
    </xf>
    <xf numFmtId="9" fontId="0" fillId="9" borderId="5" xfId="0" applyNumberFormat="1" applyFill="1" applyBorder="1" applyAlignment="1">
      <alignment horizontal="center" vertical="center" wrapText="1" shrinkToFit="1"/>
    </xf>
    <xf numFmtId="0" fontId="10" fillId="8" borderId="3" xfId="0" applyFont="1" applyFill="1" applyBorder="1" applyAlignment="1">
      <alignment vertical="center"/>
    </xf>
    <xf numFmtId="0" fontId="10" fillId="8" borderId="4" xfId="0" applyFont="1" applyFill="1" applyBorder="1" applyAlignment="1">
      <alignment horizontal="center" vertical="center" wrapText="1"/>
    </xf>
    <xf numFmtId="0" fontId="2" fillId="0" borderId="0" xfId="0" applyFont="1" applyAlignment="1">
      <alignment horizontal="right"/>
    </xf>
    <xf numFmtId="0" fontId="13" fillId="0" borderId="0" xfId="0" applyFont="1"/>
    <xf numFmtId="0" fontId="0" fillId="0" borderId="5" xfId="0" applyFill="1" applyBorder="1" applyAlignment="1">
      <alignment vertical="center"/>
    </xf>
    <xf numFmtId="164" fontId="0" fillId="0" borderId="5" xfId="1" applyNumberFormat="1" applyFont="1" applyFill="1" applyBorder="1" applyAlignment="1">
      <alignment horizontal="center" vertical="center" wrapText="1" shrinkToFi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48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203200</xdr:colOff>
      <xdr:row>24</xdr:row>
      <xdr:rowOff>152400</xdr:rowOff>
    </xdr:to>
    <xdr:pic>
      <xdr:nvPicPr>
        <xdr:cNvPr id="2" name="Picture 1">
          <a:extLst>
            <a:ext uri="{FF2B5EF4-FFF2-40B4-BE49-F238E27FC236}">
              <a16:creationId xmlns:a16="http://schemas.microsoft.com/office/drawing/2014/main" id="{E9140994-AD4A-4427-B3BA-6DDB5336E11E}"/>
            </a:ext>
          </a:extLst>
        </xdr:cNvPr>
        <xdr:cNvPicPr>
          <a:picLocks noChangeAspect="1"/>
        </xdr:cNvPicPr>
      </xdr:nvPicPr>
      <xdr:blipFill>
        <a:blip xmlns:r="http://schemas.openxmlformats.org/officeDocument/2006/relationships" r:embed="rId1"/>
        <a:stretch>
          <a:fillRect/>
        </a:stretch>
      </xdr:blipFill>
      <xdr:spPr>
        <a:xfrm>
          <a:off x="0" y="0"/>
          <a:ext cx="8128000" cy="4572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3-24/SMHFC/12.%20Mar%2024/Financials/SMHFC%20Financial%20Ind%20AS_FY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1.%20Reporting\5a.%20Scenario%20planning\IBP%20FY24%20to%20FY26\HFC\HFC\HFC%20Financial%20ABP%20FY24%20-%20FY26.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2-23/HFC/12.March'23/Financials/Final%20Financial/FIHFC%20Financial%20Ind%20AS_March'23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1-22/HFC/12.%20March/Financials/Final/FIHFC%20Financial%20Ind%20AS_Ma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AS BS"/>
      <sheetName val="Ind_AS P&amp;L"/>
      <sheetName val="Cash flow"/>
      <sheetName val="SOCIE"/>
      <sheetName val="Significant Accounting Policy F"/>
      <sheetName val="BS Schedule"/>
      <sheetName val="PL Schedule"/>
      <sheetName val="Others Schedule"/>
      <sheetName val="CDR disclosure"/>
      <sheetName val="NHB disclosures"/>
      <sheetName val="LCR disclosure"/>
      <sheetName val="LCR Disclosure daily"/>
      <sheetName val="Schedule to HFC"/>
      <sheetName val="Financial Grouping"/>
      <sheetName val="CAR Working_Ind AS"/>
      <sheetName val="TB"/>
      <sheetName val="Manual Entry"/>
      <sheetName val="Cashflow movement "/>
      <sheetName val="Breakdown of cashflow"/>
      <sheetName val="Cash Flow Working"/>
      <sheetName val="Deferred Tax"/>
      <sheetName val="PBC"/>
      <sheetName val="CAR movement"/>
      <sheetName val="ECL"/>
      <sheetName val="Reports =&gt;"/>
      <sheetName val="Director report"/>
      <sheetName val="MDA Working"/>
      <sheetName val="ALM bucketing"/>
      <sheetName val="ACM Deck =&gt;"/>
      <sheetName val="Balance Sheet"/>
      <sheetName val="BS Chart"/>
      <sheetName val="BS Linking Sheet"/>
      <sheetName val="BS Sch"/>
      <sheetName val="PnL and Sch"/>
      <sheetName val="Gross Revenue"/>
      <sheetName val="Ind HSG%"/>
      <sheetName val="RPT"/>
      <sheetName val="SBR disclosures"/>
      <sheetName val="Significant Accounting Policyv1"/>
    </sheetNames>
    <sheetDataSet>
      <sheetData sheetId="0">
        <row r="7">
          <cell r="C7">
            <v>33671.351069070173</v>
          </cell>
        </row>
      </sheetData>
      <sheetData sheetId="1">
        <row r="7">
          <cell r="C7">
            <v>89305.792179275493</v>
          </cell>
        </row>
        <row r="10">
          <cell r="C10">
            <v>419</v>
          </cell>
        </row>
        <row r="19">
          <cell r="C19">
            <v>0</v>
          </cell>
        </row>
        <row r="20">
          <cell r="C20">
            <v>2396.5962329999993</v>
          </cell>
        </row>
        <row r="21">
          <cell r="C21">
            <v>23209.004708500001</v>
          </cell>
        </row>
        <row r="22">
          <cell r="C22">
            <v>1748.1645707</v>
          </cell>
        </row>
        <row r="23">
          <cell r="C23">
            <v>9358.7610903000023</v>
          </cell>
        </row>
        <row r="26">
          <cell r="C26">
            <v>12431.418061600018</v>
          </cell>
        </row>
      </sheetData>
      <sheetData sheetId="2" refreshError="1"/>
      <sheetData sheetId="3" refreshError="1"/>
      <sheetData sheetId="4" refreshError="1"/>
      <sheetData sheetId="5">
        <row r="66">
          <cell r="I66">
            <v>-15325.53672743969</v>
          </cell>
        </row>
      </sheetData>
      <sheetData sheetId="6">
        <row r="41">
          <cell r="K41">
            <v>1.4910185999999999</v>
          </cell>
        </row>
      </sheetData>
      <sheetData sheetId="7" refreshError="1"/>
      <sheetData sheetId="8" refreshError="1"/>
      <sheetData sheetId="9" refreshError="1"/>
      <sheetData sheetId="10" refreshError="1"/>
      <sheetData sheetId="11" refreshError="1"/>
      <sheetData sheetId="12" refreshError="1"/>
      <sheetData sheetId="13">
        <row r="716">
          <cell r="E716">
            <v>999.88977</v>
          </cell>
        </row>
        <row r="1603">
          <cell r="E1603">
            <v>714.68565169999999</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FIHFC&gt;&gt;&gt;&gt;"/>
      <sheetName val="Control Sheet"/>
      <sheetName val="1a. Business Momentum"/>
      <sheetName val="1b. Business Momentum- Qtrly"/>
      <sheetName val="1c. Business Momentum- Yearly"/>
      <sheetName val="Rundown Summary"/>
      <sheetName val="Rundown Amt"/>
      <sheetName val="Rundown%"/>
      <sheetName val="2a. FIHFC Financials"/>
      <sheetName val="2b. FIHFC Financials qtrly"/>
      <sheetName val="2c. FIHFC Monthly view"/>
      <sheetName val="3. CoC"/>
      <sheetName val="4. Capital working"/>
      <sheetName val="HFC ECL Stagewise"/>
      <sheetName val="11.ROA Walk"/>
      <sheetName val="HFC Balance Sheet"/>
      <sheetName val="GII"/>
      <sheetName val="GII Variance"/>
      <sheetName val="HFC Revenue drilldown"/>
      <sheetName val="Other Income"/>
      <sheetName val="HFC Ratios"/>
      <sheetName val="Assingment income"/>
      <sheetName val="Model"/>
      <sheetName val="Revenue Walk"/>
    </sheetNames>
    <sheetDataSet>
      <sheetData sheetId="0"/>
      <sheetData sheetId="1"/>
      <sheetData sheetId="2"/>
      <sheetData sheetId="3"/>
      <sheetData sheetId="4"/>
      <sheetData sheetId="5"/>
      <sheetData sheetId="6"/>
      <sheetData sheetId="7"/>
      <sheetData sheetId="8"/>
      <sheetData sheetId="9">
        <row r="26">
          <cell r="L26">
            <v>707.00711207792642</v>
          </cell>
          <cell r="M26">
            <v>1916.0798643082876</v>
          </cell>
          <cell r="N26">
            <v>3476.2577912047218</v>
          </cell>
        </row>
      </sheetData>
      <sheetData sheetId="10"/>
      <sheetData sheetId="11">
        <row r="13">
          <cell r="CA13">
            <v>84.278661689961567</v>
          </cell>
          <cell r="CB13">
            <v>144.53006310195187</v>
          </cell>
          <cell r="CC13">
            <v>180.55688016704465</v>
          </cell>
        </row>
        <row r="22">
          <cell r="BW22">
            <v>1097.5379525200001</v>
          </cell>
          <cell r="BX22">
            <v>1424.5344100999998</v>
          </cell>
          <cell r="BY22">
            <v>2446.6301971600001</v>
          </cell>
          <cell r="CA22">
            <v>3532.8874515328998</v>
          </cell>
          <cell r="CB22">
            <v>4553.7666034043586</v>
          </cell>
          <cell r="CC22">
            <v>5514.3871529366197</v>
          </cell>
        </row>
        <row r="24">
          <cell r="CA24">
            <v>626.27780707091119</v>
          </cell>
          <cell r="CB24">
            <v>910.81471319263665</v>
          </cell>
          <cell r="CC24">
            <v>1041.1672550616142</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Check"/>
      <sheetName val="Ind_AS BS"/>
      <sheetName val="Ind_AS P&amp;L"/>
      <sheetName val="Cash flow"/>
      <sheetName val="SOCIE"/>
      <sheetName val="Significant Accounting Policyv1"/>
      <sheetName val="Significant Accounting Policy"/>
      <sheetName val="BS Schedule"/>
      <sheetName val="PL Schedule"/>
      <sheetName val="Financial Grouping"/>
      <sheetName val="TB"/>
      <sheetName val="Manual Entry March 22"/>
      <sheetName val="Deferred Tax"/>
      <sheetName val="Others Schedule"/>
      <sheetName val="CDR disclosure"/>
      <sheetName val="SBR disclosures"/>
      <sheetName val="NHB disclosures"/>
      <sheetName val="LCR disclosure"/>
      <sheetName val="LCR Disclosure daily"/>
      <sheetName val="Schedule to HFC"/>
      <sheetName val="CAR Working_Ind AS"/>
      <sheetName val="PBC"/>
      <sheetName val="Cashflow movement "/>
      <sheetName val="Cash Flow Working"/>
      <sheetName val="Breakdown of cashflow"/>
      <sheetName val="ECL"/>
      <sheetName val="Director report"/>
      <sheetName val="MDA Working"/>
      <sheetName val="ALM bucketing"/>
      <sheetName val="CAR movement"/>
    </sheetNames>
    <sheetDataSet>
      <sheetData sheetId="0" refreshError="1"/>
      <sheetData sheetId="1" refreshError="1"/>
      <sheetData sheetId="2" refreshError="1">
        <row r="7">
          <cell r="C7">
            <v>63830.855381634516</v>
          </cell>
        </row>
        <row r="20">
          <cell r="C20">
            <v>3166.1915545263173</v>
          </cell>
        </row>
        <row r="21">
          <cell r="C21">
            <v>14733.021472600003</v>
          </cell>
        </row>
        <row r="22">
          <cell r="C22">
            <v>1200.0259920000001</v>
          </cell>
        </row>
        <row r="23">
          <cell r="C23">
            <v>8313.9472298000001</v>
          </cell>
        </row>
        <row r="26">
          <cell r="C26">
            <v>5355.5140844866401</v>
          </cell>
        </row>
      </sheetData>
      <sheetData sheetId="3" refreshError="1"/>
      <sheetData sheetId="4" refreshError="1"/>
      <sheetData sheetId="5" refreshError="1"/>
      <sheetData sheetId="6" refreshError="1"/>
      <sheetData sheetId="7">
        <row r="6">
          <cell r="K6">
            <v>50.817439999999998</v>
          </cell>
        </row>
      </sheetData>
      <sheetData sheetId="8" refreshError="1">
        <row r="46">
          <cell r="K46">
            <v>0</v>
          </cell>
        </row>
      </sheetData>
      <sheetData sheetId="9" refreshError="1">
        <row r="1529">
          <cell r="E1529">
            <v>480.82502979999998</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AS BS"/>
      <sheetName val="Ind_AS P&amp;L"/>
      <sheetName val="Sheet1"/>
      <sheetName val="SOCIE"/>
      <sheetName val="Cash flow"/>
      <sheetName val="Significant Accounting Policy"/>
      <sheetName val="BS Schedule"/>
      <sheetName val="PL Schedule"/>
      <sheetName val="Others Schedule"/>
      <sheetName val="CDR disclosure"/>
      <sheetName val="NHB disclosures"/>
      <sheetName val="LCR disclosure"/>
      <sheetName val="Schedule to HFC"/>
      <sheetName val="Financial Grouping"/>
      <sheetName val="ECL"/>
      <sheetName val="TB"/>
      <sheetName val="Manual Entry March 22"/>
      <sheetName val="Cash Flow Working"/>
      <sheetName val="Upfront gain on assignment"/>
      <sheetName val="Breakdown of cashflow"/>
      <sheetName val="Director report"/>
      <sheetName val="MDA Working"/>
      <sheetName val="CAR Working_Ind AS"/>
      <sheetName val="Deferred Tax"/>
      <sheetName val="ALM bucketing"/>
      <sheetName val="CAR movement"/>
    </sheetNames>
    <sheetDataSet>
      <sheetData sheetId="0">
        <row r="7">
          <cell r="D7">
            <v>6818.4320036999943</v>
          </cell>
        </row>
      </sheetData>
      <sheetData sheetId="1">
        <row r="7">
          <cell r="D7">
            <v>51013.40001694997</v>
          </cell>
        </row>
        <row r="20">
          <cell r="C20">
            <v>6716.6450674000007</v>
          </cell>
        </row>
        <row r="21">
          <cell r="C21">
            <v>8898.7132803999993</v>
          </cell>
        </row>
        <row r="22">
          <cell r="C22">
            <v>662.31001489999994</v>
          </cell>
        </row>
        <row r="23">
          <cell r="C23">
            <v>4520.3521148999998</v>
          </cell>
        </row>
        <row r="26">
          <cell r="C26">
            <v>2261.342991199992</v>
          </cell>
        </row>
      </sheetData>
      <sheetData sheetId="2"/>
      <sheetData sheetId="3"/>
      <sheetData sheetId="4"/>
      <sheetData sheetId="5"/>
      <sheetData sheetId="6"/>
      <sheetData sheetId="7">
        <row r="27">
          <cell r="K27">
            <v>1.7736517000000001</v>
          </cell>
        </row>
      </sheetData>
      <sheetData sheetId="8"/>
      <sheetData sheetId="9"/>
      <sheetData sheetId="10"/>
      <sheetData sheetId="11"/>
      <sheetData sheetId="12"/>
      <sheetData sheetId="13">
        <row r="1525">
          <cell r="F1525">
            <v>226.94111579999998</v>
          </cell>
        </row>
        <row r="1540">
          <cell r="F1540">
            <v>15.205870099999999</v>
          </cell>
        </row>
      </sheetData>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showGridLines="0" workbookViewId="0">
      <selection activeCell="B11" sqref="B11"/>
    </sheetView>
  </sheetViews>
  <sheetFormatPr defaultRowHeight="14.5"/>
  <cols>
    <col min="2" max="2" width="48.1796875" customWidth="1"/>
    <col min="3" max="3" width="11.7265625" customWidth="1"/>
    <col min="4" max="4" width="11.81640625" bestFit="1" customWidth="1"/>
    <col min="5" max="5" width="10.81640625" bestFit="1" customWidth="1"/>
    <col min="6" max="6" width="11.08984375" hidden="1" customWidth="1"/>
    <col min="8" max="13" width="0" hidden="1" customWidth="1"/>
  </cols>
  <sheetData>
    <row r="1" spans="1:13">
      <c r="F1" s="6" t="s">
        <v>44</v>
      </c>
      <c r="H1" s="36" t="s">
        <v>45</v>
      </c>
      <c r="I1" s="36" t="s">
        <v>45</v>
      </c>
      <c r="J1" s="36" t="s">
        <v>46</v>
      </c>
      <c r="K1" s="36" t="s">
        <v>46</v>
      </c>
      <c r="L1" s="36" t="s">
        <v>46</v>
      </c>
      <c r="M1" s="6" t="s">
        <v>44</v>
      </c>
    </row>
    <row r="2" spans="1:13">
      <c r="B2" s="55" t="s">
        <v>40</v>
      </c>
      <c r="C2" s="56">
        <v>2024</v>
      </c>
      <c r="D2" s="56">
        <v>2023</v>
      </c>
      <c r="E2" s="56">
        <v>2022</v>
      </c>
      <c r="F2" s="47">
        <v>2021</v>
      </c>
      <c r="H2" s="48">
        <f>E2</f>
        <v>2022</v>
      </c>
      <c r="I2" s="48">
        <f>D2</f>
        <v>2023</v>
      </c>
      <c r="J2" s="48">
        <f>D2+1</f>
        <v>2024</v>
      </c>
      <c r="K2" s="48">
        <f>J2+1</f>
        <v>2025</v>
      </c>
      <c r="L2" s="48">
        <f>K2+1</f>
        <v>2026</v>
      </c>
    </row>
    <row r="3" spans="1:13">
      <c r="B3" s="27" t="s">
        <v>34</v>
      </c>
      <c r="C3" s="49">
        <f>'[1]Ind_AS P&amp;L'!$C$26/10</f>
        <v>1243.1418061600018</v>
      </c>
      <c r="D3" s="28">
        <f>5356/(10)</f>
        <v>535.6</v>
      </c>
      <c r="E3" s="28">
        <f>2261/(10)</f>
        <v>226.1</v>
      </c>
      <c r="F3" s="28">
        <f>-7408/(10)</f>
        <v>-740.8</v>
      </c>
      <c r="H3" s="39">
        <f>E3</f>
        <v>226.1</v>
      </c>
      <c r="I3" s="39">
        <f>D3</f>
        <v>535.6</v>
      </c>
      <c r="J3" s="41">
        <f>'[2]2a. FIHFC Financials'!L26</f>
        <v>707.00711207792642</v>
      </c>
      <c r="K3" s="41">
        <f>'[2]2a. FIHFC Financials'!M26</f>
        <v>1916.0798643082876</v>
      </c>
      <c r="L3" s="41">
        <f>'[2]2a. FIHFC Financials'!N26</f>
        <v>3476.2577912047218</v>
      </c>
    </row>
    <row r="4" spans="1:13">
      <c r="B4" s="27"/>
      <c r="C4" s="49"/>
      <c r="D4" s="28"/>
      <c r="E4" s="28"/>
      <c r="F4" s="28"/>
      <c r="H4" s="40"/>
      <c r="I4" s="40"/>
      <c r="J4" s="38"/>
      <c r="K4" s="38"/>
      <c r="L4" s="38"/>
    </row>
    <row r="5" spans="1:13">
      <c r="B5" s="27" t="s">
        <v>35</v>
      </c>
      <c r="C5" s="49">
        <f>'[1]Ind_AS P&amp;L'!$C$20/10</f>
        <v>239.65962329999994</v>
      </c>
      <c r="D5" s="28">
        <f>3166/(10)</f>
        <v>316.60000000000002</v>
      </c>
      <c r="E5" s="28">
        <f>6717/(10)</f>
        <v>671.7</v>
      </c>
      <c r="F5" s="28">
        <f>18048/(10)</f>
        <v>1804.8</v>
      </c>
      <c r="H5" s="39">
        <f t="shared" ref="H5:H12" si="0">E5</f>
        <v>671.7</v>
      </c>
      <c r="I5" s="39">
        <f t="shared" ref="I5:I12" si="1">D5</f>
        <v>316.60000000000002</v>
      </c>
      <c r="J5" s="41">
        <f>'[2]2c. FIHFC Monthly view'!CA24</f>
        <v>626.27780707091119</v>
      </c>
      <c r="K5" s="41">
        <f>'[2]2c. FIHFC Monthly view'!CB24</f>
        <v>910.81471319263665</v>
      </c>
      <c r="L5" s="41">
        <f>'[2]2c. FIHFC Monthly view'!CC24</f>
        <v>1041.1672550616142</v>
      </c>
    </row>
    <row r="6" spans="1:13">
      <c r="B6" s="27" t="s">
        <v>36</v>
      </c>
      <c r="C6" s="49"/>
      <c r="D6" s="28"/>
      <c r="E6" s="28"/>
      <c r="F6" s="28"/>
      <c r="H6" s="39">
        <f t="shared" si="0"/>
        <v>0</v>
      </c>
      <c r="I6" s="39">
        <f t="shared" si="1"/>
        <v>0</v>
      </c>
      <c r="J6" s="38"/>
      <c r="K6" s="38"/>
      <c r="L6" s="38"/>
    </row>
    <row r="7" spans="1:13">
      <c r="B7" s="27" t="s">
        <v>37</v>
      </c>
      <c r="C7" s="49">
        <f>'[1]Ind_AS P&amp;L'!$C$23/10</f>
        <v>935.87610903000018</v>
      </c>
      <c r="D7" s="28">
        <f>8314/(10)</f>
        <v>831.4</v>
      </c>
      <c r="E7" s="28">
        <f>4520/(10)</f>
        <v>452</v>
      </c>
      <c r="F7" s="28">
        <f>3033/(10)</f>
        <v>303.3</v>
      </c>
      <c r="H7" s="39">
        <f t="shared" si="0"/>
        <v>452</v>
      </c>
      <c r="I7" s="39">
        <f t="shared" si="1"/>
        <v>831.4</v>
      </c>
      <c r="J7" s="38"/>
      <c r="K7" s="38"/>
      <c r="L7" s="38"/>
    </row>
    <row r="8" spans="1:13">
      <c r="B8" s="27" t="s">
        <v>38</v>
      </c>
      <c r="C8" s="49">
        <f>'[1]Ind_AS P&amp;L'!$C$21/10</f>
        <v>2320.9004708500001</v>
      </c>
      <c r="D8" s="28">
        <f>14733/(10)</f>
        <v>1473.3</v>
      </c>
      <c r="E8" s="28">
        <f>8899/(10)</f>
        <v>889.9</v>
      </c>
      <c r="F8" s="28">
        <f>7107/(10)</f>
        <v>710.7</v>
      </c>
      <c r="H8" s="39">
        <f t="shared" si="0"/>
        <v>889.9</v>
      </c>
      <c r="I8" s="39">
        <f t="shared" si="1"/>
        <v>1473.3</v>
      </c>
      <c r="J8" s="41">
        <f>J23*$G$24%</f>
        <v>3313.817854563481</v>
      </c>
      <c r="K8" s="41">
        <f t="shared" ref="K8:L8" si="2">K23*$G$24%</f>
        <v>4271.3936639358953</v>
      </c>
      <c r="L8" s="41">
        <f t="shared" si="2"/>
        <v>5172.4474258153932</v>
      </c>
    </row>
    <row r="9" spans="1:13">
      <c r="B9" s="27"/>
      <c r="C9" s="49"/>
      <c r="D9" s="28"/>
      <c r="E9" s="28"/>
      <c r="F9" s="28"/>
      <c r="H9" s="39">
        <f t="shared" si="0"/>
        <v>0</v>
      </c>
      <c r="I9" s="39">
        <f t="shared" si="1"/>
        <v>0</v>
      </c>
      <c r="J9" s="38"/>
      <c r="K9" s="38"/>
      <c r="L9" s="38"/>
    </row>
    <row r="10" spans="1:13">
      <c r="A10" t="s">
        <v>51</v>
      </c>
      <c r="B10" s="27" t="s">
        <v>39</v>
      </c>
      <c r="C10" s="49">
        <f>-'[1]Financial Grouping'!$E$1603/10</f>
        <v>-71.468565170000005</v>
      </c>
      <c r="D10" s="28">
        <f>-481/(10)</f>
        <v>-48.1</v>
      </c>
      <c r="E10" s="28">
        <f>-227/(10)</f>
        <v>-22.7</v>
      </c>
      <c r="F10" s="28">
        <f>-226.9411158/(10)</f>
        <v>-22.694111580000001</v>
      </c>
      <c r="H10" s="39">
        <f t="shared" si="0"/>
        <v>-22.7</v>
      </c>
      <c r="I10" s="39">
        <f t="shared" si="1"/>
        <v>-48.1</v>
      </c>
      <c r="J10" s="41">
        <f>-'[2]2c. FIHFC Monthly view'!CA13</f>
        <v>-84.278661689961567</v>
      </c>
      <c r="K10" s="41">
        <f>-'[2]2c. FIHFC Monthly view'!CB13</f>
        <v>-144.53006310195187</v>
      </c>
      <c r="L10" s="41">
        <f>-'[2]2c. FIHFC Monthly view'!CC13</f>
        <v>-180.55688016704465</v>
      </c>
    </row>
    <row r="11" spans="1:13">
      <c r="B11" s="31" t="s">
        <v>41</v>
      </c>
      <c r="C11" s="50">
        <f>-('[1]Ind_AS P&amp;L'!$C$10-'[1]Ind_AS P&amp;L'!$C$19)/10</f>
        <v>-41.9</v>
      </c>
      <c r="D11" s="28">
        <f>0/(10)</f>
        <v>0</v>
      </c>
      <c r="E11" s="28">
        <f>-15/(10)</f>
        <v>-1.5</v>
      </c>
      <c r="F11" s="28">
        <f>-42/(10)</f>
        <v>-4.2</v>
      </c>
      <c r="H11" s="39">
        <f t="shared" si="0"/>
        <v>-1.5</v>
      </c>
      <c r="I11" s="42">
        <f t="shared" si="1"/>
        <v>0</v>
      </c>
      <c r="J11" s="43">
        <v>0</v>
      </c>
      <c r="K11" s="43">
        <v>0</v>
      </c>
      <c r="L11" s="43">
        <v>0</v>
      </c>
    </row>
    <row r="12" spans="1:13" ht="29">
      <c r="B12" s="31" t="s">
        <v>42</v>
      </c>
      <c r="C12" s="50">
        <f>-'[1]PL Schedule'!$K$41/10</f>
        <v>-0.14910185999999997</v>
      </c>
      <c r="D12" s="28">
        <f>0/(10)</f>
        <v>0</v>
      </c>
      <c r="E12" s="28">
        <f>-2/(10)</f>
        <v>-0.2</v>
      </c>
      <c r="F12" s="28">
        <f>0/(10)</f>
        <v>0</v>
      </c>
      <c r="H12" s="39">
        <f t="shared" si="0"/>
        <v>-0.2</v>
      </c>
      <c r="I12" s="42">
        <f t="shared" si="1"/>
        <v>0</v>
      </c>
      <c r="J12" s="43">
        <v>0</v>
      </c>
      <c r="K12" s="43">
        <v>0</v>
      </c>
      <c r="L12" s="43">
        <v>0</v>
      </c>
    </row>
    <row r="13" spans="1:13">
      <c r="B13" s="27"/>
      <c r="C13" s="49"/>
      <c r="D13" s="28"/>
      <c r="E13" s="28"/>
      <c r="F13" s="28"/>
      <c r="H13" s="40"/>
      <c r="I13" s="40"/>
      <c r="J13" s="38"/>
      <c r="K13" s="38"/>
      <c r="L13" s="38"/>
    </row>
    <row r="14" spans="1:13">
      <c r="B14" s="19" t="s">
        <v>13</v>
      </c>
      <c r="C14" s="51">
        <f>SUM(C3:C12)</f>
        <v>4626.0603423100029</v>
      </c>
      <c r="D14" s="32">
        <f>SUM(D3:D12)</f>
        <v>3108.7999999999997</v>
      </c>
      <c r="E14" s="32">
        <f t="shared" ref="E14:F14" si="3">SUM(E3:E12)</f>
        <v>2215.3000000000006</v>
      </c>
      <c r="F14" s="32">
        <f t="shared" si="3"/>
        <v>2051.1058884200002</v>
      </c>
      <c r="H14" s="37">
        <f t="shared" ref="H14:I14" si="4">SUM(H3:H12)</f>
        <v>2215.3000000000006</v>
      </c>
      <c r="I14" s="37">
        <f t="shared" si="4"/>
        <v>3108.7999999999997</v>
      </c>
      <c r="J14" s="32">
        <f>SUM(J3:J12)</f>
        <v>4562.8241120223574</v>
      </c>
      <c r="K14" s="32">
        <f t="shared" ref="K14:L14" si="5">SUM(K3:K12)</f>
        <v>6953.7581783348678</v>
      </c>
      <c r="L14" s="32">
        <f t="shared" si="5"/>
        <v>9509.3155919146848</v>
      </c>
    </row>
    <row r="15" spans="1:13">
      <c r="B15" s="27"/>
      <c r="C15" s="49"/>
      <c r="D15" s="28"/>
      <c r="E15" s="28"/>
      <c r="F15" s="28"/>
    </row>
    <row r="16" spans="1:13">
      <c r="B16" s="14" t="s">
        <v>14</v>
      </c>
      <c r="C16" s="52">
        <f>AVERAGE(C14:E14)</f>
        <v>3316.7201141033347</v>
      </c>
      <c r="D16" s="27"/>
      <c r="E16" s="27"/>
      <c r="F16" s="29">
        <f>AVERAGE(D14:F14)</f>
        <v>2458.4019628066667</v>
      </c>
      <c r="J16" s="29">
        <f>AVERAGE(H14:J14)</f>
        <v>3295.6413706741191</v>
      </c>
      <c r="K16" s="29">
        <f t="shared" ref="K16:L16" si="6">AVERAGE(I14:K14)</f>
        <v>4875.1274301190751</v>
      </c>
      <c r="L16" s="29">
        <f t="shared" si="6"/>
        <v>7008.63262742397</v>
      </c>
    </row>
    <row r="17" spans="2:12">
      <c r="B17" s="27"/>
      <c r="C17" s="49"/>
      <c r="D17" s="27"/>
      <c r="E17" s="27"/>
      <c r="F17" s="27"/>
      <c r="J17" s="27"/>
      <c r="K17" s="27"/>
      <c r="L17" s="27"/>
    </row>
    <row r="18" spans="2:12">
      <c r="B18" s="14" t="s">
        <v>15</v>
      </c>
      <c r="C18" s="54">
        <v>0.15</v>
      </c>
      <c r="D18" s="27"/>
      <c r="E18" s="27"/>
      <c r="F18" s="30">
        <v>0.15</v>
      </c>
      <c r="J18" s="30">
        <v>0.15</v>
      </c>
      <c r="K18" s="30">
        <v>0.15</v>
      </c>
      <c r="L18" s="30">
        <v>0.15</v>
      </c>
    </row>
    <row r="19" spans="2:12">
      <c r="B19" s="19" t="s">
        <v>21</v>
      </c>
      <c r="C19" s="53">
        <f>C16*C18</f>
        <v>497.50801711550019</v>
      </c>
      <c r="D19" s="27"/>
      <c r="E19" s="33"/>
      <c r="F19" s="34">
        <f>F16*F18</f>
        <v>368.76029442099997</v>
      </c>
      <c r="J19" s="34">
        <f>J16*J18</f>
        <v>494.34620560111784</v>
      </c>
      <c r="K19" s="34">
        <f t="shared" ref="K19:L19" si="7">K16*K18</f>
        <v>731.26911451786123</v>
      </c>
      <c r="L19" s="34">
        <f t="shared" si="7"/>
        <v>1051.2948941135955</v>
      </c>
    </row>
    <row r="20" spans="2:12" hidden="1">
      <c r="B20" s="19" t="s">
        <v>43</v>
      </c>
      <c r="C20" s="19"/>
      <c r="D20" s="27"/>
      <c r="E20" s="33"/>
      <c r="F20" s="32">
        <f>F19*12.5</f>
        <v>4609.5036802625</v>
      </c>
      <c r="J20" s="32">
        <f>J19*12.5</f>
        <v>6179.3275700139729</v>
      </c>
      <c r="K20" s="32">
        <f t="shared" ref="K20:L20" si="8">K19*12.5</f>
        <v>9140.8639314732645</v>
      </c>
      <c r="L20" s="32">
        <f t="shared" si="8"/>
        <v>13141.186176419944</v>
      </c>
    </row>
    <row r="21" spans="2:12" hidden="1">
      <c r="G21" t="s">
        <v>50</v>
      </c>
    </row>
    <row r="22" spans="2:12" hidden="1">
      <c r="B22" t="s">
        <v>47</v>
      </c>
      <c r="D22" s="35">
        <f>D7+D8</f>
        <v>2304.6999999999998</v>
      </c>
      <c r="E22" s="35">
        <f t="shared" ref="E22:F22" si="9">E7+E8</f>
        <v>1341.9</v>
      </c>
      <c r="F22" s="35">
        <f t="shared" si="9"/>
        <v>1014</v>
      </c>
      <c r="G22" s="35">
        <f>AVERAGE(D22:F22)</f>
        <v>1553.5333333333335</v>
      </c>
    </row>
    <row r="23" spans="2:12" hidden="1">
      <c r="B23" t="s">
        <v>48</v>
      </c>
      <c r="D23" s="44">
        <f>'[2]2c. FIHFC Monthly view'!$BY$22</f>
        <v>2446.6301971600001</v>
      </c>
      <c r="E23" s="44">
        <f>'[2]2c. FIHFC Monthly view'!$BX$22</f>
        <v>1424.5344100999998</v>
      </c>
      <c r="F23" s="44">
        <f>'[2]2c. FIHFC Monthly view'!$BW$22</f>
        <v>1097.5379525200001</v>
      </c>
      <c r="G23" s="35">
        <f>AVERAGE(D23:F23)</f>
        <v>1656.2341865933333</v>
      </c>
      <c r="J23" s="46">
        <f>'[2]2c. FIHFC Monthly view'!CA22</f>
        <v>3532.8874515328998</v>
      </c>
      <c r="K23" s="46">
        <f>'[2]2c. FIHFC Monthly view'!CB22</f>
        <v>4553.7666034043586</v>
      </c>
      <c r="L23" s="46">
        <f>'[2]2c. FIHFC Monthly view'!CC22</f>
        <v>5514.3871529366197</v>
      </c>
    </row>
    <row r="24" spans="2:12" hidden="1">
      <c r="B24" t="s">
        <v>49</v>
      </c>
      <c r="D24" s="45">
        <f>D22/D23%</f>
        <v>94.198951793991995</v>
      </c>
      <c r="E24" s="45">
        <f t="shared" ref="E24:G24" si="10">E22/E23%</f>
        <v>94.199198733697202</v>
      </c>
      <c r="F24" s="45">
        <f t="shared" si="10"/>
        <v>92.388604664814281</v>
      </c>
      <c r="G24" s="45">
        <f t="shared" si="10"/>
        <v>93.799134561324166</v>
      </c>
    </row>
    <row r="25" spans="2:12" hidden="1"/>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1CF3-F05D-4CCD-9DC6-808CCDAF7B01}">
  <dimension ref="A1:E23"/>
  <sheetViews>
    <sheetView tabSelected="1" topLeftCell="A4" workbookViewId="0">
      <selection activeCell="D20" sqref="D20"/>
    </sheetView>
  </sheetViews>
  <sheetFormatPr defaultRowHeight="14.5" outlineLevelRow="1"/>
  <cols>
    <col min="1" max="1" width="36.90625" customWidth="1"/>
  </cols>
  <sheetData>
    <row r="1" spans="1:5" ht="18.5">
      <c r="A1" s="57" t="s">
        <v>58</v>
      </c>
    </row>
    <row r="2" spans="1:5" ht="15.5">
      <c r="A2" s="69" t="s">
        <v>52</v>
      </c>
    </row>
    <row r="3" spans="1:5">
      <c r="D3" s="68" t="s">
        <v>57</v>
      </c>
    </row>
    <row r="4" spans="1:5">
      <c r="A4" s="66" t="s">
        <v>40</v>
      </c>
      <c r="B4" s="67" t="s">
        <v>74</v>
      </c>
      <c r="C4" s="67" t="s">
        <v>75</v>
      </c>
      <c r="D4" s="67" t="s">
        <v>76</v>
      </c>
    </row>
    <row r="5" spans="1:5">
      <c r="A5" s="58" t="s">
        <v>34</v>
      </c>
      <c r="B5" s="59">
        <f>'[1]Ind_AS P&amp;L'!$C$26/10</f>
        <v>1243.1418061600018</v>
      </c>
      <c r="C5" s="59">
        <f>'[3]Ind_AS P&amp;L'!$C$26/10</f>
        <v>535.55140844866401</v>
      </c>
      <c r="D5" s="59">
        <f>'[4]Ind_AS P&amp;L'!$C$26/10</f>
        <v>226.13429911999918</v>
      </c>
    </row>
    <row r="6" spans="1:5" hidden="1" outlineLevel="1">
      <c r="A6" s="58"/>
      <c r="B6" s="59"/>
      <c r="C6" s="59"/>
      <c r="D6" s="59"/>
    </row>
    <row r="7" spans="1:5" hidden="1" outlineLevel="1">
      <c r="A7" s="58" t="s">
        <v>35</v>
      </c>
      <c r="B7" s="59">
        <f>'[1]Ind_AS P&amp;L'!$C$20/10</f>
        <v>239.65962329999994</v>
      </c>
      <c r="C7" s="59">
        <f>'[3]Ind_AS P&amp;L'!$C$20/10</f>
        <v>316.61915545263173</v>
      </c>
      <c r="D7" s="59">
        <f>'[4]Ind_AS P&amp;L'!$C$20/10</f>
        <v>671.66450674000009</v>
      </c>
    </row>
    <row r="8" spans="1:5" hidden="1" outlineLevel="1">
      <c r="A8" s="58" t="s">
        <v>36</v>
      </c>
      <c r="B8" s="59"/>
      <c r="C8" s="59"/>
      <c r="D8" s="59"/>
    </row>
    <row r="9" spans="1:5" hidden="1" outlineLevel="1">
      <c r="A9" s="58" t="s">
        <v>37</v>
      </c>
      <c r="B9" s="59">
        <f>'[1]Ind_AS P&amp;L'!$C$23/10</f>
        <v>935.87610903000018</v>
      </c>
      <c r="C9" s="59">
        <f>'[3]Ind_AS P&amp;L'!$C$23/10</f>
        <v>831.39472297999998</v>
      </c>
      <c r="D9" s="59">
        <f>'[4]Ind_AS P&amp;L'!$C$23/10</f>
        <v>452.03521148999999</v>
      </c>
    </row>
    <row r="10" spans="1:5" hidden="1" outlineLevel="1">
      <c r="A10" s="58" t="s">
        <v>53</v>
      </c>
      <c r="B10" s="59">
        <f>'[1]Ind_AS P&amp;L'!$C$21/10</f>
        <v>2320.9004708500001</v>
      </c>
      <c r="C10" s="59">
        <f>'[3]Ind_AS P&amp;L'!$C$21/10</f>
        <v>1473.3021472600003</v>
      </c>
      <c r="D10" s="59">
        <f>'[4]Ind_AS P&amp;L'!$C$21/10</f>
        <v>889.87132803999998</v>
      </c>
    </row>
    <row r="11" spans="1:5" hidden="1" outlineLevel="1">
      <c r="A11" s="58" t="s">
        <v>54</v>
      </c>
      <c r="B11" s="59">
        <f>'[1]Ind_AS P&amp;L'!$C$22/10</f>
        <v>174.81645707000001</v>
      </c>
      <c r="C11" s="59">
        <f>'[3]Ind_AS P&amp;L'!$C$22/10</f>
        <v>120.00259920000001</v>
      </c>
      <c r="D11" s="59">
        <f>'[4]Ind_AS P&amp;L'!$C$22/10</f>
        <v>66.231001489999997</v>
      </c>
    </row>
    <row r="12" spans="1:5" hidden="1" outlineLevel="1">
      <c r="A12" s="58"/>
      <c r="B12" s="59"/>
      <c r="C12" s="59"/>
      <c r="D12" s="59"/>
    </row>
    <row r="13" spans="1:5" hidden="1" outlineLevel="1">
      <c r="A13" s="58" t="s">
        <v>39</v>
      </c>
      <c r="B13" s="59">
        <f>-'[1]Financial Grouping'!$E$1603/10</f>
        <v>-71.468565170000005</v>
      </c>
      <c r="C13" s="59">
        <f>-'[3]Financial Grouping'!$E$1529/10</f>
        <v>-48.082502980000001</v>
      </c>
      <c r="D13" s="59">
        <f>-'[4]Financial Grouping'!$F$1525</f>
        <v>-226.94111579999998</v>
      </c>
      <c r="E13" t="s">
        <v>60</v>
      </c>
    </row>
    <row r="14" spans="1:5" hidden="1" outlineLevel="1">
      <c r="A14" s="58" t="s">
        <v>77</v>
      </c>
      <c r="B14" s="59"/>
      <c r="C14" s="59"/>
      <c r="D14" s="59">
        <f>-'[4]Financial Grouping'!$F$1540/10*0</f>
        <v>0</v>
      </c>
      <c r="E14" t="s">
        <v>59</v>
      </c>
    </row>
    <row r="15" spans="1:5" hidden="1" outlineLevel="1">
      <c r="A15" s="70" t="s">
        <v>55</v>
      </c>
      <c r="B15" s="71"/>
      <c r="C15" s="71"/>
      <c r="D15" s="71"/>
    </row>
    <row r="16" spans="1:5" hidden="1" outlineLevel="1">
      <c r="A16" s="58" t="s">
        <v>56</v>
      </c>
      <c r="B16" s="59">
        <f>-'[1]PL Schedule'!$K$41</f>
        <v>-1.4910185999999999</v>
      </c>
      <c r="C16" s="59">
        <f>-'[3]PL Schedule'!$K$46/10</f>
        <v>0</v>
      </c>
      <c r="D16" s="59">
        <f>-'[4]PL Schedule'!$K$27/10</f>
        <v>-0.17736517000000002</v>
      </c>
    </row>
    <row r="17" spans="1:4" hidden="1" outlineLevel="1">
      <c r="A17" s="58"/>
      <c r="B17" s="59"/>
      <c r="C17" s="59"/>
      <c r="D17" s="59"/>
    </row>
    <row r="18" spans="1:4" collapsed="1">
      <c r="A18" s="60" t="s">
        <v>13</v>
      </c>
      <c r="B18" s="61">
        <f>SUM(B5:B16)</f>
        <v>4841.4348826400028</v>
      </c>
      <c r="C18" s="61">
        <f>SUM(C5:C16)</f>
        <v>3228.7875303612964</v>
      </c>
      <c r="D18" s="61">
        <f>SUM(D5:D16)</f>
        <v>2078.817865909999</v>
      </c>
    </row>
    <row r="19" spans="1:4">
      <c r="A19" s="58"/>
      <c r="B19" s="59"/>
      <c r="C19" s="59"/>
      <c r="D19" s="59"/>
    </row>
    <row r="20" spans="1:4">
      <c r="A20" s="60" t="s">
        <v>14</v>
      </c>
      <c r="B20" s="62"/>
      <c r="C20" s="62"/>
      <c r="D20" s="63">
        <f>AVERAGE(B18:D18)</f>
        <v>3383.0134263037658</v>
      </c>
    </row>
    <row r="21" spans="1:4">
      <c r="A21" s="58"/>
      <c r="B21" s="64"/>
      <c r="C21" s="64"/>
      <c r="D21" s="64"/>
    </row>
    <row r="22" spans="1:4">
      <c r="A22" s="60" t="s">
        <v>15</v>
      </c>
      <c r="B22" s="62"/>
      <c r="C22" s="62"/>
      <c r="D22" s="65">
        <v>0.15</v>
      </c>
    </row>
    <row r="23" spans="1:4">
      <c r="A23" s="60" t="s">
        <v>21</v>
      </c>
      <c r="B23" s="62"/>
      <c r="C23" s="62"/>
      <c r="D23" s="63">
        <f>D20*D22</f>
        <v>507.45201394556483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9FE1-E8CA-4851-BE4F-2DB02173674B}">
  <dimension ref="A2:A15"/>
  <sheetViews>
    <sheetView workbookViewId="0">
      <selection activeCell="A9" sqref="A9"/>
    </sheetView>
  </sheetViews>
  <sheetFormatPr defaultRowHeight="14.5"/>
  <sheetData>
    <row r="2" spans="1:1">
      <c r="A2" t="s">
        <v>61</v>
      </c>
    </row>
    <row r="3" spans="1:1">
      <c r="A3" t="s">
        <v>62</v>
      </c>
    </row>
    <row r="4" spans="1:1">
      <c r="A4" t="s">
        <v>63</v>
      </c>
    </row>
    <row r="5" spans="1:1">
      <c r="A5" t="s">
        <v>64</v>
      </c>
    </row>
    <row r="6" spans="1:1">
      <c r="A6" t="s">
        <v>65</v>
      </c>
    </row>
    <row r="7" spans="1:1">
      <c r="A7" t="s">
        <v>66</v>
      </c>
    </row>
    <row r="8" spans="1:1">
      <c r="A8" t="s">
        <v>67</v>
      </c>
    </row>
    <row r="9" spans="1:1">
      <c r="A9" t="s">
        <v>68</v>
      </c>
    </row>
    <row r="10" spans="1:1">
      <c r="A10" t="s">
        <v>69</v>
      </c>
    </row>
    <row r="12" spans="1:1">
      <c r="A12" t="s">
        <v>70</v>
      </c>
    </row>
    <row r="13" spans="1:1">
      <c r="A13" t="s">
        <v>71</v>
      </c>
    </row>
    <row r="14" spans="1:1">
      <c r="A14" t="s">
        <v>72</v>
      </c>
    </row>
    <row r="15" spans="1:1">
      <c r="A15"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B426-E916-4343-9B13-67496EF4D4BB}">
  <dimension ref="A1"/>
  <sheetViews>
    <sheetView workbookViewId="0"/>
  </sheetViews>
  <sheetFormatPr defaultRowHeight="1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36"/>
  <sheetViews>
    <sheetView topLeftCell="A26" zoomScale="90" zoomScaleNormal="90" workbookViewId="0">
      <selection activeCell="D30" sqref="D30"/>
    </sheetView>
  </sheetViews>
  <sheetFormatPr defaultRowHeight="14.5"/>
  <cols>
    <col min="2" max="2" width="38.1796875" bestFit="1" customWidth="1"/>
    <col min="3" max="3" width="49.1796875" bestFit="1" customWidth="1"/>
    <col min="4" max="6" width="11.08984375" bestFit="1" customWidth="1"/>
    <col min="7" max="9" width="10.1796875" hidden="1" customWidth="1"/>
    <col min="10" max="14" width="0" hidden="1" customWidth="1"/>
  </cols>
  <sheetData>
    <row r="3" spans="2:15">
      <c r="B3" s="6" t="s">
        <v>20</v>
      </c>
    </row>
    <row r="4" spans="2:15">
      <c r="F4" t="s">
        <v>32</v>
      </c>
    </row>
    <row r="5" spans="2:15">
      <c r="B5" s="16" t="s">
        <v>0</v>
      </c>
      <c r="C5" s="17"/>
      <c r="D5" s="18">
        <v>2021</v>
      </c>
      <c r="E5" s="18">
        <f t="shared" ref="E5:F5" si="0">D5+1</f>
        <v>2022</v>
      </c>
      <c r="F5" s="18">
        <f t="shared" si="0"/>
        <v>2023</v>
      </c>
    </row>
    <row r="6" spans="2:15">
      <c r="B6" s="19"/>
      <c r="C6" s="14"/>
      <c r="D6" s="18"/>
      <c r="E6" s="18"/>
      <c r="F6" s="18"/>
    </row>
    <row r="7" spans="2:15">
      <c r="B7" s="19" t="s">
        <v>1</v>
      </c>
      <c r="C7" s="14"/>
      <c r="D7" s="14"/>
      <c r="E7" s="14"/>
      <c r="F7" s="14"/>
    </row>
    <row r="8" spans="2:15">
      <c r="B8" s="20"/>
      <c r="C8" s="14" t="s">
        <v>2</v>
      </c>
      <c r="D8" s="10">
        <v>458251.18948643474</v>
      </c>
      <c r="E8" s="10">
        <v>340779.96273545007</v>
      </c>
      <c r="F8" s="10">
        <v>471669.75907455332</v>
      </c>
    </row>
    <row r="9" spans="2:15">
      <c r="B9" s="20"/>
      <c r="C9" s="14" t="s">
        <v>3</v>
      </c>
      <c r="D9" s="10"/>
      <c r="E9" s="10"/>
      <c r="F9" s="10"/>
    </row>
    <row r="10" spans="2:15">
      <c r="B10" s="20"/>
      <c r="C10" s="14" t="s">
        <v>4</v>
      </c>
      <c r="D10" s="10"/>
      <c r="E10" s="10"/>
      <c r="F10" s="10"/>
    </row>
    <row r="11" spans="2:15">
      <c r="B11" s="19"/>
      <c r="C11" s="14"/>
      <c r="D11" s="11"/>
      <c r="E11" s="11"/>
      <c r="F11" s="11"/>
    </row>
    <row r="12" spans="2:15">
      <c r="B12" s="20"/>
      <c r="C12" s="14" t="s">
        <v>5</v>
      </c>
      <c r="D12" s="11">
        <f>SUM(D8:D10)</f>
        <v>458251.18948643474</v>
      </c>
      <c r="E12" s="11">
        <f t="shared" ref="E12:F12" si="1">SUM(E8:E10)</f>
        <v>340779.96273545007</v>
      </c>
      <c r="F12" s="11">
        <f t="shared" si="1"/>
        <v>471669.75907455332</v>
      </c>
      <c r="G12">
        <v>2020</v>
      </c>
      <c r="H12">
        <v>2021</v>
      </c>
      <c r="I12">
        <v>2022</v>
      </c>
    </row>
    <row r="13" spans="2:15">
      <c r="B13" s="20"/>
      <c r="C13" s="14" t="s">
        <v>6</v>
      </c>
      <c r="D13" s="12"/>
      <c r="E13" s="12"/>
      <c r="F13" s="12">
        <v>-73756</v>
      </c>
      <c r="G13" s="7">
        <f>24888.41-D15</f>
        <v>205152.99252289999</v>
      </c>
      <c r="H13" s="7">
        <f>25609.17-E15</f>
        <v>158067.3420229</v>
      </c>
      <c r="I13" s="7">
        <f>27388.7-F15</f>
        <v>130148.7</v>
      </c>
      <c r="J13" t="s">
        <v>22</v>
      </c>
      <c r="O13" t="s">
        <v>31</v>
      </c>
    </row>
    <row r="14" spans="2:15">
      <c r="B14" s="20"/>
      <c r="C14" s="14" t="s">
        <v>19</v>
      </c>
      <c r="D14" s="11">
        <f>SUM(D12:D13)</f>
        <v>458251.18948643474</v>
      </c>
      <c r="E14" s="11">
        <f t="shared" ref="E14:F14" si="2">SUM(E12:E13)</f>
        <v>340779.96273545007</v>
      </c>
      <c r="F14" s="11">
        <f t="shared" si="2"/>
        <v>397913.75907455332</v>
      </c>
      <c r="G14" s="7">
        <f>G13+D15</f>
        <v>24888.410000000003</v>
      </c>
      <c r="H14" s="7">
        <f>H13+E15</f>
        <v>25609.170000000013</v>
      </c>
      <c r="I14" s="7">
        <f>I13+F15</f>
        <v>27388.699999999997</v>
      </c>
    </row>
    <row r="15" spans="2:15">
      <c r="B15" s="20"/>
      <c r="C15" s="14" t="s">
        <v>7</v>
      </c>
      <c r="D15" s="12">
        <v>-180264.58252289999</v>
      </c>
      <c r="E15" s="12">
        <v>-132458.17202289999</v>
      </c>
      <c r="F15" s="12">
        <v>-102760</v>
      </c>
      <c r="O15" t="s">
        <v>31</v>
      </c>
    </row>
    <row r="16" spans="2:15" s="26" customFormat="1">
      <c r="B16" s="23"/>
      <c r="C16" s="24" t="s">
        <v>33</v>
      </c>
      <c r="D16" s="25">
        <v>-25382.778957599799</v>
      </c>
      <c r="E16" s="25">
        <v>-34104.543001379301</v>
      </c>
      <c r="F16" s="25">
        <v>-61820</v>
      </c>
      <c r="O16" s="26" t="s">
        <v>31</v>
      </c>
    </row>
    <row r="17" spans="2:14">
      <c r="B17" s="20"/>
      <c r="C17" s="14"/>
      <c r="D17" s="11"/>
      <c r="E17" s="11"/>
      <c r="F17" s="11"/>
    </row>
    <row r="18" spans="2:14">
      <c r="B18" s="20"/>
      <c r="C18" s="14" t="s">
        <v>8</v>
      </c>
      <c r="D18" s="11">
        <f>SUM(D14:D16)</f>
        <v>252603.82800593492</v>
      </c>
      <c r="E18" s="11">
        <f>SUM(E14:E16)</f>
        <v>174217.24771117078</v>
      </c>
      <c r="F18" s="11">
        <f>SUM(F14:F16)</f>
        <v>233333.75907455332</v>
      </c>
    </row>
    <row r="19" spans="2:14">
      <c r="B19" s="20"/>
      <c r="C19" s="14"/>
      <c r="D19" s="11"/>
      <c r="E19" s="11"/>
      <c r="F19" s="11"/>
    </row>
    <row r="20" spans="2:14">
      <c r="B20" s="19" t="s">
        <v>9</v>
      </c>
      <c r="C20" s="14"/>
      <c r="D20" s="11"/>
      <c r="E20" s="11"/>
      <c r="F20" s="11"/>
    </row>
    <row r="21" spans="2:14">
      <c r="B21" s="20"/>
      <c r="C21" s="21" t="s">
        <v>16</v>
      </c>
      <c r="D21" s="10"/>
      <c r="E21" s="10"/>
      <c r="F21" s="10"/>
      <c r="G21">
        <v>1166.58</v>
      </c>
      <c r="H21">
        <v>2985.28</v>
      </c>
      <c r="I21">
        <v>1470.14</v>
      </c>
      <c r="J21" s="2" t="s">
        <v>23</v>
      </c>
      <c r="K21" s="1"/>
    </row>
    <row r="22" spans="2:14" ht="13.5" customHeight="1">
      <c r="B22" s="20"/>
      <c r="C22" s="14" t="s">
        <v>10</v>
      </c>
      <c r="D22" s="10"/>
      <c r="E22" s="10"/>
      <c r="F22" s="10"/>
      <c r="G22">
        <v>1739.53</v>
      </c>
      <c r="H22">
        <v>2111.34</v>
      </c>
      <c r="I22">
        <v>2918.95</v>
      </c>
      <c r="J22" t="s">
        <v>24</v>
      </c>
    </row>
    <row r="23" spans="2:14" ht="14.15" customHeight="1">
      <c r="B23" s="20"/>
      <c r="C23" s="14" t="s">
        <v>11</v>
      </c>
      <c r="D23" s="10"/>
      <c r="E23" s="10"/>
      <c r="F23" s="10"/>
      <c r="G23">
        <v>2088.15</v>
      </c>
      <c r="H23">
        <v>539.13</v>
      </c>
      <c r="I23">
        <v>420.1</v>
      </c>
      <c r="J23" t="s">
        <v>25</v>
      </c>
    </row>
    <row r="24" spans="2:14" ht="13.5" customHeight="1">
      <c r="B24" s="20"/>
      <c r="C24" s="14"/>
      <c r="D24" s="11"/>
      <c r="E24" s="11"/>
      <c r="F24" s="11"/>
    </row>
    <row r="25" spans="2:14">
      <c r="B25" s="20"/>
      <c r="C25" s="14" t="s">
        <v>12</v>
      </c>
      <c r="D25" s="11">
        <f t="shared" ref="D25:E25" si="3">SUM(D21:D23)</f>
        <v>0</v>
      </c>
      <c r="E25" s="11">
        <f t="shared" si="3"/>
        <v>0</v>
      </c>
      <c r="F25" s="11">
        <f t="shared" ref="F25" si="4">SUM(F21:F23)</f>
        <v>0</v>
      </c>
    </row>
    <row r="26" spans="2:14">
      <c r="B26" s="20"/>
      <c r="C26" s="14"/>
      <c r="D26" s="11"/>
      <c r="E26" s="11"/>
      <c r="F26" s="11"/>
    </row>
    <row r="27" spans="2:14">
      <c r="B27" s="19" t="s">
        <v>13</v>
      </c>
      <c r="C27" s="14"/>
      <c r="D27" s="11">
        <v>273325.6827247474</v>
      </c>
      <c r="E27" s="11">
        <v>202638.55581362796</v>
      </c>
      <c r="F27" s="11">
        <v>292036.13668015326</v>
      </c>
      <c r="N27" s="3"/>
    </row>
    <row r="28" spans="2:14">
      <c r="B28" s="19" t="s">
        <v>14</v>
      </c>
      <c r="C28" s="14"/>
      <c r="D28" s="11"/>
      <c r="E28" s="11"/>
      <c r="F28" s="11">
        <f>AVERAGE(D27:F27)</f>
        <v>256000.12507284284</v>
      </c>
    </row>
    <row r="29" spans="2:14">
      <c r="B29" s="19"/>
      <c r="C29" s="14"/>
      <c r="D29" s="13"/>
      <c r="E29" s="13"/>
      <c r="F29" s="14"/>
    </row>
    <row r="30" spans="2:14">
      <c r="B30" s="19" t="s">
        <v>15</v>
      </c>
      <c r="C30" s="14"/>
      <c r="D30" s="14"/>
      <c r="E30" s="14"/>
      <c r="F30" s="15">
        <v>0.15</v>
      </c>
    </row>
    <row r="31" spans="2:14">
      <c r="B31" s="19" t="s">
        <v>21</v>
      </c>
      <c r="C31" s="14"/>
      <c r="D31" s="13"/>
      <c r="E31" s="13"/>
      <c r="F31" s="11">
        <f>F28*F30</f>
        <v>38400.018760926425</v>
      </c>
      <c r="H31" t="s">
        <v>27</v>
      </c>
      <c r="I31">
        <v>96054.75</v>
      </c>
    </row>
    <row r="32" spans="2:14">
      <c r="B32" s="19"/>
      <c r="C32" s="14"/>
      <c r="D32" s="22"/>
      <c r="E32" s="22"/>
      <c r="F32" s="22"/>
      <c r="H32" t="s">
        <v>28</v>
      </c>
      <c r="I32">
        <v>5983.46</v>
      </c>
    </row>
    <row r="33" spans="2:9">
      <c r="F33" s="5"/>
      <c r="H33" t="s">
        <v>30</v>
      </c>
      <c r="I33">
        <f>I31+I32</f>
        <v>102038.21</v>
      </c>
    </row>
    <row r="34" spans="2:9">
      <c r="H34" t="s">
        <v>26</v>
      </c>
      <c r="I34">
        <v>444465.52</v>
      </c>
    </row>
    <row r="35" spans="2:9">
      <c r="I35" s="8">
        <f>I31/I34</f>
        <v>0.21611293942441248</v>
      </c>
    </row>
    <row r="36" spans="2:9">
      <c r="B36" s="4" t="s">
        <v>18</v>
      </c>
      <c r="C36" t="s">
        <v>17</v>
      </c>
      <c r="H36" t="s">
        <v>29</v>
      </c>
      <c r="I36" s="9">
        <f>I33/I34</f>
        <v>0.22957508604941954</v>
      </c>
    </row>
  </sheetData>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old</vt:lpstr>
      <vt:lpstr>Op Risk</vt:lpstr>
      <vt:lpstr>Gross Income</vt:lpstr>
      <vt:lpstr>Regulation</vt:lpstr>
      <vt:lpstr>Input - Operational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Aditya.Patil@in.ey.com</dc:creator>
  <cp:lastModifiedBy>Ankit Mittal</cp:lastModifiedBy>
  <dcterms:created xsi:type="dcterms:W3CDTF">2022-05-26T05:47:40Z</dcterms:created>
  <dcterms:modified xsi:type="dcterms:W3CDTF">2024-06-13T12:40:10Z</dcterms:modified>
</cp:coreProperties>
</file>