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 codeName="ThisWorkbook"/>
  <xr:revisionPtr revIDLastSave="0" documentId="13_ncr:1_{E81D0A33-1B4C-4855-95E6-4460E275DEF6}" xr6:coauthVersionLast="36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Without Capital" sheetId="2" r:id="rId1"/>
    <sheet name="With Capital" sheetId="1" state="hidden" r:id="rId2"/>
  </sheets>
  <externalReferences>
    <externalReference r:id="rId3"/>
    <externalReference r:id="rId4"/>
    <externalReference r:id="rId5"/>
  </externalReferenc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2" l="1"/>
  <c r="E17" i="2"/>
  <c r="E16" i="2"/>
  <c r="E15" i="2"/>
  <c r="E12" i="2"/>
  <c r="E9" i="2"/>
  <c r="D63" i="2"/>
  <c r="D17" i="2"/>
  <c r="D16" i="2"/>
  <c r="D15" i="2"/>
  <c r="D12" i="2"/>
  <c r="D9" i="2"/>
  <c r="C17" i="2"/>
  <c r="C16" i="2"/>
  <c r="C15" i="2"/>
  <c r="C12" i="2"/>
  <c r="C9" i="2"/>
  <c r="C63" i="2"/>
  <c r="D23" i="2" l="1"/>
  <c r="C23" i="2"/>
  <c r="D5" i="2" l="1"/>
  <c r="D6" i="2"/>
  <c r="C5" i="2"/>
  <c r="C6" i="2"/>
  <c r="C4" i="2" l="1"/>
  <c r="D4" i="2" l="1"/>
  <c r="E23" i="2" l="1"/>
  <c r="E5" i="2" l="1"/>
  <c r="E6" i="2"/>
  <c r="E4" i="2" l="1"/>
  <c r="C8" i="2" l="1"/>
  <c r="D8" i="2" l="1"/>
  <c r="E8" i="2" l="1"/>
  <c r="E10" i="2" l="1"/>
  <c r="C10" i="2"/>
  <c r="D10" i="2"/>
  <c r="D20" i="2" l="1"/>
  <c r="C20" i="2"/>
  <c r="E20" i="2"/>
  <c r="E14" i="2" l="1"/>
  <c r="D14" i="2"/>
  <c r="C14" i="2"/>
  <c r="E7" i="2"/>
  <c r="E11" i="2" s="1"/>
  <c r="D7" i="2"/>
  <c r="D11" i="2" s="1"/>
  <c r="C7" i="2"/>
  <c r="C11" i="2" s="1"/>
  <c r="D13" i="2" l="1"/>
  <c r="E13" i="2"/>
  <c r="C13" i="2"/>
  <c r="E19" i="2"/>
  <c r="E45" i="2"/>
  <c r="D45" i="2"/>
  <c r="C45" i="2"/>
  <c r="E44" i="2"/>
  <c r="D44" i="2"/>
  <c r="C44" i="2"/>
  <c r="E43" i="2"/>
  <c r="D43" i="2"/>
  <c r="C43" i="2"/>
  <c r="E42" i="2"/>
  <c r="D42" i="2"/>
  <c r="C42" i="2"/>
  <c r="E40" i="2"/>
  <c r="D40" i="2"/>
  <c r="C40" i="2"/>
  <c r="E39" i="2"/>
  <c r="D39" i="2"/>
  <c r="C39" i="2"/>
  <c r="E38" i="2"/>
  <c r="D38" i="2"/>
  <c r="C38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O56" i="1"/>
  <c r="P19" i="1"/>
  <c r="O19" i="1"/>
  <c r="Q13" i="1"/>
  <c r="Q19" i="1" s="1"/>
  <c r="P13" i="1"/>
  <c r="O13" i="1"/>
  <c r="Q11" i="1"/>
  <c r="P11" i="1"/>
  <c r="O11" i="1"/>
  <c r="D19" i="2" l="1"/>
  <c r="C19" i="2"/>
  <c r="C37" i="2"/>
  <c r="E37" i="2"/>
  <c r="D37" i="2"/>
  <c r="E41" i="2" l="1"/>
  <c r="D41" i="2"/>
  <c r="C41" i="2"/>
  <c r="C75" i="1"/>
  <c r="Q73" i="1" l="1"/>
  <c r="Q74" i="1" s="1"/>
  <c r="P73" i="1"/>
  <c r="P74" i="1" s="1"/>
  <c r="O73" i="1"/>
  <c r="O74" i="1" s="1"/>
  <c r="Q59" i="1" l="1"/>
  <c r="Q45" i="1" l="1"/>
  <c r="P45" i="1"/>
  <c r="O45" i="1"/>
  <c r="Q44" i="1"/>
  <c r="P44" i="1"/>
  <c r="O44" i="1"/>
  <c r="Q43" i="1"/>
  <c r="P43" i="1"/>
  <c r="O43" i="1"/>
  <c r="Q42" i="1"/>
  <c r="P42" i="1"/>
  <c r="O42" i="1"/>
  <c r="Q40" i="1"/>
  <c r="P40" i="1"/>
  <c r="O40" i="1"/>
  <c r="Q39" i="1"/>
  <c r="P39" i="1"/>
  <c r="O39" i="1"/>
  <c r="Q38" i="1"/>
  <c r="P38" i="1"/>
  <c r="O38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P37" i="1" l="1"/>
  <c r="P41" i="1" s="1"/>
  <c r="Q37" i="1"/>
  <c r="Q41" i="1" s="1"/>
  <c r="O37" i="1"/>
  <c r="O41" i="1" s="1"/>
  <c r="U52" i="1"/>
  <c r="T52" i="1"/>
  <c r="S52" i="1"/>
  <c r="U55" i="1"/>
  <c r="M55" i="1" s="1"/>
  <c r="T55" i="1"/>
  <c r="L55" i="1" s="1"/>
  <c r="S55" i="1"/>
  <c r="G55" i="1" s="1"/>
  <c r="K55" i="1" l="1"/>
  <c r="D68" i="1" l="1"/>
  <c r="C68" i="1"/>
  <c r="E68" i="1"/>
  <c r="O67" i="1"/>
  <c r="O68" i="1" s="1"/>
  <c r="O70" i="1" s="1"/>
  <c r="P67" i="1"/>
  <c r="P68" i="1" s="1"/>
  <c r="P70" i="1" s="1"/>
  <c r="Q67" i="1"/>
  <c r="Q68" i="1" s="1"/>
  <c r="Q70" i="1" s="1"/>
  <c r="U68" i="1" l="1"/>
  <c r="M68" i="1" s="1"/>
  <c r="S68" i="1"/>
  <c r="K68" i="1" s="1"/>
  <c r="T68" i="1"/>
  <c r="L68" i="1" s="1"/>
  <c r="G68" i="1" l="1"/>
  <c r="I68" i="1"/>
  <c r="H68" i="1"/>
  <c r="U47" i="1"/>
  <c r="I47" i="1" s="1"/>
  <c r="T47" i="1"/>
  <c r="H47" i="1" s="1"/>
  <c r="S47" i="1"/>
  <c r="G47" i="1" s="1"/>
  <c r="U46" i="1"/>
  <c r="M46" i="1" s="1"/>
  <c r="T46" i="1"/>
  <c r="L46" i="1" s="1"/>
  <c r="S46" i="1"/>
  <c r="K46" i="1" s="1"/>
  <c r="H46" i="1" l="1"/>
  <c r="H48" i="1" s="1"/>
  <c r="G46" i="1"/>
  <c r="G48" i="1" s="1"/>
  <c r="M47" i="1"/>
  <c r="M48" i="1" s="1"/>
  <c r="L47" i="1"/>
  <c r="L48" i="1" s="1"/>
  <c r="I46" i="1"/>
  <c r="I48" i="1" s="1"/>
  <c r="K47" i="1"/>
  <c r="K48" i="1" s="1"/>
  <c r="U54" i="1"/>
  <c r="T54" i="1"/>
  <c r="S54" i="1"/>
  <c r="P59" i="1"/>
  <c r="O59" i="1"/>
  <c r="Q58" i="1"/>
  <c r="P58" i="1"/>
  <c r="O58" i="1"/>
  <c r="E59" i="1"/>
  <c r="D59" i="1"/>
  <c r="C59" i="1"/>
  <c r="E58" i="1"/>
  <c r="D58" i="1"/>
  <c r="C58" i="1"/>
  <c r="Q56" i="1"/>
  <c r="Q60" i="1" s="1"/>
  <c r="P56" i="1"/>
  <c r="P60" i="1" s="1"/>
  <c r="O60" i="1"/>
  <c r="E56" i="1"/>
  <c r="E60" i="1" s="1"/>
  <c r="D56" i="1"/>
  <c r="D60" i="1" s="1"/>
  <c r="C56" i="1"/>
  <c r="C60" i="1" s="1"/>
  <c r="H55" i="1" l="1"/>
  <c r="I55" i="1"/>
  <c r="Q53" i="1" l="1"/>
  <c r="P53" i="1"/>
  <c r="O53" i="1"/>
  <c r="E53" i="1"/>
  <c r="D53" i="1"/>
  <c r="C53" i="1"/>
  <c r="S53" i="1" l="1"/>
  <c r="G53" i="1" s="1"/>
  <c r="T53" i="1"/>
  <c r="H53" i="1" s="1"/>
  <c r="U53" i="1"/>
  <c r="I53" i="1" s="1"/>
  <c r="E43" i="1"/>
  <c r="D43" i="1"/>
  <c r="C43" i="1"/>
  <c r="E42" i="1"/>
  <c r="D42" i="1"/>
  <c r="C42" i="1"/>
  <c r="E40" i="1"/>
  <c r="U40" i="1" s="1"/>
  <c r="D40" i="1"/>
  <c r="T40" i="1" s="1"/>
  <c r="C40" i="1"/>
  <c r="S40" i="1" s="1"/>
  <c r="E39" i="1"/>
  <c r="U39" i="1" s="1"/>
  <c r="D39" i="1"/>
  <c r="T39" i="1" s="1"/>
  <c r="C39" i="1"/>
  <c r="E38" i="1"/>
  <c r="D38" i="1"/>
  <c r="T38" i="1" s="1"/>
  <c r="C38" i="1"/>
  <c r="S38" i="1" s="1"/>
  <c r="E36" i="1"/>
  <c r="D36" i="1"/>
  <c r="C36" i="1"/>
  <c r="E35" i="1"/>
  <c r="U35" i="1" s="1"/>
  <c r="D35" i="1"/>
  <c r="C35" i="1"/>
  <c r="S35" i="1" s="1"/>
  <c r="K35" i="1" s="1"/>
  <c r="E34" i="1"/>
  <c r="D34" i="1"/>
  <c r="C34" i="1"/>
  <c r="E33" i="1"/>
  <c r="D33" i="1"/>
  <c r="C33" i="1"/>
  <c r="S33" i="1" s="1"/>
  <c r="K33" i="1" s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S28" i="1" s="1"/>
  <c r="K28" i="1" s="1"/>
  <c r="Q24" i="1"/>
  <c r="P24" i="1"/>
  <c r="O24" i="1"/>
  <c r="C24" i="1"/>
  <c r="E24" i="1"/>
  <c r="D24" i="1"/>
  <c r="E27" i="1"/>
  <c r="D27" i="1"/>
  <c r="C27" i="1"/>
  <c r="U23" i="1"/>
  <c r="M23" i="1" s="1"/>
  <c r="T23" i="1"/>
  <c r="L23" i="1" s="1"/>
  <c r="S23" i="1"/>
  <c r="K23" i="1" s="1"/>
  <c r="U22" i="1"/>
  <c r="M22" i="1" s="1"/>
  <c r="T22" i="1"/>
  <c r="H22" i="1" s="1"/>
  <c r="S22" i="1"/>
  <c r="G22" i="1" s="1"/>
  <c r="E45" i="1"/>
  <c r="D45" i="1"/>
  <c r="C45" i="1"/>
  <c r="E44" i="1"/>
  <c r="D44" i="1"/>
  <c r="C44" i="1"/>
  <c r="H52" i="1" l="1"/>
  <c r="M53" i="1"/>
  <c r="M52" i="1" s="1"/>
  <c r="M51" i="1" s="1"/>
  <c r="G24" i="1"/>
  <c r="G52" i="1"/>
  <c r="K53" i="1"/>
  <c r="H59" i="1"/>
  <c r="K5" i="1"/>
  <c r="K12" i="1"/>
  <c r="H39" i="1"/>
  <c r="K40" i="1"/>
  <c r="K17" i="1" s="1"/>
  <c r="I39" i="1"/>
  <c r="K10" i="1"/>
  <c r="L40" i="1"/>
  <c r="L17" i="1" s="1"/>
  <c r="G38" i="1"/>
  <c r="I40" i="1"/>
  <c r="S39" i="1"/>
  <c r="G39" i="1" s="1"/>
  <c r="U38" i="1"/>
  <c r="M38" i="1" s="1"/>
  <c r="M15" i="1" s="1"/>
  <c r="S27" i="1"/>
  <c r="K27" i="1" s="1"/>
  <c r="H38" i="1"/>
  <c r="M40" i="1"/>
  <c r="M17" i="1" s="1"/>
  <c r="L39" i="1"/>
  <c r="L16" i="1" s="1"/>
  <c r="K38" i="1"/>
  <c r="K15" i="1" s="1"/>
  <c r="M39" i="1"/>
  <c r="M16" i="1" s="1"/>
  <c r="L38" i="1"/>
  <c r="L15" i="1" s="1"/>
  <c r="G40" i="1"/>
  <c r="H40" i="1"/>
  <c r="E37" i="1"/>
  <c r="E41" i="1" s="1"/>
  <c r="C37" i="1"/>
  <c r="C41" i="1" s="1"/>
  <c r="D37" i="1"/>
  <c r="D41" i="1" s="1"/>
  <c r="G35" i="1"/>
  <c r="U27" i="1"/>
  <c r="I27" i="1" s="1"/>
  <c r="I35" i="1"/>
  <c r="M35" i="1"/>
  <c r="M12" i="1" s="1"/>
  <c r="U32" i="1"/>
  <c r="M32" i="1" s="1"/>
  <c r="M9" i="1" s="1"/>
  <c r="G33" i="1"/>
  <c r="U30" i="1"/>
  <c r="M30" i="1" s="1"/>
  <c r="M7" i="1" s="1"/>
  <c r="G28" i="1"/>
  <c r="T28" i="1"/>
  <c r="L28" i="1" s="1"/>
  <c r="L5" i="1" s="1"/>
  <c r="U33" i="1"/>
  <c r="M33" i="1" s="1"/>
  <c r="M10" i="1" s="1"/>
  <c r="U28" i="1"/>
  <c r="M28" i="1" s="1"/>
  <c r="M5" i="1" s="1"/>
  <c r="T31" i="1"/>
  <c r="L31" i="1" s="1"/>
  <c r="L8" i="1" s="1"/>
  <c r="S34" i="1"/>
  <c r="S30" i="1"/>
  <c r="K30" i="1" s="1"/>
  <c r="K7" i="1" s="1"/>
  <c r="T30" i="1"/>
  <c r="L30" i="1" s="1"/>
  <c r="L7" i="1" s="1"/>
  <c r="T35" i="1"/>
  <c r="H35" i="1" s="1"/>
  <c r="S31" i="1"/>
  <c r="K31" i="1" s="1"/>
  <c r="K8" i="1" s="1"/>
  <c r="S29" i="1"/>
  <c r="K29" i="1" s="1"/>
  <c r="K6" i="1" s="1"/>
  <c r="U31" i="1"/>
  <c r="I31" i="1" s="1"/>
  <c r="T34" i="1"/>
  <c r="T33" i="1"/>
  <c r="L33" i="1" s="1"/>
  <c r="L10" i="1" s="1"/>
  <c r="T29" i="1"/>
  <c r="L29" i="1" s="1"/>
  <c r="L6" i="1" s="1"/>
  <c r="S32" i="1"/>
  <c r="K32" i="1" s="1"/>
  <c r="K9" i="1" s="1"/>
  <c r="U34" i="1"/>
  <c r="T27" i="1"/>
  <c r="H27" i="1" s="1"/>
  <c r="U29" i="1"/>
  <c r="M29" i="1" s="1"/>
  <c r="M6" i="1" s="1"/>
  <c r="T32" i="1"/>
  <c r="L32" i="1" s="1"/>
  <c r="L9" i="1" s="1"/>
  <c r="L22" i="1"/>
  <c r="M24" i="1" s="1"/>
  <c r="I22" i="1"/>
  <c r="I52" i="1" s="1"/>
  <c r="K22" i="1"/>
  <c r="K24" i="1" s="1"/>
  <c r="G23" i="1"/>
  <c r="H23" i="1"/>
  <c r="I23" i="1"/>
  <c r="H24" i="1"/>
  <c r="G51" i="1" l="1"/>
  <c r="I51" i="1"/>
  <c r="H51" i="1"/>
  <c r="H71" i="1"/>
  <c r="K34" i="1"/>
  <c r="K72" i="1"/>
  <c r="K75" i="1"/>
  <c r="M59" i="1"/>
  <c r="L52" i="1"/>
  <c r="L51" i="1" s="1"/>
  <c r="K52" i="1"/>
  <c r="K51" i="1" s="1"/>
  <c r="I24" i="1"/>
  <c r="G59" i="1"/>
  <c r="G71" i="1" s="1"/>
  <c r="H12" i="1"/>
  <c r="G12" i="1"/>
  <c r="I17" i="1"/>
  <c r="G5" i="1"/>
  <c r="G15" i="1"/>
  <c r="G10" i="1"/>
  <c r="H15" i="1"/>
  <c r="I16" i="1"/>
  <c r="I8" i="1"/>
  <c r="H17" i="1"/>
  <c r="K4" i="1"/>
  <c r="H4" i="1"/>
  <c r="I12" i="1"/>
  <c r="G17" i="1"/>
  <c r="I4" i="1"/>
  <c r="G37" i="1"/>
  <c r="G14" i="1" s="1"/>
  <c r="G16" i="1"/>
  <c r="H16" i="1"/>
  <c r="G27" i="1"/>
  <c r="H31" i="1"/>
  <c r="H8" i="1" s="1"/>
  <c r="L37" i="1"/>
  <c r="L14" i="1" s="1"/>
  <c r="H33" i="1"/>
  <c r="H10" i="1" s="1"/>
  <c r="I38" i="1"/>
  <c r="M37" i="1"/>
  <c r="M14" i="1" s="1"/>
  <c r="H37" i="1"/>
  <c r="H14" i="1" s="1"/>
  <c r="K39" i="1"/>
  <c r="G32" i="1"/>
  <c r="G9" i="1" s="1"/>
  <c r="H29" i="1"/>
  <c r="H6" i="1" s="1"/>
  <c r="I32" i="1"/>
  <c r="I9" i="1" s="1"/>
  <c r="I33" i="1"/>
  <c r="I10" i="1" s="1"/>
  <c r="G30" i="1"/>
  <c r="G7" i="1" s="1"/>
  <c r="M27" i="1"/>
  <c r="I29" i="1"/>
  <c r="I6" i="1" s="1"/>
  <c r="I30" i="1"/>
  <c r="I7" i="1" s="1"/>
  <c r="H28" i="1"/>
  <c r="H5" i="1" s="1"/>
  <c r="G29" i="1"/>
  <c r="G6" i="1" s="1"/>
  <c r="L35" i="1"/>
  <c r="L12" i="1" s="1"/>
  <c r="I28" i="1"/>
  <c r="G31" i="1"/>
  <c r="G8" i="1" s="1"/>
  <c r="M31" i="1"/>
  <c r="M8" i="1" s="1"/>
  <c r="H30" i="1"/>
  <c r="H7" i="1" s="1"/>
  <c r="L27" i="1"/>
  <c r="L34" i="1" s="1"/>
  <c r="H32" i="1"/>
  <c r="H9" i="1" s="1"/>
  <c r="L24" i="1"/>
  <c r="I34" i="1" l="1"/>
  <c r="H34" i="1"/>
  <c r="G4" i="1"/>
  <c r="G34" i="1"/>
  <c r="M4" i="1"/>
  <c r="M34" i="1"/>
  <c r="G72" i="1"/>
  <c r="G75" i="1"/>
  <c r="L72" i="1"/>
  <c r="K73" i="1"/>
  <c r="K74" i="1" s="1"/>
  <c r="K50" i="1" s="1"/>
  <c r="K59" i="1"/>
  <c r="L59" i="1"/>
  <c r="I59" i="1"/>
  <c r="I71" i="1" s="1"/>
  <c r="L11" i="1"/>
  <c r="L44" i="1" s="1"/>
  <c r="L4" i="1"/>
  <c r="K37" i="1"/>
  <c r="K14" i="1" s="1"/>
  <c r="K16" i="1"/>
  <c r="K36" i="1"/>
  <c r="K13" i="1" s="1"/>
  <c r="K11" i="1"/>
  <c r="I37" i="1"/>
  <c r="I14" i="1" s="1"/>
  <c r="I15" i="1"/>
  <c r="I5" i="1"/>
  <c r="M72" i="1" l="1"/>
  <c r="M73" i="1" s="1"/>
  <c r="M74" i="1" s="1"/>
  <c r="M50" i="1" s="1"/>
  <c r="L73" i="1"/>
  <c r="L74" i="1" s="1"/>
  <c r="L50" i="1" s="1"/>
  <c r="H72" i="1"/>
  <c r="G73" i="1"/>
  <c r="G74" i="1" s="1"/>
  <c r="G50" i="1" s="1"/>
  <c r="K45" i="1"/>
  <c r="L45" i="1"/>
  <c r="K44" i="1"/>
  <c r="K43" i="1"/>
  <c r="L36" i="1"/>
  <c r="L13" i="1" s="1"/>
  <c r="L19" i="1" s="1"/>
  <c r="K19" i="1"/>
  <c r="K20" i="1" s="1"/>
  <c r="L43" i="1"/>
  <c r="H36" i="1"/>
  <c r="H13" i="1" s="1"/>
  <c r="H19" i="1" s="1"/>
  <c r="H20" i="1" s="1"/>
  <c r="H11" i="1"/>
  <c r="H45" i="1" s="1"/>
  <c r="M36" i="1"/>
  <c r="M13" i="1" s="1"/>
  <c r="M19" i="1" s="1"/>
  <c r="M20" i="1" s="1"/>
  <c r="M11" i="1"/>
  <c r="M45" i="1" s="1"/>
  <c r="G36" i="1"/>
  <c r="G13" i="1" s="1"/>
  <c r="G19" i="1" s="1"/>
  <c r="G20" i="1" s="1"/>
  <c r="G11" i="1"/>
  <c r="G45" i="1" s="1"/>
  <c r="I36" i="1"/>
  <c r="I13" i="1" s="1"/>
  <c r="I19" i="1" s="1"/>
  <c r="I20" i="1" s="1"/>
  <c r="I11" i="1"/>
  <c r="I45" i="1" s="1"/>
  <c r="L20" i="1" l="1"/>
  <c r="L42" i="1" s="1"/>
  <c r="I72" i="1"/>
  <c r="I73" i="1" s="1"/>
  <c r="I74" i="1" s="1"/>
  <c r="I50" i="1" s="1"/>
  <c r="H73" i="1"/>
  <c r="H74" i="1" s="1"/>
  <c r="H50" i="1" s="1"/>
  <c r="L41" i="1"/>
  <c r="K41" i="1"/>
  <c r="I44" i="1"/>
  <c r="I43" i="1"/>
  <c r="G44" i="1"/>
  <c r="G43" i="1"/>
  <c r="H44" i="1"/>
  <c r="H43" i="1"/>
  <c r="M44" i="1"/>
  <c r="M43" i="1"/>
  <c r="G49" i="1"/>
  <c r="H49" i="1" s="1"/>
  <c r="G41" i="1"/>
  <c r="M42" i="1"/>
  <c r="M41" i="1"/>
  <c r="I42" i="1"/>
  <c r="I41" i="1"/>
  <c r="H42" i="1"/>
  <c r="H41" i="1"/>
  <c r="I49" i="1" l="1"/>
  <c r="K42" i="1"/>
  <c r="K49" i="1"/>
  <c r="L49" i="1" s="1"/>
  <c r="M49" i="1" s="1"/>
  <c r="G42" i="1"/>
  <c r="K54" i="1" l="1"/>
  <c r="L54" i="1"/>
  <c r="M54" i="1"/>
  <c r="G54" i="1"/>
  <c r="G67" i="1" s="1"/>
  <c r="L58" i="1" l="1"/>
  <c r="L67" i="1"/>
  <c r="M56" i="1"/>
  <c r="M60" i="1" s="1"/>
  <c r="M67" i="1"/>
  <c r="K56" i="1"/>
  <c r="K60" i="1" s="1"/>
  <c r="K67" i="1"/>
  <c r="K58" i="1"/>
  <c r="M58" i="1"/>
  <c r="L56" i="1"/>
  <c r="L60" i="1" s="1"/>
  <c r="G56" i="1"/>
  <c r="G60" i="1" s="1"/>
  <c r="G58" i="1"/>
  <c r="I54" i="1"/>
  <c r="I67" i="1" s="1"/>
  <c r="H54" i="1"/>
  <c r="H67" i="1" s="1"/>
  <c r="H56" i="1" l="1"/>
  <c r="H60" i="1" s="1"/>
  <c r="H58" i="1"/>
  <c r="I56" i="1"/>
  <c r="I60" i="1" s="1"/>
  <c r="I58" i="1"/>
  <c r="E46" i="2" l="1"/>
  <c r="E47" i="2"/>
  <c r="E68" i="2" l="1"/>
  <c r="E48" i="2" l="1"/>
  <c r="D48" i="2" l="1"/>
  <c r="C48" i="2"/>
  <c r="D47" i="2" l="1"/>
  <c r="D46" i="2"/>
  <c r="C46" i="2" l="1"/>
  <c r="C47" i="2"/>
  <c r="C84" i="2" l="1"/>
  <c r="C82" i="2" l="1"/>
  <c r="C74" i="2" l="1"/>
  <c r="D74" i="2" s="1"/>
  <c r="E74" i="2" s="1"/>
  <c r="C22" i="2"/>
  <c r="C76" i="2" l="1"/>
  <c r="D22" i="2"/>
  <c r="D76" i="2" l="1"/>
  <c r="E22" i="2"/>
  <c r="E76" i="2" l="1"/>
  <c r="C50" i="2"/>
  <c r="E50" i="2" l="1"/>
  <c r="D50" i="2"/>
  <c r="C67" i="2" l="1"/>
  <c r="C68" i="2"/>
  <c r="D68" i="2"/>
  <c r="C81" i="2" l="1"/>
  <c r="C83" i="2" s="1"/>
  <c r="C75" i="2" l="1"/>
  <c r="C73" i="2" l="1"/>
  <c r="C61" i="2" s="1"/>
  <c r="D75" i="2"/>
  <c r="E75" i="2" l="1"/>
  <c r="E73" i="2" s="1"/>
  <c r="E61" i="2" s="1"/>
  <c r="D73" i="2"/>
  <c r="D61" i="2" s="1"/>
  <c r="C21" i="2"/>
  <c r="C51" i="2" l="1"/>
  <c r="C52" i="2" l="1"/>
  <c r="C53" i="2" l="1"/>
  <c r="C55" i="2"/>
  <c r="C59" i="2" l="1"/>
  <c r="D21" i="2" l="1"/>
  <c r="D51" i="2" l="1"/>
  <c r="D52" i="2" l="1"/>
  <c r="D53" i="2" l="1"/>
  <c r="D55" i="2"/>
  <c r="D59" i="2" l="1"/>
  <c r="E21" i="2" l="1"/>
  <c r="E51" i="2" l="1"/>
  <c r="E52" i="2" l="1"/>
  <c r="E53" i="2" l="1"/>
  <c r="E55" i="2"/>
  <c r="E59" i="2" l="1"/>
  <c r="C54" i="2" l="1"/>
  <c r="C56" i="2" l="1"/>
  <c r="C60" i="2" s="1"/>
  <c r="C58" i="2"/>
  <c r="E54" i="2"/>
  <c r="D54" i="2"/>
  <c r="D56" i="2" l="1"/>
  <c r="D60" i="2" s="1"/>
  <c r="D58" i="2"/>
  <c r="E56" i="2"/>
  <c r="E60" i="2" s="1"/>
  <c r="E58" i="2"/>
  <c r="C49" i="2" l="1"/>
  <c r="D49" i="2" l="1"/>
  <c r="E49" i="2" l="1"/>
  <c r="Q63" i="2" l="1"/>
  <c r="Q17" i="2"/>
  <c r="Q16" i="2"/>
  <c r="Q68" i="2" l="1"/>
  <c r="Q69" i="2" s="1"/>
  <c r="Q70" i="2" s="1"/>
  <c r="Q15" i="2"/>
  <c r="Q14" i="2" l="1"/>
  <c r="P63" i="2" l="1"/>
  <c r="O63" i="2" l="1"/>
  <c r="O16" i="2" l="1"/>
  <c r="P16" i="2" l="1"/>
  <c r="O15" i="2" l="1"/>
  <c r="P15" i="2"/>
  <c r="P17" i="2" l="1"/>
  <c r="O17" i="2"/>
  <c r="P68" i="2" l="1"/>
  <c r="P69" i="2" s="1"/>
  <c r="P70" i="2" s="1"/>
  <c r="P14" i="2"/>
  <c r="O68" i="2"/>
  <c r="O69" i="2" s="1"/>
  <c r="O70" i="2" s="1"/>
  <c r="O14" i="2"/>
  <c r="O23" i="2" l="1"/>
  <c r="P23" i="2"/>
  <c r="T23" i="2" l="1"/>
  <c r="P39" i="2"/>
  <c r="T39" i="2" s="1"/>
  <c r="P38" i="2"/>
  <c r="P40" i="2"/>
  <c r="T40" i="2" s="1"/>
  <c r="S23" i="2"/>
  <c r="O39" i="2"/>
  <c r="S39" i="2" s="1"/>
  <c r="O38" i="2"/>
  <c r="O40" i="2"/>
  <c r="S40" i="2" s="1"/>
  <c r="G39" i="2" l="1"/>
  <c r="K39" i="2"/>
  <c r="K23" i="2"/>
  <c r="G23" i="2"/>
  <c r="H40" i="2"/>
  <c r="L40" i="2"/>
  <c r="P37" i="2"/>
  <c r="T38" i="2"/>
  <c r="L39" i="2"/>
  <c r="H39" i="2"/>
  <c r="G40" i="2"/>
  <c r="K40" i="2"/>
  <c r="K17" i="2" s="1"/>
  <c r="K68" i="2" s="1"/>
  <c r="O37" i="2"/>
  <c r="S38" i="2"/>
  <c r="H23" i="2"/>
  <c r="L23" i="2"/>
  <c r="H17" i="2" l="1"/>
  <c r="L17" i="2"/>
  <c r="H16" i="2"/>
  <c r="G17" i="2"/>
  <c r="G68" i="2" s="1"/>
  <c r="G69" i="2" s="1"/>
  <c r="G70" i="2" s="1"/>
  <c r="G50" i="2" s="1"/>
  <c r="L68" i="2"/>
  <c r="L69" i="2" s="1"/>
  <c r="L70" i="2" s="1"/>
  <c r="L50" i="2" s="1"/>
  <c r="K69" i="2"/>
  <c r="K70" i="2" s="1"/>
  <c r="K50" i="2" s="1"/>
  <c r="K16" i="2"/>
  <c r="L16" i="2"/>
  <c r="G16" i="2"/>
  <c r="K38" i="2"/>
  <c r="G38" i="2"/>
  <c r="L38" i="2"/>
  <c r="H38" i="2"/>
  <c r="H68" i="2" l="1"/>
  <c r="H69" i="2" s="1"/>
  <c r="H70" i="2" s="1"/>
  <c r="H50" i="2" s="1"/>
  <c r="K37" i="2"/>
  <c r="K15" i="2"/>
  <c r="K14" i="2" s="1"/>
  <c r="H37" i="2"/>
  <c r="H15" i="2"/>
  <c r="H14" i="2" s="1"/>
  <c r="L15" i="2"/>
  <c r="L14" i="2" s="1"/>
  <c r="L37" i="2"/>
  <c r="G37" i="2"/>
  <c r="G15" i="2"/>
  <c r="G14" i="2" s="1"/>
  <c r="Q23" i="2" l="1"/>
  <c r="G12" i="2" l="1"/>
  <c r="K12" i="2"/>
  <c r="U23" i="2"/>
  <c r="Q39" i="2"/>
  <c r="U39" i="2" s="1"/>
  <c r="Q40" i="2"/>
  <c r="U40" i="2" s="1"/>
  <c r="Q38" i="2"/>
  <c r="L12" i="2" l="1"/>
  <c r="U38" i="2"/>
  <c r="Q37" i="2"/>
  <c r="M40" i="2"/>
  <c r="I40" i="2"/>
  <c r="I39" i="2"/>
  <c r="M39" i="2"/>
  <c r="I23" i="2"/>
  <c r="M23" i="2"/>
  <c r="M16" i="2" l="1"/>
  <c r="H12" i="2"/>
  <c r="I16" i="2"/>
  <c r="I17" i="2"/>
  <c r="I68" i="2" s="1"/>
  <c r="I69" i="2" s="1"/>
  <c r="I70" i="2" s="1"/>
  <c r="I50" i="2" s="1"/>
  <c r="M17" i="2"/>
  <c r="M68" i="2" s="1"/>
  <c r="M69" i="2" s="1"/>
  <c r="M70" i="2" s="1"/>
  <c r="M50" i="2" s="1"/>
  <c r="M38" i="2"/>
  <c r="I38" i="2"/>
  <c r="I37" i="2" l="1"/>
  <c r="I15" i="2"/>
  <c r="I14" i="2" s="1"/>
  <c r="M15" i="2"/>
  <c r="M14" i="2" s="1"/>
  <c r="M37" i="2"/>
  <c r="O8" i="2" l="1"/>
  <c r="O31" i="2" s="1"/>
  <c r="S31" i="2" s="1"/>
  <c r="K31" i="2" l="1"/>
  <c r="K8" i="2" s="1"/>
  <c r="G31" i="2"/>
  <c r="G8" i="2" s="1"/>
  <c r="P8" i="2"/>
  <c r="P31" i="2" s="1"/>
  <c r="T31" i="2" s="1"/>
  <c r="L31" i="2" l="1"/>
  <c r="L8" i="2" s="1"/>
  <c r="H31" i="2"/>
  <c r="H8" i="2" s="1"/>
  <c r="M12" i="2" l="1"/>
  <c r="I12" i="2"/>
  <c r="Q8" i="2"/>
  <c r="Q31" i="2" s="1"/>
  <c r="U31" i="2" s="1"/>
  <c r="I31" i="2" l="1"/>
  <c r="I8" i="2" s="1"/>
  <c r="M31" i="2"/>
  <c r="M8" i="2" s="1"/>
  <c r="Q9" i="2" l="1"/>
  <c r="Q32" i="2" s="1"/>
  <c r="U32" i="2" s="1"/>
  <c r="I32" i="2" l="1"/>
  <c r="I9" i="2" s="1"/>
  <c r="M32" i="2"/>
  <c r="M9" i="2" s="1"/>
  <c r="Q47" i="2"/>
  <c r="Q46" i="2"/>
  <c r="U46" i="2" l="1"/>
  <c r="U47" i="2"/>
  <c r="M46" i="2"/>
  <c r="I46" i="2"/>
  <c r="I47" i="2"/>
  <c r="M47" i="2"/>
  <c r="I48" i="2" l="1"/>
  <c r="M48" i="2"/>
  <c r="Q48" i="2"/>
  <c r="O48" i="2" l="1"/>
  <c r="P48" i="2"/>
  <c r="P46" i="2" l="1"/>
  <c r="P47" i="2"/>
  <c r="T46" i="2" l="1"/>
  <c r="L46" i="2" s="1"/>
  <c r="T47" i="2"/>
  <c r="H47" i="2" s="1"/>
  <c r="H46" i="2"/>
  <c r="L47" i="2" l="1"/>
  <c r="H48" i="2"/>
  <c r="L48" i="2"/>
  <c r="O46" i="2" l="1"/>
  <c r="O47" i="2"/>
  <c r="S46" i="2" l="1"/>
  <c r="S47" i="2"/>
  <c r="G46" i="2"/>
  <c r="K46" i="2"/>
  <c r="G47" i="2"/>
  <c r="K47" i="2"/>
  <c r="K48" i="2" l="1"/>
  <c r="G48" i="2"/>
  <c r="P9" i="2" l="1"/>
  <c r="P32" i="2" s="1"/>
  <c r="T32" i="2" s="1"/>
  <c r="L32" i="2" l="1"/>
  <c r="L9" i="2" s="1"/>
  <c r="H32" i="2"/>
  <c r="H9" i="2" s="1"/>
  <c r="O9" i="2"/>
  <c r="O32" i="2" s="1"/>
  <c r="S32" i="2" s="1"/>
  <c r="K32" i="2" l="1"/>
  <c r="K9" i="2" s="1"/>
  <c r="G32" i="2"/>
  <c r="G9" i="2" s="1"/>
  <c r="O22" i="2" l="1"/>
  <c r="S22" i="2" s="1"/>
  <c r="O76" i="2" l="1"/>
  <c r="O75" i="2" s="1"/>
  <c r="K22" i="2"/>
  <c r="G22" i="2"/>
  <c r="K76" i="2" l="1"/>
  <c r="K75" i="2"/>
  <c r="G75" i="2"/>
  <c r="G76" i="2"/>
  <c r="P22" i="2" l="1"/>
  <c r="P76" i="2" l="1"/>
  <c r="P75" i="2" s="1"/>
  <c r="T22" i="2"/>
  <c r="H22" i="2" s="1"/>
  <c r="L22" i="2" l="1"/>
  <c r="H76" i="2"/>
  <c r="H75" i="2" s="1"/>
  <c r="L76" i="2" l="1"/>
  <c r="L75" i="2" s="1"/>
  <c r="Q22" i="2" l="1"/>
  <c r="Q76" i="2" l="1"/>
  <c r="Q75" i="2" s="1"/>
  <c r="U22" i="2"/>
  <c r="I22" i="2" s="1"/>
  <c r="M22" i="2" l="1"/>
  <c r="I76" i="2"/>
  <c r="I75" i="2" s="1"/>
  <c r="M76" i="2" l="1"/>
  <c r="M75" i="2" s="1"/>
  <c r="O50" i="2" l="1"/>
  <c r="Q50" i="2" l="1"/>
  <c r="P50" i="2"/>
  <c r="O21" i="2" l="1"/>
  <c r="S21" i="2" s="1"/>
  <c r="K21" i="2" s="1"/>
  <c r="G21" i="2" l="1"/>
  <c r="O51" i="2" l="1"/>
  <c r="S51" i="2" s="1"/>
  <c r="G51" i="2" l="1"/>
  <c r="K51" i="2"/>
  <c r="P21" i="2" l="1"/>
  <c r="T21" i="2" s="1"/>
  <c r="L21" i="2" s="1"/>
  <c r="H21" i="2" l="1"/>
  <c r="P51" i="2" l="1"/>
  <c r="T51" i="2" s="1"/>
  <c r="H51" i="2" l="1"/>
  <c r="L51" i="2"/>
  <c r="Q21" i="2" l="1"/>
  <c r="U21" i="2" s="1"/>
  <c r="M21" i="2" s="1"/>
  <c r="I21" i="2" l="1"/>
  <c r="Q51" i="2" l="1"/>
  <c r="U51" i="2" s="1"/>
  <c r="M51" i="2" l="1"/>
  <c r="I51" i="2"/>
  <c r="P4" i="2" l="1"/>
  <c r="P27" i="2" l="1"/>
  <c r="T27" i="2" s="1"/>
  <c r="H27" i="2" l="1"/>
  <c r="L27" i="2"/>
  <c r="L4" i="2" l="1"/>
  <c r="H4" i="2"/>
  <c r="Q4" i="2" l="1"/>
  <c r="Q27" i="2" l="1"/>
  <c r="U27" i="2" s="1"/>
  <c r="I27" i="2" l="1"/>
  <c r="M27" i="2"/>
  <c r="M4" i="2" l="1"/>
  <c r="I4" i="2"/>
  <c r="O12" i="2" l="1"/>
  <c r="O35" i="2" l="1"/>
  <c r="P12" i="2"/>
  <c r="S35" i="2" l="1"/>
  <c r="P35" i="2"/>
  <c r="K35" i="2"/>
  <c r="G35" i="2"/>
  <c r="Q12" i="2"/>
  <c r="T35" i="2" l="1"/>
  <c r="Q35" i="2"/>
  <c r="H35" i="2"/>
  <c r="L35" i="2"/>
  <c r="U35" i="2" l="1"/>
  <c r="I35" i="2"/>
  <c r="M35" i="2"/>
  <c r="O52" i="2" l="1"/>
  <c r="O53" i="2" l="1"/>
  <c r="S53" i="2" s="1"/>
  <c r="S52" i="2"/>
  <c r="G53" i="2" l="1"/>
  <c r="G52" i="2" s="1"/>
  <c r="K53" i="2"/>
  <c r="K52" i="2" s="1"/>
  <c r="O55" i="2"/>
  <c r="S55" i="2" l="1"/>
  <c r="O59" i="2"/>
  <c r="G55" i="2" l="1"/>
  <c r="G59" i="2" s="1"/>
  <c r="G67" i="2" s="1"/>
  <c r="K55" i="2"/>
  <c r="K59" i="2" s="1"/>
  <c r="P52" i="2" l="1"/>
  <c r="P53" i="2" l="1"/>
  <c r="T53" i="2" s="1"/>
  <c r="L53" i="2" s="1"/>
  <c r="T52" i="2"/>
  <c r="H53" i="2" l="1"/>
  <c r="H52" i="2" s="1"/>
  <c r="L52" i="2"/>
  <c r="P55" i="2"/>
  <c r="P59" i="2" l="1"/>
  <c r="T55" i="2"/>
  <c r="H55" i="2" l="1"/>
  <c r="H59" i="2" s="1"/>
  <c r="H67" i="2" s="1"/>
  <c r="L55" i="2"/>
  <c r="L59" i="2" s="1"/>
  <c r="Q52" i="2" l="1"/>
  <c r="Q53" i="2" l="1"/>
  <c r="U53" i="2" s="1"/>
  <c r="M53" i="2" s="1"/>
  <c r="U52" i="2"/>
  <c r="I53" i="2" l="1"/>
  <c r="I52" i="2" s="1"/>
  <c r="M52" i="2"/>
  <c r="Q55" i="2"/>
  <c r="Q59" i="2" l="1"/>
  <c r="U55" i="2"/>
  <c r="M55" i="2" l="1"/>
  <c r="M59" i="2" s="1"/>
  <c r="I55" i="2"/>
  <c r="I59" i="2" s="1"/>
  <c r="I67" i="2" s="1"/>
  <c r="Q5" i="2" l="1"/>
  <c r="P5" i="2"/>
  <c r="O5" i="2"/>
  <c r="O28" i="2" l="1"/>
  <c r="S28" i="2" s="1"/>
  <c r="P28" i="2"/>
  <c r="T28" i="2" s="1"/>
  <c r="Q28" i="2"/>
  <c r="U28" i="2" s="1"/>
  <c r="P6" i="2"/>
  <c r="P29" i="2" s="1"/>
  <c r="T29" i="2" s="1"/>
  <c r="O6" i="2"/>
  <c r="O29" i="2" s="1"/>
  <c r="S29" i="2" s="1"/>
  <c r="Q6" i="2"/>
  <c r="Q29" i="2" s="1"/>
  <c r="U29" i="2" s="1"/>
  <c r="M29" i="2" l="1"/>
  <c r="M6" i="2" s="1"/>
  <c r="I29" i="2"/>
  <c r="I6" i="2" s="1"/>
  <c r="Q7" i="2"/>
  <c r="L29" i="2"/>
  <c r="L6" i="2" s="1"/>
  <c r="H29" i="2"/>
  <c r="H6" i="2" s="1"/>
  <c r="M28" i="2"/>
  <c r="M5" i="2" s="1"/>
  <c r="M7" i="2" s="1"/>
  <c r="I28" i="2"/>
  <c r="I5" i="2" s="1"/>
  <c r="I7" i="2" s="1"/>
  <c r="P7" i="2"/>
  <c r="K29" i="2"/>
  <c r="K6" i="2" s="1"/>
  <c r="G29" i="2"/>
  <c r="G6" i="2" s="1"/>
  <c r="L28" i="2"/>
  <c r="L5" i="2" s="1"/>
  <c r="L7" i="2" s="1"/>
  <c r="H28" i="2"/>
  <c r="H5" i="2" s="1"/>
  <c r="O7" i="2"/>
  <c r="O30" i="2" s="1"/>
  <c r="S30" i="2" s="1"/>
  <c r="K28" i="2"/>
  <c r="K5" i="2" s="1"/>
  <c r="K7" i="2" s="1"/>
  <c r="G28" i="2"/>
  <c r="G5" i="2" s="1"/>
  <c r="G7" i="2" s="1"/>
  <c r="H7" i="2" l="1"/>
  <c r="K30" i="2"/>
  <c r="G30" i="2"/>
  <c r="P30" i="2"/>
  <c r="T30" i="2" s="1"/>
  <c r="Q30" i="2"/>
  <c r="U30" i="2" s="1"/>
  <c r="L30" i="2" l="1"/>
  <c r="H30" i="2"/>
  <c r="M30" i="2"/>
  <c r="I30" i="2"/>
  <c r="O4" i="2" l="1"/>
  <c r="O27" i="2" l="1"/>
  <c r="S27" i="2" s="1"/>
  <c r="G27" i="2" l="1"/>
  <c r="K27" i="2"/>
  <c r="G4" i="2" l="1"/>
  <c r="K4" i="2"/>
  <c r="Q10" i="2" l="1"/>
  <c r="O10" i="2"/>
  <c r="P10" i="2"/>
  <c r="P33" i="2" l="1"/>
  <c r="T33" i="2" s="1"/>
  <c r="P11" i="2"/>
  <c r="Q33" i="2"/>
  <c r="U33" i="2" s="1"/>
  <c r="Q11" i="2"/>
  <c r="O33" i="2"/>
  <c r="S33" i="2" s="1"/>
  <c r="O11" i="2"/>
  <c r="O13" i="2" l="1"/>
  <c r="O45" i="2"/>
  <c r="O43" i="2"/>
  <c r="O44" i="2"/>
  <c r="O34" i="2"/>
  <c r="G33" i="2"/>
  <c r="K33" i="2"/>
  <c r="Q45" i="2"/>
  <c r="Q44" i="2"/>
  <c r="Q13" i="2"/>
  <c r="Q34" i="2"/>
  <c r="Q43" i="2"/>
  <c r="I33" i="2"/>
  <c r="M33" i="2"/>
  <c r="P13" i="2"/>
  <c r="P44" i="2"/>
  <c r="P45" i="2"/>
  <c r="P34" i="2"/>
  <c r="P43" i="2"/>
  <c r="H33" i="2"/>
  <c r="L33" i="2"/>
  <c r="S34" i="2" l="1"/>
  <c r="U34" i="2"/>
  <c r="T34" i="2"/>
  <c r="P36" i="2"/>
  <c r="P19" i="2"/>
  <c r="K10" i="2"/>
  <c r="K11" i="2" s="1"/>
  <c r="K34" i="2"/>
  <c r="M10" i="2"/>
  <c r="M11" i="2" s="1"/>
  <c r="M34" i="2"/>
  <c r="G10" i="2"/>
  <c r="G11" i="2" s="1"/>
  <c r="G34" i="2"/>
  <c r="L10" i="2"/>
  <c r="L11" i="2" s="1"/>
  <c r="L34" i="2"/>
  <c r="I10" i="2"/>
  <c r="I11" i="2" s="1"/>
  <c r="I34" i="2"/>
  <c r="H10" i="2"/>
  <c r="H11" i="2" s="1"/>
  <c r="H34" i="2"/>
  <c r="Q36" i="2"/>
  <c r="Q19" i="2"/>
  <c r="O19" i="2"/>
  <c r="O36" i="2"/>
  <c r="H36" i="2" l="1"/>
  <c r="M36" i="2"/>
  <c r="I36" i="2"/>
  <c r="K36" i="2"/>
  <c r="L36" i="2"/>
  <c r="G36" i="2"/>
  <c r="Q41" i="2"/>
  <c r="O41" i="2"/>
  <c r="P41" i="2"/>
  <c r="G44" i="2"/>
  <c r="G45" i="2"/>
  <c r="G13" i="2"/>
  <c r="G19" i="2" s="1"/>
  <c r="G43" i="2"/>
  <c r="H43" i="2"/>
  <c r="H13" i="2"/>
  <c r="H19" i="2" s="1"/>
  <c r="H45" i="2"/>
  <c r="H44" i="2"/>
  <c r="M44" i="2"/>
  <c r="M45" i="2"/>
  <c r="M43" i="2"/>
  <c r="M13" i="2"/>
  <c r="M19" i="2" s="1"/>
  <c r="I45" i="2"/>
  <c r="I43" i="2"/>
  <c r="I13" i="2"/>
  <c r="I19" i="2" s="1"/>
  <c r="I44" i="2"/>
  <c r="K44" i="2"/>
  <c r="K43" i="2"/>
  <c r="K45" i="2"/>
  <c r="K13" i="2"/>
  <c r="K19" i="2" s="1"/>
  <c r="L43" i="2"/>
  <c r="L45" i="2"/>
  <c r="L44" i="2"/>
  <c r="L13" i="2"/>
  <c r="L19" i="2" s="1"/>
  <c r="O54" i="2"/>
  <c r="Q20" i="2"/>
  <c r="P20" i="2"/>
  <c r="O20" i="2"/>
  <c r="Q42" i="2" l="1"/>
  <c r="P42" i="2"/>
  <c r="H41" i="2"/>
  <c r="H20" i="2"/>
  <c r="H42" i="2" s="1"/>
  <c r="M20" i="2"/>
  <c r="M41" i="2"/>
  <c r="L20" i="2"/>
  <c r="L41" i="2"/>
  <c r="G41" i="2"/>
  <c r="G20" i="2"/>
  <c r="I41" i="2"/>
  <c r="I20" i="2"/>
  <c r="I42" i="2" s="1"/>
  <c r="K20" i="2"/>
  <c r="K41" i="2"/>
  <c r="O42" i="2"/>
  <c r="O74" i="2"/>
  <c r="S54" i="2"/>
  <c r="O58" i="2"/>
  <c r="O56" i="2"/>
  <c r="O60" i="2" l="1"/>
  <c r="M42" i="2"/>
  <c r="L42" i="2"/>
  <c r="O82" i="2"/>
  <c r="O83" i="2" s="1"/>
  <c r="K74" i="2"/>
  <c r="K42" i="2"/>
  <c r="K49" i="2"/>
  <c r="G42" i="2"/>
  <c r="G74" i="2"/>
  <c r="G49" i="2"/>
  <c r="P74" i="2"/>
  <c r="O73" i="2"/>
  <c r="O61" i="2" s="1"/>
  <c r="G54" i="2" l="1"/>
  <c r="H49" i="2"/>
  <c r="G73" i="2"/>
  <c r="G61" i="2" s="1"/>
  <c r="H74" i="2"/>
  <c r="K54" i="2"/>
  <c r="L49" i="2"/>
  <c r="L74" i="2"/>
  <c r="K73" i="2"/>
  <c r="K61" i="2" s="1"/>
  <c r="P54" i="2"/>
  <c r="Q74" i="2"/>
  <c r="Q73" i="2" s="1"/>
  <c r="Q61" i="2" s="1"/>
  <c r="P73" i="2"/>
  <c r="P61" i="2" s="1"/>
  <c r="L73" i="2" l="1"/>
  <c r="L61" i="2" s="1"/>
  <c r="M74" i="2"/>
  <c r="M73" i="2" s="1"/>
  <c r="M61" i="2" s="1"/>
  <c r="L54" i="2"/>
  <c r="M49" i="2"/>
  <c r="M54" i="2" s="1"/>
  <c r="K56" i="2"/>
  <c r="K58" i="2"/>
  <c r="I74" i="2"/>
  <c r="I73" i="2" s="1"/>
  <c r="I61" i="2" s="1"/>
  <c r="H73" i="2"/>
  <c r="H61" i="2" s="1"/>
  <c r="H54" i="2"/>
  <c r="I49" i="2"/>
  <c r="I54" i="2" s="1"/>
  <c r="G58" i="2"/>
  <c r="G56" i="2"/>
  <c r="Q54" i="2"/>
  <c r="P56" i="2"/>
  <c r="P58" i="2"/>
  <c r="T54" i="2"/>
  <c r="P60" i="2" l="1"/>
  <c r="K60" i="2"/>
  <c r="G60" i="2"/>
  <c r="M58" i="2"/>
  <c r="M56" i="2"/>
  <c r="L56" i="2"/>
  <c r="L58" i="2"/>
  <c r="I56" i="2"/>
  <c r="I58" i="2"/>
  <c r="H58" i="2"/>
  <c r="H56" i="2"/>
  <c r="Q56" i="2"/>
  <c r="Q58" i="2"/>
  <c r="U54" i="2"/>
  <c r="I60" i="2" l="1"/>
  <c r="L60" i="2"/>
  <c r="Q60" i="2"/>
  <c r="Q82" i="2" s="1"/>
  <c r="Q83" i="2" s="1"/>
  <c r="M60" i="2"/>
  <c r="H60" i="2"/>
  <c r="H82" i="2" s="1"/>
  <c r="H83" i="2" s="1"/>
  <c r="G82" i="2"/>
  <c r="G83" i="2" s="1"/>
  <c r="K82" i="2"/>
  <c r="K83" i="2" s="1"/>
  <c r="P82" i="2"/>
  <c r="P83" i="2" s="1"/>
  <c r="I82" i="2"/>
  <c r="I83" i="2" s="1"/>
  <c r="M82" i="2" l="1"/>
  <c r="M83" i="2" s="1"/>
  <c r="L82" i="2"/>
  <c r="L83" i="2" s="1"/>
  <c r="O49" i="2" l="1"/>
  <c r="P49" i="2" l="1"/>
  <c r="Q49" i="2" l="1"/>
</calcChain>
</file>

<file path=xl/sharedStrings.xml><?xml version="1.0" encoding="utf-8"?>
<sst xmlns="http://schemas.openxmlformats.org/spreadsheetml/2006/main" count="172" uniqueCount="75">
  <si>
    <t>INR mio</t>
  </si>
  <si>
    <t>NIM (A)</t>
  </si>
  <si>
    <t>Amortised Fee Income (B)</t>
  </si>
  <si>
    <t>Amortised LOC (C )</t>
  </si>
  <si>
    <t>EIR/Amortised LOC reclass impact (D)</t>
  </si>
  <si>
    <t>Other Income (E)</t>
  </si>
  <si>
    <t>Income from Assignment (F)</t>
  </si>
  <si>
    <t>Treasury Benefit (G)</t>
  </si>
  <si>
    <t>Net Revenue</t>
  </si>
  <si>
    <t>Expenses</t>
  </si>
  <si>
    <t>Working Profit</t>
  </si>
  <si>
    <t>Cost of Credit</t>
  </si>
  <si>
    <t>GWO</t>
  </si>
  <si>
    <t>Recovery</t>
  </si>
  <si>
    <t>ECL</t>
  </si>
  <si>
    <t>Others</t>
  </si>
  <si>
    <t>Pre tax profit</t>
  </si>
  <si>
    <t>Post tax profit</t>
  </si>
  <si>
    <t>Customer AUM</t>
  </si>
  <si>
    <t>Customer ANR</t>
  </si>
  <si>
    <t>AUM Growth %</t>
  </si>
  <si>
    <t>Ratios %</t>
  </si>
  <si>
    <t>Expense</t>
  </si>
  <si>
    <t>PBT</t>
  </si>
  <si>
    <t>PAT</t>
  </si>
  <si>
    <t>Cost to Income Ratio</t>
  </si>
  <si>
    <t>RAY</t>
  </si>
  <si>
    <t>CoC/Revenue</t>
  </si>
  <si>
    <t>GNPA %</t>
  </si>
  <si>
    <t>NNPA%</t>
  </si>
  <si>
    <t>PCR %</t>
  </si>
  <si>
    <t>Shareholders' Funds</t>
  </si>
  <si>
    <t>RWA</t>
  </si>
  <si>
    <t xml:space="preserve">Tier 1 </t>
  </si>
  <si>
    <t>Tier 2</t>
  </si>
  <si>
    <t>CAR</t>
  </si>
  <si>
    <t>Tier 1  %</t>
  </si>
  <si>
    <t>Tier 2 %</t>
  </si>
  <si>
    <t>CAR %</t>
  </si>
  <si>
    <t>Capital Infusion</t>
  </si>
  <si>
    <t>FY 25</t>
  </si>
  <si>
    <t>FY 24</t>
  </si>
  <si>
    <t>Severe Stress</t>
  </si>
  <si>
    <t>Mild Stress</t>
  </si>
  <si>
    <t>Moderate Stress</t>
  </si>
  <si>
    <t>Drop %</t>
  </si>
  <si>
    <t>RWA % AUM</t>
  </si>
  <si>
    <t>DTA (Capital Calculation Sheet)</t>
  </si>
  <si>
    <t>Other Adjustment (Capital Calculation Sheet)</t>
  </si>
  <si>
    <t>FY 26</t>
  </si>
  <si>
    <t>ABP (R)</t>
  </si>
  <si>
    <t>SMHFC</t>
  </si>
  <si>
    <t>ECL BS</t>
  </si>
  <si>
    <t>Movement</t>
  </si>
  <si>
    <t>DTA Impact</t>
  </si>
  <si>
    <t>SMHFC Capital Ratios</t>
  </si>
  <si>
    <t>Leverage</t>
  </si>
  <si>
    <t>Debt</t>
  </si>
  <si>
    <t>SHF</t>
  </si>
  <si>
    <t>AUM</t>
  </si>
  <si>
    <t>Net Interest Income</t>
  </si>
  <si>
    <t>Amortised Fee Income</t>
  </si>
  <si>
    <t>Amortized LOC</t>
  </si>
  <si>
    <t>Total EIR impact</t>
  </si>
  <si>
    <t>Other Income</t>
  </si>
  <si>
    <t>Income from asset assignment</t>
  </si>
  <si>
    <t>Treasury Benefit</t>
  </si>
  <si>
    <t>ANR</t>
  </si>
  <si>
    <t>FY 24-25</t>
  </si>
  <si>
    <t>FY 25-26</t>
  </si>
  <si>
    <t>FY 26-27</t>
  </si>
  <si>
    <t>ENR</t>
  </si>
  <si>
    <t>RWA % ENR</t>
  </si>
  <si>
    <t>Baseline Stress</t>
  </si>
  <si>
    <t>Normal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</si>
</sst>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_ * #,##0.0_ ;_ * \-#,##0.0_ ;_ * &quot;-&quot;??_ ;_ @_ "/>
    <numFmt numFmtId="168" formatCode="_-* #,##0.00_-;\-* #,##0.00_-;_-* &quot;-&quot;??_-;_-@_-"/>
    <numFmt numFmtId="169" formatCode="_-* #,##0_-;\-* #,##0_-;_-* &quot;-&quot;??_-;_-@_-"/>
    <numFmt numFmtId="170" formatCode="_(* #,##0_);_(* \(#,##0\);_(* &quot;-&quot;??_);_(@_)"/>
    <numFmt numFmtId="171" formatCode="#,##0.0"/>
    <numFmt numFmtId="172" formatCode="0.0\x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u/>
      <sz val="10"/>
      <color theme="9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4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6" fontId="2" fillId="0" borderId="0" xfId="3" applyNumberFormat="1" applyFont="1" applyBorder="1"/>
    <xf numFmtId="166" fontId="2" fillId="0" borderId="7" xfId="3" applyNumberFormat="1" applyFont="1" applyBorder="1"/>
    <xf numFmtId="166" fontId="2" fillId="0" borderId="4" xfId="3" applyNumberFormat="1" applyFont="1" applyBorder="1"/>
    <xf numFmtId="166" fontId="3" fillId="3" borderId="0" xfId="3" applyNumberFormat="1" applyFont="1" applyFill="1" applyBorder="1"/>
    <xf numFmtId="166" fontId="3" fillId="3" borderId="7" xfId="3" applyNumberFormat="1" applyFont="1" applyFill="1" applyBorder="1"/>
    <xf numFmtId="166" fontId="3" fillId="3" borderId="4" xfId="3" applyNumberFormat="1" applyFont="1" applyFill="1" applyBorder="1"/>
    <xf numFmtId="166" fontId="3" fillId="0" borderId="0" xfId="3" applyNumberFormat="1" applyFont="1" applyBorder="1"/>
    <xf numFmtId="166" fontId="3" fillId="0" borderId="7" xfId="3" applyNumberFormat="1" applyFont="1" applyBorder="1"/>
    <xf numFmtId="166" fontId="3" fillId="0" borderId="4" xfId="3" applyNumberFormat="1" applyFont="1" applyBorder="1"/>
    <xf numFmtId="166" fontId="3" fillId="4" borderId="0" xfId="3" applyNumberFormat="1" applyFont="1" applyFill="1" applyBorder="1"/>
    <xf numFmtId="166" fontId="3" fillId="4" borderId="7" xfId="3" applyNumberFormat="1" applyFont="1" applyFill="1" applyBorder="1"/>
    <xf numFmtId="166" fontId="3" fillId="4" borderId="4" xfId="3" applyNumberFormat="1" applyFont="1" applyFill="1" applyBorder="1"/>
    <xf numFmtId="9" fontId="2" fillId="0" borderId="7" xfId="1" applyNumberFormat="1" applyFont="1" applyBorder="1"/>
    <xf numFmtId="9" fontId="2" fillId="0" borderId="0" xfId="1" applyNumberFormat="1" applyFont="1" applyBorder="1"/>
    <xf numFmtId="9" fontId="2" fillId="0" borderId="0" xfId="2" applyFont="1" applyBorder="1"/>
    <xf numFmtId="9" fontId="2" fillId="0" borderId="7" xfId="2" applyFont="1" applyBorder="1"/>
    <xf numFmtId="9" fontId="2" fillId="0" borderId="4" xfId="2" applyFont="1" applyBorder="1"/>
    <xf numFmtId="165" fontId="2" fillId="0" borderId="0" xfId="2" applyNumberFormat="1" applyFont="1" applyFill="1" applyBorder="1" applyAlignment="1">
      <alignment horizontal="center"/>
    </xf>
    <xf numFmtId="165" fontId="2" fillId="0" borderId="7" xfId="2" applyNumberFormat="1" applyFont="1" applyFill="1" applyBorder="1" applyAlignment="1">
      <alignment horizontal="center"/>
    </xf>
    <xf numFmtId="165" fontId="2" fillId="0" borderId="4" xfId="2" applyNumberFormat="1" applyFont="1" applyFill="1" applyBorder="1" applyAlignment="1">
      <alignment horizontal="center"/>
    </xf>
    <xf numFmtId="165" fontId="2" fillId="0" borderId="0" xfId="2" applyNumberFormat="1" applyFont="1" applyBorder="1" applyAlignment="1">
      <alignment horizontal="center"/>
    </xf>
    <xf numFmtId="165" fontId="2" fillId="0" borderId="7" xfId="2" applyNumberFormat="1" applyFon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165" fontId="6" fillId="0" borderId="7" xfId="2" applyNumberFormat="1" applyFont="1" applyBorder="1" applyAlignment="1">
      <alignment horizontal="center"/>
    </xf>
    <xf numFmtId="165" fontId="6" fillId="0" borderId="4" xfId="2" applyNumberFormat="1" applyFont="1" applyBorder="1" applyAlignment="1">
      <alignment horizontal="center"/>
    </xf>
    <xf numFmtId="166" fontId="2" fillId="0" borderId="0" xfId="3" applyNumberFormat="1" applyFont="1" applyFill="1" applyBorder="1"/>
    <xf numFmtId="169" fontId="2" fillId="0" borderId="0" xfId="1" applyNumberFormat="1" applyFont="1" applyFill="1" applyBorder="1" applyAlignment="1">
      <alignment horizontal="center"/>
    </xf>
    <xf numFmtId="169" fontId="6" fillId="0" borderId="0" xfId="1" applyNumberFormat="1" applyFont="1" applyFill="1" applyBorder="1" applyAlignment="1">
      <alignment horizontal="center"/>
    </xf>
    <xf numFmtId="166" fontId="2" fillId="0" borderId="0" xfId="3" applyNumberFormat="1" applyFont="1" applyFill="1" applyBorder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165" fontId="3" fillId="0" borderId="5" xfId="2" applyNumberFormat="1" applyFont="1" applyBorder="1" applyAlignment="1">
      <alignment horizontal="center"/>
    </xf>
    <xf numFmtId="165" fontId="3" fillId="0" borderId="6" xfId="2" applyNumberFormat="1" applyFont="1" applyBorder="1" applyAlignment="1">
      <alignment horizontal="center"/>
    </xf>
    <xf numFmtId="0" fontId="3" fillId="2" borderId="9" xfId="0" applyFont="1" applyFill="1" applyBorder="1" applyAlignment="1">
      <alignment vertical="center" wrapText="1"/>
    </xf>
    <xf numFmtId="0" fontId="2" fillId="0" borderId="10" xfId="0" applyFont="1" applyBorder="1"/>
    <xf numFmtId="0" fontId="3" fillId="0" borderId="10" xfId="0" applyFont="1" applyBorder="1"/>
    <xf numFmtId="0" fontId="3" fillId="3" borderId="10" xfId="0" applyFont="1" applyFill="1" applyBorder="1"/>
    <xf numFmtId="0" fontId="4" fillId="0" borderId="10" xfId="0" applyFont="1" applyBorder="1" applyAlignment="1">
      <alignment horizontal="left" indent="1"/>
    </xf>
    <xf numFmtId="0" fontId="3" fillId="4" borderId="10" xfId="0" applyFont="1" applyFill="1" applyBorder="1"/>
    <xf numFmtId="0" fontId="5" fillId="0" borderId="10" xfId="0" applyFont="1" applyBorder="1"/>
    <xf numFmtId="0" fontId="7" fillId="0" borderId="10" xfId="0" applyFont="1" applyBorder="1" applyAlignment="1">
      <alignment horizontal="left" indent="1"/>
    </xf>
    <xf numFmtId="165" fontId="2" fillId="0" borderId="10" xfId="2" applyNumberFormat="1" applyFont="1" applyBorder="1"/>
    <xf numFmtId="0" fontId="4" fillId="4" borderId="10" xfId="0" applyFont="1" applyFill="1" applyBorder="1"/>
    <xf numFmtId="0" fontId="2" fillId="4" borderId="10" xfId="0" applyFont="1" applyFill="1" applyBorder="1"/>
    <xf numFmtId="0" fontId="2" fillId="0" borderId="11" xfId="0" applyFont="1" applyBorder="1"/>
    <xf numFmtId="0" fontId="3" fillId="0" borderId="0" xfId="0" applyFont="1" applyAlignment="1">
      <alignment horizontal="center" vertical="center"/>
    </xf>
    <xf numFmtId="169" fontId="4" fillId="0" borderId="7" xfId="1" applyNumberFormat="1" applyFont="1" applyFill="1" applyBorder="1"/>
    <xf numFmtId="169" fontId="4" fillId="0" borderId="0" xfId="1" applyNumberFormat="1" applyFont="1" applyFill="1" applyBorder="1"/>
    <xf numFmtId="9" fontId="2" fillId="0" borderId="4" xfId="2" applyFont="1" applyFill="1" applyBorder="1"/>
    <xf numFmtId="9" fontId="2" fillId="0" borderId="0" xfId="2" applyFont="1" applyFill="1" applyBorder="1"/>
    <xf numFmtId="9" fontId="2" fillId="0" borderId="4" xfId="1" applyNumberFormat="1" applyFont="1" applyBorder="1"/>
    <xf numFmtId="0" fontId="10" fillId="0" borderId="10" xfId="0" applyFont="1" applyBorder="1"/>
    <xf numFmtId="0" fontId="8" fillId="0" borderId="0" xfId="0" applyFont="1"/>
    <xf numFmtId="9" fontId="10" fillId="0" borderId="7" xfId="3" applyNumberFormat="1" applyFont="1" applyBorder="1" applyAlignment="1">
      <alignment horizontal="center"/>
    </xf>
    <xf numFmtId="9" fontId="10" fillId="0" borderId="0" xfId="3" applyNumberFormat="1" applyFont="1" applyBorder="1" applyAlignment="1">
      <alignment horizontal="center"/>
    </xf>
    <xf numFmtId="9" fontId="10" fillId="0" borderId="4" xfId="3" applyNumberFormat="1" applyFont="1" applyBorder="1" applyAlignment="1">
      <alignment horizontal="center"/>
    </xf>
    <xf numFmtId="9" fontId="8" fillId="0" borderId="7" xfId="2" applyFont="1" applyBorder="1"/>
    <xf numFmtId="9" fontId="8" fillId="0" borderId="0" xfId="2" applyFont="1" applyBorder="1"/>
    <xf numFmtId="9" fontId="8" fillId="0" borderId="4" xfId="2" applyFont="1" applyBorder="1"/>
    <xf numFmtId="0" fontId="3" fillId="0" borderId="0" xfId="0" applyFont="1" applyAlignment="1">
      <alignment horizontal="center" vertical="center" wrapText="1"/>
    </xf>
    <xf numFmtId="166" fontId="3" fillId="0" borderId="0" xfId="3" applyNumberFormat="1" applyFont="1" applyFill="1" applyBorder="1"/>
    <xf numFmtId="9" fontId="2" fillId="0" borderId="0" xfId="1" applyNumberFormat="1" applyFont="1" applyFill="1" applyBorder="1"/>
    <xf numFmtId="166" fontId="10" fillId="0" borderId="0" xfId="3" applyNumberFormat="1" applyFont="1" applyFill="1" applyBorder="1"/>
    <xf numFmtId="9" fontId="8" fillId="0" borderId="0" xfId="2" applyFont="1" applyFill="1" applyBorder="1"/>
    <xf numFmtId="165" fontId="6" fillId="0" borderId="0" xfId="2" applyNumberFormat="1" applyFont="1" applyFill="1" applyBorder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165" fontId="8" fillId="0" borderId="7" xfId="2" applyNumberFormat="1" applyFont="1" applyBorder="1" applyAlignment="1">
      <alignment horizontal="center"/>
    </xf>
    <xf numFmtId="165" fontId="8" fillId="0" borderId="0" xfId="2" applyNumberFormat="1" applyFont="1" applyBorder="1" applyAlignment="1">
      <alignment horizontal="center"/>
    </xf>
    <xf numFmtId="165" fontId="8" fillId="0" borderId="4" xfId="2" applyNumberFormat="1" applyFont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7" xfId="2" applyNumberFormat="1" applyFont="1" applyFill="1" applyBorder="1" applyAlignment="1">
      <alignment horizontal="center"/>
    </xf>
    <xf numFmtId="165" fontId="8" fillId="0" borderId="4" xfId="2" applyNumberFormat="1" applyFont="1" applyFill="1" applyBorder="1" applyAlignment="1">
      <alignment horizontal="center"/>
    </xf>
    <xf numFmtId="0" fontId="4" fillId="0" borderId="10" xfId="0" applyFont="1" applyBorder="1"/>
    <xf numFmtId="166" fontId="8" fillId="0" borderId="7" xfId="3" applyNumberFormat="1" applyFont="1" applyFill="1" applyBorder="1" applyAlignment="1">
      <alignment horizontal="center"/>
    </xf>
    <xf numFmtId="166" fontId="8" fillId="0" borderId="0" xfId="3" applyNumberFormat="1" applyFont="1" applyFill="1" applyBorder="1" applyAlignment="1">
      <alignment horizontal="center"/>
    </xf>
    <xf numFmtId="166" fontId="8" fillId="0" borderId="4" xfId="3" applyNumberFormat="1" applyFont="1" applyFill="1" applyBorder="1" applyAlignment="1">
      <alignment horizontal="center"/>
    </xf>
    <xf numFmtId="169" fontId="8" fillId="0" borderId="0" xfId="1" applyNumberFormat="1" applyFont="1" applyFill="1" applyBorder="1" applyAlignment="1">
      <alignment horizontal="center"/>
    </xf>
    <xf numFmtId="169" fontId="8" fillId="0" borderId="4" xfId="1" applyNumberFormat="1" applyFont="1" applyFill="1" applyBorder="1" applyAlignment="1">
      <alignment horizontal="center"/>
    </xf>
    <xf numFmtId="169" fontId="8" fillId="0" borderId="7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6" fontId="10" fillId="0" borderId="7" xfId="3" applyNumberFormat="1" applyFont="1" applyFill="1" applyBorder="1"/>
    <xf numFmtId="166" fontId="10" fillId="0" borderId="4" xfId="3" applyNumberFormat="1" applyFont="1" applyFill="1" applyBorder="1"/>
    <xf numFmtId="0" fontId="9" fillId="0" borderId="10" xfId="0" applyFont="1" applyBorder="1"/>
    <xf numFmtId="166" fontId="8" fillId="0" borderId="7" xfId="0" applyNumberFormat="1" applyFont="1" applyBorder="1"/>
    <xf numFmtId="0" fontId="8" fillId="0" borderId="4" xfId="0" applyFont="1" applyBorder="1"/>
    <xf numFmtId="9" fontId="10" fillId="0" borderId="7" xfId="3" applyNumberFormat="1" applyFont="1" applyFill="1" applyBorder="1"/>
    <xf numFmtId="9" fontId="10" fillId="0" borderId="0" xfId="3" applyNumberFormat="1" applyFont="1" applyFill="1" applyBorder="1"/>
    <xf numFmtId="9" fontId="10" fillId="0" borderId="4" xfId="3" applyNumberFormat="1" applyFont="1" applyFill="1" applyBorder="1"/>
    <xf numFmtId="9" fontId="8" fillId="0" borderId="7" xfId="3" applyNumberFormat="1" applyFont="1" applyFill="1" applyBorder="1"/>
    <xf numFmtId="9" fontId="8" fillId="0" borderId="0" xfId="3" applyNumberFormat="1" applyFont="1" applyFill="1" applyBorder="1"/>
    <xf numFmtId="9" fontId="8" fillId="0" borderId="4" xfId="3" applyNumberFormat="1" applyFont="1" applyFill="1" applyBorder="1"/>
    <xf numFmtId="170" fontId="2" fillId="0" borderId="0" xfId="0" applyNumberFormat="1" applyFont="1" applyAlignment="1">
      <alignment vertical="center"/>
    </xf>
    <xf numFmtId="37" fontId="2" fillId="0" borderId="0" xfId="0" applyNumberFormat="1" applyFont="1" applyAlignment="1">
      <alignment horizontal="center" vertical="center"/>
    </xf>
    <xf numFmtId="165" fontId="2" fillId="0" borderId="0" xfId="2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/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165" fontId="1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165" fontId="2" fillId="0" borderId="0" xfId="2" applyNumberFormat="1" applyFont="1"/>
    <xf numFmtId="9" fontId="11" fillId="0" borderId="0" xfId="0" applyNumberFormat="1" applyFont="1" applyAlignment="1">
      <alignment horizontal="center"/>
    </xf>
    <xf numFmtId="171" fontId="11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3" fontId="2" fillId="0" borderId="0" xfId="0" applyNumberFormat="1" applyFont="1"/>
    <xf numFmtId="9" fontId="11" fillId="0" borderId="0" xfId="0" applyNumberFormat="1" applyFont="1"/>
    <xf numFmtId="166" fontId="2" fillId="0" borderId="0" xfId="0" applyNumberFormat="1" applyFont="1" applyAlignment="1">
      <alignment horizontal="right" vertical="center"/>
    </xf>
    <xf numFmtId="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2" fillId="0" borderId="7" xfId="3" applyNumberFormat="1" applyFont="1" applyBorder="1" applyAlignment="1">
      <alignment horizontal="right" vertical="center"/>
    </xf>
    <xf numFmtId="166" fontId="2" fillId="0" borderId="0" xfId="3" applyNumberFormat="1" applyFont="1" applyBorder="1" applyAlignment="1">
      <alignment horizontal="right" vertical="center"/>
    </xf>
    <xf numFmtId="166" fontId="2" fillId="0" borderId="4" xfId="3" applyNumberFormat="1" applyFont="1" applyBorder="1" applyAlignment="1">
      <alignment horizontal="right" vertical="center"/>
    </xf>
    <xf numFmtId="166" fontId="3" fillId="3" borderId="7" xfId="3" applyNumberFormat="1" applyFont="1" applyFill="1" applyBorder="1" applyAlignment="1">
      <alignment horizontal="right" vertical="center"/>
    </xf>
    <xf numFmtId="166" fontId="3" fillId="3" borderId="0" xfId="3" applyNumberFormat="1" applyFont="1" applyFill="1" applyBorder="1" applyAlignment="1">
      <alignment horizontal="right" vertical="center"/>
    </xf>
    <xf numFmtId="166" fontId="3" fillId="3" borderId="4" xfId="3" applyNumberFormat="1" applyFont="1" applyFill="1" applyBorder="1" applyAlignment="1">
      <alignment horizontal="right" vertical="center"/>
    </xf>
    <xf numFmtId="166" fontId="3" fillId="0" borderId="7" xfId="3" applyNumberFormat="1" applyFont="1" applyBorder="1" applyAlignment="1">
      <alignment horizontal="right" vertical="center"/>
    </xf>
    <xf numFmtId="166" fontId="3" fillId="0" borderId="0" xfId="3" applyNumberFormat="1" applyFont="1" applyBorder="1" applyAlignment="1">
      <alignment horizontal="right" vertical="center"/>
    </xf>
    <xf numFmtId="166" fontId="3" fillId="0" borderId="4" xfId="3" applyNumberFormat="1" applyFont="1" applyBorder="1" applyAlignment="1">
      <alignment horizontal="right" vertical="center"/>
    </xf>
    <xf numFmtId="166" fontId="3" fillId="4" borderId="7" xfId="3" applyNumberFormat="1" applyFont="1" applyFill="1" applyBorder="1" applyAlignment="1">
      <alignment horizontal="right" vertical="center"/>
    </xf>
    <xf numFmtId="166" fontId="3" fillId="4" borderId="0" xfId="3" applyNumberFormat="1" applyFont="1" applyFill="1" applyBorder="1" applyAlignment="1">
      <alignment horizontal="right" vertical="center"/>
    </xf>
    <xf numFmtId="166" fontId="3" fillId="4" borderId="4" xfId="3" applyNumberFormat="1" applyFont="1" applyFill="1" applyBorder="1" applyAlignment="1">
      <alignment horizontal="right" vertical="center"/>
    </xf>
    <xf numFmtId="9" fontId="2" fillId="0" borderId="7" xfId="3" applyNumberFormat="1" applyFont="1" applyBorder="1" applyAlignment="1">
      <alignment horizontal="right" vertical="center"/>
    </xf>
    <xf numFmtId="167" fontId="2" fillId="0" borderId="0" xfId="3" applyNumberFormat="1" applyFont="1" applyBorder="1" applyAlignment="1">
      <alignment horizontal="right" vertical="center"/>
    </xf>
    <xf numFmtId="167" fontId="2" fillId="0" borderId="4" xfId="3" applyNumberFormat="1" applyFont="1" applyBorder="1" applyAlignment="1">
      <alignment horizontal="right" vertical="center"/>
    </xf>
    <xf numFmtId="9" fontId="2" fillId="0" borderId="7" xfId="1" applyNumberFormat="1" applyFont="1" applyBorder="1" applyAlignment="1">
      <alignment horizontal="right" vertical="center"/>
    </xf>
    <xf numFmtId="9" fontId="2" fillId="0" borderId="0" xfId="1" applyNumberFormat="1" applyFont="1" applyBorder="1" applyAlignment="1">
      <alignment horizontal="right" vertical="center"/>
    </xf>
    <xf numFmtId="9" fontId="2" fillId="0" borderId="4" xfId="1" applyNumberFormat="1" applyFont="1" applyBorder="1" applyAlignment="1">
      <alignment horizontal="right" vertical="center"/>
    </xf>
    <xf numFmtId="166" fontId="10" fillId="0" borderId="7" xfId="3" applyNumberFormat="1" applyFont="1" applyBorder="1" applyAlignment="1">
      <alignment horizontal="right" vertical="center"/>
    </xf>
    <xf numFmtId="166" fontId="10" fillId="0" borderId="0" xfId="3" applyNumberFormat="1" applyFont="1" applyBorder="1" applyAlignment="1">
      <alignment horizontal="right" vertical="center"/>
    </xf>
    <xf numFmtId="166" fontId="10" fillId="0" borderId="4" xfId="3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9" fontId="8" fillId="0" borderId="7" xfId="2" applyFont="1" applyBorder="1" applyAlignment="1">
      <alignment horizontal="right" vertical="center"/>
    </xf>
    <xf numFmtId="9" fontId="8" fillId="0" borderId="0" xfId="2" applyFont="1" applyBorder="1" applyAlignment="1">
      <alignment horizontal="right" vertical="center"/>
    </xf>
    <xf numFmtId="9" fontId="8" fillId="0" borderId="4" xfId="2" applyFont="1" applyBorder="1" applyAlignment="1">
      <alignment horizontal="right" vertical="center"/>
    </xf>
    <xf numFmtId="9" fontId="2" fillId="0" borderId="7" xfId="2" applyFont="1" applyBorder="1" applyAlignment="1">
      <alignment horizontal="right" vertical="center"/>
    </xf>
    <xf numFmtId="9" fontId="2" fillId="0" borderId="0" xfId="2" applyFont="1" applyBorder="1" applyAlignment="1">
      <alignment horizontal="right" vertical="center"/>
    </xf>
    <xf numFmtId="9" fontId="2" fillId="0" borderId="4" xfId="2" applyFont="1" applyBorder="1" applyAlignment="1">
      <alignment horizontal="right" vertical="center"/>
    </xf>
    <xf numFmtId="168" fontId="4" fillId="0" borderId="7" xfId="0" applyNumberFormat="1" applyFont="1" applyBorder="1" applyAlignment="1">
      <alignment horizontal="right" vertical="center"/>
    </xf>
    <xf numFmtId="168" fontId="4" fillId="0" borderId="0" xfId="0" applyNumberFormat="1" applyFont="1" applyAlignment="1">
      <alignment horizontal="right" vertical="center"/>
    </xf>
    <xf numFmtId="169" fontId="4" fillId="0" borderId="7" xfId="1" applyNumberFormat="1" applyFont="1" applyFill="1" applyBorder="1" applyAlignment="1">
      <alignment horizontal="right" vertical="center"/>
    </xf>
    <xf numFmtId="169" fontId="4" fillId="0" borderId="0" xfId="1" applyNumberFormat="1" applyFont="1" applyFill="1" applyBorder="1" applyAlignment="1">
      <alignment horizontal="right" vertical="center"/>
    </xf>
    <xf numFmtId="9" fontId="2" fillId="0" borderId="4" xfId="2" applyFont="1" applyFill="1" applyBorder="1" applyAlignment="1">
      <alignment horizontal="right" vertical="center"/>
    </xf>
    <xf numFmtId="165" fontId="2" fillId="0" borderId="7" xfId="2" applyNumberFormat="1" applyFont="1" applyBorder="1" applyAlignment="1">
      <alignment horizontal="right" vertical="center"/>
    </xf>
    <xf numFmtId="165" fontId="2" fillId="0" borderId="0" xfId="2" applyNumberFormat="1" applyFont="1" applyBorder="1" applyAlignment="1">
      <alignment horizontal="right" vertical="center"/>
    </xf>
    <xf numFmtId="165" fontId="2" fillId="0" borderId="4" xfId="2" applyNumberFormat="1" applyFont="1" applyBorder="1" applyAlignment="1">
      <alignment horizontal="right" vertical="center"/>
    </xf>
    <xf numFmtId="165" fontId="2" fillId="0" borderId="7" xfId="2" applyNumberFormat="1" applyFont="1" applyFill="1" applyBorder="1" applyAlignment="1">
      <alignment horizontal="right" vertical="center"/>
    </xf>
    <xf numFmtId="165" fontId="2" fillId="0" borderId="0" xfId="2" applyNumberFormat="1" applyFont="1" applyFill="1" applyBorder="1" applyAlignment="1">
      <alignment horizontal="right" vertical="center"/>
    </xf>
    <xf numFmtId="165" fontId="2" fillId="0" borderId="4" xfId="2" applyNumberFormat="1" applyFont="1" applyFill="1" applyBorder="1" applyAlignment="1">
      <alignment horizontal="right" vertical="center"/>
    </xf>
    <xf numFmtId="165" fontId="2" fillId="7" borderId="7" xfId="2" applyNumberFormat="1" applyFont="1" applyFill="1" applyBorder="1" applyAlignment="1">
      <alignment horizontal="right" vertical="center"/>
    </xf>
    <xf numFmtId="165" fontId="2" fillId="7" borderId="0" xfId="2" applyNumberFormat="1" applyFont="1" applyFill="1" applyBorder="1" applyAlignment="1">
      <alignment horizontal="right" vertical="center"/>
    </xf>
    <xf numFmtId="165" fontId="2" fillId="7" borderId="4" xfId="2" applyNumberFormat="1" applyFont="1" applyFill="1" applyBorder="1" applyAlignment="1">
      <alignment horizontal="right" vertical="center"/>
    </xf>
    <xf numFmtId="165" fontId="8" fillId="7" borderId="7" xfId="2" applyNumberFormat="1" applyFont="1" applyFill="1" applyBorder="1" applyAlignment="1">
      <alignment horizontal="right" vertical="center"/>
    </xf>
    <xf numFmtId="165" fontId="8" fillId="7" borderId="0" xfId="2" applyNumberFormat="1" applyFont="1" applyFill="1" applyBorder="1" applyAlignment="1">
      <alignment horizontal="right" vertical="center"/>
    </xf>
    <xf numFmtId="165" fontId="8" fillId="7" borderId="4" xfId="2" applyNumberFormat="1" applyFont="1" applyFill="1" applyBorder="1" applyAlignment="1">
      <alignment horizontal="right" vertical="center"/>
    </xf>
    <xf numFmtId="165" fontId="8" fillId="0" borderId="7" xfId="2" applyNumberFormat="1" applyFont="1" applyBorder="1" applyAlignment="1">
      <alignment horizontal="right" vertical="center"/>
    </xf>
    <xf numFmtId="165" fontId="8" fillId="0" borderId="0" xfId="2" applyNumberFormat="1" applyFont="1" applyBorder="1" applyAlignment="1">
      <alignment horizontal="right" vertical="center"/>
    </xf>
    <xf numFmtId="165" fontId="8" fillId="0" borderId="4" xfId="2" applyNumberFormat="1" applyFont="1" applyBorder="1" applyAlignment="1">
      <alignment horizontal="right" vertical="center"/>
    </xf>
    <xf numFmtId="165" fontId="8" fillId="6" borderId="7" xfId="2" applyNumberFormat="1" applyFont="1" applyFill="1" applyBorder="1" applyAlignment="1">
      <alignment horizontal="right" vertical="center"/>
    </xf>
    <xf numFmtId="165" fontId="8" fillId="6" borderId="0" xfId="2" applyNumberFormat="1" applyFont="1" applyFill="1" applyBorder="1" applyAlignment="1">
      <alignment horizontal="right" vertical="center"/>
    </xf>
    <xf numFmtId="165" fontId="8" fillId="6" borderId="4" xfId="2" applyNumberFormat="1" applyFont="1" applyFill="1" applyBorder="1" applyAlignment="1">
      <alignment horizontal="right" vertical="center"/>
    </xf>
    <xf numFmtId="0" fontId="8" fillId="6" borderId="0" xfId="0" applyFont="1" applyFill="1" applyAlignment="1">
      <alignment vertical="center"/>
    </xf>
    <xf numFmtId="165" fontId="10" fillId="8" borderId="7" xfId="2" applyNumberFormat="1" applyFont="1" applyFill="1" applyBorder="1" applyAlignment="1">
      <alignment horizontal="right" vertical="center"/>
    </xf>
    <xf numFmtId="165" fontId="10" fillId="8" borderId="0" xfId="2" applyNumberFormat="1" applyFont="1" applyFill="1" applyBorder="1" applyAlignment="1">
      <alignment horizontal="right" vertical="center"/>
    </xf>
    <xf numFmtId="165" fontId="10" fillId="8" borderId="4" xfId="2" applyNumberFormat="1" applyFont="1" applyFill="1" applyBorder="1" applyAlignment="1">
      <alignment horizontal="right" vertical="center"/>
    </xf>
    <xf numFmtId="165" fontId="2" fillId="6" borderId="7" xfId="2" applyNumberFormat="1" applyFont="1" applyFill="1" applyBorder="1" applyAlignment="1">
      <alignment horizontal="right" vertical="center"/>
    </xf>
    <xf numFmtId="165" fontId="2" fillId="6" borderId="0" xfId="2" applyNumberFormat="1" applyFont="1" applyFill="1" applyBorder="1" applyAlignment="1">
      <alignment horizontal="right" vertical="center"/>
    </xf>
    <xf numFmtId="165" fontId="2" fillId="6" borderId="4" xfId="2" applyNumberFormat="1" applyFont="1" applyFill="1" applyBorder="1" applyAlignment="1">
      <alignment horizontal="right" vertical="center"/>
    </xf>
    <xf numFmtId="165" fontId="8" fillId="0" borderId="0" xfId="2" applyNumberFormat="1" applyFont="1" applyFill="1" applyBorder="1" applyAlignment="1">
      <alignment horizontal="right" vertical="center"/>
    </xf>
    <xf numFmtId="165" fontId="8" fillId="0" borderId="7" xfId="2" applyNumberFormat="1" applyFont="1" applyFill="1" applyBorder="1" applyAlignment="1">
      <alignment horizontal="right" vertical="center"/>
    </xf>
    <xf numFmtId="165" fontId="8" fillId="0" borderId="4" xfId="2" applyNumberFormat="1" applyFont="1" applyFill="1" applyBorder="1" applyAlignment="1">
      <alignment horizontal="right" vertical="center"/>
    </xf>
    <xf numFmtId="166" fontId="8" fillId="0" borderId="7" xfId="3" applyNumberFormat="1" applyFont="1" applyFill="1" applyBorder="1" applyAlignment="1">
      <alignment horizontal="right" vertical="center"/>
    </xf>
    <xf numFmtId="166" fontId="8" fillId="0" borderId="0" xfId="3" applyNumberFormat="1" applyFont="1" applyFill="1" applyBorder="1" applyAlignment="1">
      <alignment horizontal="right" vertical="center"/>
    </xf>
    <xf numFmtId="166" fontId="8" fillId="0" borderId="4" xfId="3" applyNumberFormat="1" applyFont="1" applyFill="1" applyBorder="1" applyAlignment="1">
      <alignment horizontal="right" vertical="center"/>
    </xf>
    <xf numFmtId="166" fontId="8" fillId="5" borderId="7" xfId="3" applyNumberFormat="1" applyFont="1" applyFill="1" applyBorder="1" applyAlignment="1">
      <alignment horizontal="right" vertical="center"/>
    </xf>
    <xf numFmtId="166" fontId="8" fillId="5" borderId="0" xfId="3" applyNumberFormat="1" applyFont="1" applyFill="1" applyBorder="1" applyAlignment="1">
      <alignment horizontal="right" vertical="center"/>
    </xf>
    <xf numFmtId="166" fontId="8" fillId="5" borderId="4" xfId="3" applyNumberFormat="1" applyFont="1" applyFill="1" applyBorder="1" applyAlignment="1">
      <alignment horizontal="right" vertical="center"/>
    </xf>
    <xf numFmtId="166" fontId="10" fillId="5" borderId="7" xfId="3" applyNumberFormat="1" applyFont="1" applyFill="1" applyBorder="1" applyAlignment="1">
      <alignment horizontal="right" vertical="center"/>
    </xf>
    <xf numFmtId="166" fontId="10" fillId="5" borderId="0" xfId="3" applyNumberFormat="1" applyFont="1" applyFill="1" applyBorder="1" applyAlignment="1">
      <alignment horizontal="right" vertical="center"/>
    </xf>
    <xf numFmtId="166" fontId="10" fillId="5" borderId="4" xfId="3" applyNumberFormat="1" applyFont="1" applyFill="1" applyBorder="1" applyAlignment="1">
      <alignment horizontal="right" vertical="center"/>
    </xf>
    <xf numFmtId="170" fontId="10" fillId="5" borderId="7" xfId="3" applyNumberFormat="1" applyFont="1" applyFill="1" applyBorder="1" applyAlignment="1">
      <alignment horizontal="right" vertical="center"/>
    </xf>
    <xf numFmtId="170" fontId="10" fillId="5" borderId="0" xfId="3" applyNumberFormat="1" applyFont="1" applyFill="1" applyBorder="1" applyAlignment="1">
      <alignment horizontal="right" vertical="center"/>
    </xf>
    <xf numFmtId="170" fontId="10" fillId="5" borderId="4" xfId="3" applyNumberFormat="1" applyFont="1" applyFill="1" applyBorder="1" applyAlignment="1">
      <alignment horizontal="right" vertical="center"/>
    </xf>
    <xf numFmtId="9" fontId="10" fillId="5" borderId="7" xfId="3" applyNumberFormat="1" applyFont="1" applyFill="1" applyBorder="1" applyAlignment="1">
      <alignment horizontal="right" vertical="center"/>
    </xf>
    <xf numFmtId="9" fontId="10" fillId="5" borderId="0" xfId="3" applyNumberFormat="1" applyFont="1" applyFill="1" applyBorder="1" applyAlignment="1">
      <alignment horizontal="right" vertical="center"/>
    </xf>
    <xf numFmtId="9" fontId="10" fillId="5" borderId="4" xfId="3" applyNumberFormat="1" applyFont="1" applyFill="1" applyBorder="1" applyAlignment="1">
      <alignment horizontal="right" vertical="center"/>
    </xf>
    <xf numFmtId="9" fontId="8" fillId="0" borderId="0" xfId="0" applyNumberFormat="1" applyFont="1" applyAlignment="1">
      <alignment vertical="center"/>
    </xf>
    <xf numFmtId="166" fontId="10" fillId="0" borderId="7" xfId="3" applyNumberFormat="1" applyFont="1" applyFill="1" applyBorder="1" applyAlignment="1">
      <alignment horizontal="right" vertical="center"/>
    </xf>
    <xf numFmtId="166" fontId="10" fillId="0" borderId="0" xfId="3" applyNumberFormat="1" applyFont="1" applyFill="1" applyBorder="1" applyAlignment="1">
      <alignment horizontal="right" vertical="center"/>
    </xf>
    <xf numFmtId="166" fontId="10" fillId="0" borderId="4" xfId="3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66" fontId="8" fillId="0" borderId="7" xfId="0" applyNumberFormat="1" applyFont="1" applyBorder="1" applyAlignment="1">
      <alignment horizontal="right" vertical="center"/>
    </xf>
    <xf numFmtId="169" fontId="8" fillId="0" borderId="0" xfId="1" applyNumberFormat="1" applyFont="1" applyFill="1" applyBorder="1" applyAlignment="1">
      <alignment horizontal="right" vertical="center"/>
    </xf>
    <xf numFmtId="169" fontId="8" fillId="0" borderId="4" xfId="1" applyNumberFormat="1" applyFont="1" applyFill="1" applyBorder="1" applyAlignment="1">
      <alignment horizontal="right" vertical="center"/>
    </xf>
    <xf numFmtId="169" fontId="8" fillId="0" borderId="7" xfId="1" applyNumberFormat="1" applyFont="1" applyFill="1" applyBorder="1" applyAlignment="1">
      <alignment horizontal="right" vertical="center"/>
    </xf>
    <xf numFmtId="9" fontId="3" fillId="0" borderId="8" xfId="2" applyFont="1" applyBorder="1" applyAlignment="1">
      <alignment horizontal="right" vertical="center"/>
    </xf>
    <xf numFmtId="9" fontId="3" fillId="0" borderId="5" xfId="2" applyFont="1" applyBorder="1" applyAlignment="1">
      <alignment horizontal="right" vertical="center"/>
    </xf>
    <xf numFmtId="9" fontId="3" fillId="0" borderId="6" xfId="2" applyFont="1" applyBorder="1" applyAlignment="1">
      <alignment horizontal="right" vertical="center"/>
    </xf>
    <xf numFmtId="165" fontId="3" fillId="0" borderId="8" xfId="2" applyNumberFormat="1" applyFont="1" applyBorder="1" applyAlignment="1">
      <alignment horizontal="right" vertical="center"/>
    </xf>
    <xf numFmtId="165" fontId="3" fillId="0" borderId="5" xfId="2" applyNumberFormat="1" applyFont="1" applyBorder="1" applyAlignment="1">
      <alignment horizontal="right" vertical="center"/>
    </xf>
    <xf numFmtId="165" fontId="3" fillId="0" borderId="6" xfId="2" applyNumberFormat="1" applyFont="1" applyBorder="1" applyAlignment="1">
      <alignment horizontal="right" vertical="center"/>
    </xf>
    <xf numFmtId="166" fontId="2" fillId="0" borderId="0" xfId="0" applyNumberFormat="1" applyFont="1"/>
    <xf numFmtId="165" fontId="8" fillId="0" borderId="7" xfId="3" applyNumberFormat="1" applyFont="1" applyFill="1" applyBorder="1"/>
    <xf numFmtId="165" fontId="8" fillId="0" borderId="0" xfId="3" applyNumberFormat="1" applyFont="1" applyFill="1" applyBorder="1"/>
    <xf numFmtId="165" fontId="8" fillId="0" borderId="4" xfId="3" applyNumberFormat="1" applyFont="1" applyFill="1" applyBorder="1"/>
    <xf numFmtId="9" fontId="10" fillId="5" borderId="0" xfId="2" applyFont="1" applyFill="1" applyBorder="1" applyAlignment="1">
      <alignment horizontal="right" vertical="center"/>
    </xf>
    <xf numFmtId="9" fontId="10" fillId="5" borderId="7" xfId="2" applyFont="1" applyFill="1" applyBorder="1" applyAlignment="1">
      <alignment horizontal="right" vertical="center"/>
    </xf>
    <xf numFmtId="9" fontId="11" fillId="0" borderId="0" xfId="0" applyNumberFormat="1" applyFont="1" applyAlignment="1">
      <alignment horizontal="center" vertical="center"/>
    </xf>
    <xf numFmtId="170" fontId="2" fillId="5" borderId="7" xfId="3" applyNumberFormat="1" applyFont="1" applyFill="1" applyBorder="1" applyAlignment="1">
      <alignment horizontal="right" vertical="center"/>
    </xf>
    <xf numFmtId="166" fontId="2" fillId="5" borderId="0" xfId="3" applyNumberFormat="1" applyFont="1" applyFill="1" applyBorder="1" applyAlignment="1">
      <alignment horizontal="right" vertical="center"/>
    </xf>
    <xf numFmtId="166" fontId="2" fillId="5" borderId="4" xfId="3" applyNumberFormat="1" applyFont="1" applyFill="1" applyBorder="1" applyAlignment="1">
      <alignment horizontal="right" vertical="center"/>
    </xf>
    <xf numFmtId="166" fontId="11" fillId="0" borderId="0" xfId="0" applyNumberFormat="1" applyFont="1" applyAlignment="1">
      <alignment horizontal="right" vertical="center"/>
    </xf>
    <xf numFmtId="43" fontId="2" fillId="0" borderId="0" xfId="0" applyNumberFormat="1" applyFont="1" applyAlignment="1">
      <alignment horizontal="right" vertical="center"/>
    </xf>
    <xf numFmtId="170" fontId="2" fillId="0" borderId="0" xfId="1" applyNumberFormat="1" applyFont="1" applyAlignment="1">
      <alignment horizontal="right" vertical="center"/>
    </xf>
    <xf numFmtId="170" fontId="11" fillId="0" borderId="0" xfId="1" applyNumberFormat="1" applyFont="1" applyAlignment="1">
      <alignment horizontal="right" vertical="center"/>
    </xf>
    <xf numFmtId="170" fontId="8" fillId="0" borderId="7" xfId="3" applyNumberFormat="1" applyFont="1" applyFill="1" applyBorder="1" applyAlignment="1">
      <alignment horizontal="right" vertical="center"/>
    </xf>
    <xf numFmtId="170" fontId="8" fillId="0" borderId="0" xfId="3" applyNumberFormat="1" applyFont="1" applyFill="1" applyBorder="1" applyAlignment="1">
      <alignment horizontal="right" vertical="center"/>
    </xf>
    <xf numFmtId="166" fontId="2" fillId="0" borderId="7" xfId="3" applyNumberFormat="1" applyFont="1" applyFill="1" applyBorder="1" applyAlignment="1">
      <alignment horizontal="right" vertical="center"/>
    </xf>
    <xf numFmtId="166" fontId="2" fillId="0" borderId="0" xfId="3" applyNumberFormat="1" applyFont="1" applyFill="1" applyBorder="1" applyAlignment="1">
      <alignment horizontal="right" vertical="center"/>
    </xf>
    <xf numFmtId="166" fontId="2" fillId="0" borderId="4" xfId="3" applyNumberFormat="1" applyFont="1" applyFill="1" applyBorder="1" applyAlignment="1">
      <alignment horizontal="right" vertical="center"/>
    </xf>
    <xf numFmtId="166" fontId="3" fillId="10" borderId="7" xfId="3" applyNumberFormat="1" applyFont="1" applyFill="1" applyBorder="1" applyAlignment="1">
      <alignment horizontal="right" vertical="center"/>
    </xf>
    <xf numFmtId="166" fontId="3" fillId="10" borderId="0" xfId="3" applyNumberFormat="1" applyFont="1" applyFill="1" applyBorder="1" applyAlignment="1">
      <alignment horizontal="right" vertical="center"/>
    </xf>
    <xf numFmtId="166" fontId="3" fillId="10" borderId="4" xfId="3" applyNumberFormat="1" applyFont="1" applyFill="1" applyBorder="1" applyAlignment="1">
      <alignment horizontal="right" vertical="center"/>
    </xf>
    <xf numFmtId="166" fontId="2" fillId="10" borderId="7" xfId="3" applyNumberFormat="1" applyFont="1" applyFill="1" applyBorder="1" applyAlignment="1">
      <alignment horizontal="right" vertical="center"/>
    </xf>
    <xf numFmtId="166" fontId="2" fillId="10" borderId="0" xfId="3" applyNumberFormat="1" applyFont="1" applyFill="1" applyBorder="1" applyAlignment="1">
      <alignment horizontal="right" vertical="center"/>
    </xf>
    <xf numFmtId="166" fontId="2" fillId="10" borderId="4" xfId="3" applyNumberFormat="1" applyFont="1" applyFill="1" applyBorder="1" applyAlignment="1">
      <alignment horizontal="right" vertical="center"/>
    </xf>
    <xf numFmtId="165" fontId="8" fillId="10" borderId="7" xfId="2" applyNumberFormat="1" applyFont="1" applyFill="1" applyBorder="1" applyAlignment="1">
      <alignment horizontal="right" vertical="center"/>
    </xf>
    <xf numFmtId="165" fontId="8" fillId="10" borderId="0" xfId="2" applyNumberFormat="1" applyFont="1" applyFill="1" applyBorder="1" applyAlignment="1">
      <alignment horizontal="right" vertical="center"/>
    </xf>
    <xf numFmtId="165" fontId="8" fillId="10" borderId="4" xfId="2" applyNumberFormat="1" applyFont="1" applyFill="1" applyBorder="1" applyAlignment="1">
      <alignment horizontal="right" vertical="center"/>
    </xf>
    <xf numFmtId="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4" fontId="2" fillId="0" borderId="0" xfId="2" applyNumberFormat="1" applyFont="1" applyFill="1" applyBorder="1" applyAlignment="1">
      <alignment horizontal="center"/>
    </xf>
    <xf numFmtId="4" fontId="8" fillId="0" borderId="0" xfId="2" applyNumberFormat="1" applyFont="1" applyFill="1" applyBorder="1" applyAlignment="1">
      <alignment horizontal="center"/>
    </xf>
    <xf numFmtId="4" fontId="2" fillId="0" borderId="0" xfId="0" applyNumberFormat="1" applyFont="1"/>
    <xf numFmtId="0" fontId="3" fillId="0" borderId="0" xfId="0" applyFont="1"/>
    <xf numFmtId="165" fontId="8" fillId="0" borderId="0" xfId="2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66" fontId="2" fillId="0" borderId="0" xfId="3" applyNumberFormat="1" applyFont="1" applyBorder="1" applyAlignment="1">
      <alignment horizontal="center" vertical="center"/>
    </xf>
    <xf numFmtId="166" fontId="2" fillId="0" borderId="0" xfId="3" applyNumberFormat="1" applyFont="1" applyFill="1" applyBorder="1" applyAlignment="1">
      <alignment horizontal="center" vertical="center"/>
    </xf>
    <xf numFmtId="166" fontId="3" fillId="3" borderId="0" xfId="3" applyNumberFormat="1" applyFont="1" applyFill="1" applyBorder="1" applyAlignment="1">
      <alignment horizontal="center" vertical="center"/>
    </xf>
    <xf numFmtId="166" fontId="3" fillId="0" borderId="0" xfId="3" applyNumberFormat="1" applyFont="1" applyBorder="1" applyAlignment="1">
      <alignment horizontal="center" vertical="center"/>
    </xf>
    <xf numFmtId="166" fontId="3" fillId="4" borderId="0" xfId="3" applyNumberFormat="1" applyFont="1" applyFill="1" applyBorder="1" applyAlignment="1">
      <alignment horizontal="center" vertical="center"/>
    </xf>
    <xf numFmtId="166" fontId="10" fillId="0" borderId="0" xfId="3" applyNumberFormat="1" applyFont="1" applyBorder="1" applyAlignment="1">
      <alignment horizontal="center" vertical="center"/>
    </xf>
    <xf numFmtId="9" fontId="8" fillId="0" borderId="0" xfId="2" applyFont="1" applyBorder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169" fontId="4" fillId="0" borderId="0" xfId="1" applyNumberFormat="1" applyFont="1" applyFill="1" applyBorder="1" applyAlignment="1">
      <alignment horizontal="center" vertical="center"/>
    </xf>
    <xf numFmtId="165" fontId="2" fillId="0" borderId="0" xfId="2" applyNumberFormat="1" applyFont="1" applyFill="1" applyBorder="1" applyAlignment="1">
      <alignment horizontal="center" vertical="center"/>
    </xf>
    <xf numFmtId="166" fontId="8" fillId="0" borderId="0" xfId="3" applyNumberFormat="1" applyFont="1" applyFill="1" applyBorder="1" applyAlignment="1">
      <alignment horizontal="center" vertical="center"/>
    </xf>
    <xf numFmtId="166" fontId="10" fillId="0" borderId="0" xfId="3" applyNumberFormat="1" applyFont="1" applyFill="1" applyBorder="1" applyAlignment="1">
      <alignment horizontal="center" vertical="center"/>
    </xf>
    <xf numFmtId="169" fontId="8" fillId="0" borderId="0" xfId="1" applyNumberFormat="1" applyFont="1" applyFill="1" applyBorder="1" applyAlignment="1">
      <alignment horizontal="center" vertical="center"/>
    </xf>
    <xf numFmtId="170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172" fontId="8" fillId="0" borderId="0" xfId="2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5" fontId="10" fillId="0" borderId="0" xfId="2" applyNumberFormat="1" applyFont="1" applyFill="1" applyBorder="1" applyAlignment="1">
      <alignment horizontal="center" vertical="center"/>
    </xf>
    <xf numFmtId="170" fontId="10" fillId="0" borderId="0" xfId="3" applyNumberFormat="1" applyFont="1" applyFill="1" applyBorder="1" applyAlignment="1">
      <alignment horizontal="center" vertical="center"/>
    </xf>
    <xf numFmtId="172" fontId="8" fillId="0" borderId="0" xfId="0" applyNumberFormat="1" applyFont="1" applyFill="1" applyAlignment="1">
      <alignment horizontal="center" vertical="center"/>
    </xf>
    <xf numFmtId="170" fontId="2" fillId="0" borderId="0" xfId="1" applyNumberFormat="1" applyFont="1" applyFill="1" applyAlignment="1">
      <alignment horizontal="center" vertical="center"/>
    </xf>
    <xf numFmtId="4" fontId="2" fillId="0" borderId="14" xfId="0" applyNumberFormat="1" applyFont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2" fillId="0" borderId="19" xfId="0" applyNumberFormat="1" applyFont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4" fontId="2" fillId="0" borderId="20" xfId="0" applyNumberFormat="1" applyFont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3" fontId="2" fillId="0" borderId="22" xfId="0" applyNumberFormat="1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21" xfId="0" applyFont="1" applyBorder="1"/>
    <xf numFmtId="0" fontId="3" fillId="3" borderId="21" xfId="0" applyFont="1" applyFill="1" applyBorder="1"/>
    <xf numFmtId="0" fontId="4" fillId="0" borderId="21" xfId="0" applyFont="1" applyBorder="1" applyAlignment="1">
      <alignment horizontal="left" indent="1"/>
    </xf>
    <xf numFmtId="0" fontId="3" fillId="4" borderId="21" xfId="0" applyFont="1" applyFill="1" applyBorder="1"/>
    <xf numFmtId="0" fontId="10" fillId="0" borderId="21" xfId="0" applyFont="1" applyBorder="1"/>
    <xf numFmtId="0" fontId="5" fillId="0" borderId="21" xfId="0" applyFont="1" applyBorder="1"/>
    <xf numFmtId="0" fontId="7" fillId="0" borderId="21" xfId="0" applyFont="1" applyBorder="1" applyAlignment="1">
      <alignment horizontal="left" indent="1"/>
    </xf>
    <xf numFmtId="165" fontId="2" fillId="0" borderId="21" xfId="2" applyNumberFormat="1" applyFont="1" applyBorder="1"/>
    <xf numFmtId="0" fontId="4" fillId="0" borderId="21" xfId="0" applyFont="1" applyFill="1" applyBorder="1"/>
    <xf numFmtId="0" fontId="2" fillId="0" borderId="21" xfId="0" applyFont="1" applyFill="1" applyBorder="1"/>
    <xf numFmtId="0" fontId="3" fillId="0" borderId="21" xfId="0" applyFont="1" applyFill="1" applyBorder="1"/>
    <xf numFmtId="0" fontId="9" fillId="0" borderId="21" xfId="0" applyFont="1" applyFill="1" applyBorder="1"/>
    <xf numFmtId="4" fontId="3" fillId="0" borderId="21" xfId="0" applyNumberFormat="1" applyFont="1" applyFill="1" applyBorder="1"/>
    <xf numFmtId="0" fontId="4" fillId="0" borderId="21" xfId="0" applyFont="1" applyFill="1" applyBorder="1" applyAlignment="1">
      <alignment horizontal="left" indent="1"/>
    </xf>
    <xf numFmtId="166" fontId="2" fillId="0" borderId="15" xfId="3" applyNumberFormat="1" applyFont="1" applyBorder="1" applyAlignment="1">
      <alignment horizontal="center" vertical="center"/>
    </xf>
    <xf numFmtId="166" fontId="2" fillId="0" borderId="16" xfId="3" applyNumberFormat="1" applyFont="1" applyBorder="1" applyAlignment="1">
      <alignment horizontal="center" vertical="center"/>
    </xf>
    <xf numFmtId="166" fontId="2" fillId="0" borderId="15" xfId="3" applyNumberFormat="1" applyFont="1" applyFill="1" applyBorder="1" applyAlignment="1">
      <alignment horizontal="center" vertical="center"/>
    </xf>
    <xf numFmtId="166" fontId="2" fillId="0" borderId="16" xfId="3" applyNumberFormat="1" applyFont="1" applyFill="1" applyBorder="1" applyAlignment="1">
      <alignment horizontal="center" vertical="center"/>
    </xf>
    <xf numFmtId="166" fontId="3" fillId="3" borderId="15" xfId="3" applyNumberFormat="1" applyFont="1" applyFill="1" applyBorder="1" applyAlignment="1">
      <alignment horizontal="center" vertical="center"/>
    </xf>
    <xf numFmtId="166" fontId="3" fillId="3" borderId="16" xfId="3" applyNumberFormat="1" applyFont="1" applyFill="1" applyBorder="1" applyAlignment="1">
      <alignment horizontal="center" vertical="center"/>
    </xf>
    <xf numFmtId="166" fontId="3" fillId="0" borderId="15" xfId="3" applyNumberFormat="1" applyFont="1" applyBorder="1" applyAlignment="1">
      <alignment horizontal="center" vertical="center"/>
    </xf>
    <xf numFmtId="166" fontId="3" fillId="0" borderId="16" xfId="3" applyNumberFormat="1" applyFont="1" applyBorder="1" applyAlignment="1">
      <alignment horizontal="center" vertical="center"/>
    </xf>
    <xf numFmtId="166" fontId="3" fillId="4" borderId="15" xfId="3" applyNumberFormat="1" applyFont="1" applyFill="1" applyBorder="1" applyAlignment="1">
      <alignment horizontal="center" vertical="center"/>
    </xf>
    <xf numFmtId="166" fontId="3" fillId="4" borderId="16" xfId="3" applyNumberFormat="1" applyFont="1" applyFill="1" applyBorder="1" applyAlignment="1">
      <alignment horizontal="center" vertical="center"/>
    </xf>
    <xf numFmtId="166" fontId="10" fillId="0" borderId="15" xfId="3" applyNumberFormat="1" applyFont="1" applyBorder="1" applyAlignment="1">
      <alignment horizontal="center" vertical="center"/>
    </xf>
    <xf numFmtId="166" fontId="10" fillId="0" borderId="16" xfId="3" applyNumberFormat="1" applyFont="1" applyBorder="1" applyAlignment="1">
      <alignment horizontal="center" vertical="center"/>
    </xf>
    <xf numFmtId="9" fontId="8" fillId="0" borderId="15" xfId="2" applyFont="1" applyBorder="1" applyAlignment="1">
      <alignment horizontal="center" vertical="center"/>
    </xf>
    <xf numFmtId="9" fontId="8" fillId="0" borderId="16" xfId="2" applyFont="1" applyBorder="1" applyAlignment="1">
      <alignment horizontal="center" vertical="center"/>
    </xf>
    <xf numFmtId="9" fontId="2" fillId="0" borderId="15" xfId="2" applyFont="1" applyBorder="1" applyAlignment="1">
      <alignment horizontal="center" vertical="center"/>
    </xf>
    <xf numFmtId="9" fontId="2" fillId="0" borderId="16" xfId="2" applyFont="1" applyBorder="1" applyAlignment="1">
      <alignment horizontal="center" vertical="center"/>
    </xf>
    <xf numFmtId="168" fontId="4" fillId="0" borderId="15" xfId="0" applyNumberFormat="1" applyFont="1" applyBorder="1" applyAlignment="1">
      <alignment horizontal="center" vertical="center"/>
    </xf>
    <xf numFmtId="165" fontId="2" fillId="0" borderId="15" xfId="2" applyNumberFormat="1" applyFont="1" applyFill="1" applyBorder="1" applyAlignment="1">
      <alignment horizontal="center" vertical="center"/>
    </xf>
    <xf numFmtId="165" fontId="2" fillId="0" borderId="16" xfId="2" applyNumberFormat="1" applyFont="1" applyFill="1" applyBorder="1" applyAlignment="1">
      <alignment horizontal="center" vertical="center"/>
    </xf>
    <xf numFmtId="165" fontId="8" fillId="0" borderId="15" xfId="2" applyNumberFormat="1" applyFont="1" applyFill="1" applyBorder="1" applyAlignment="1">
      <alignment horizontal="center" vertical="center"/>
    </xf>
    <xf numFmtId="165" fontId="8" fillId="0" borderId="16" xfId="2" applyNumberFormat="1" applyFont="1" applyFill="1" applyBorder="1" applyAlignment="1">
      <alignment horizontal="center" vertical="center"/>
    </xf>
    <xf numFmtId="165" fontId="10" fillId="0" borderId="15" xfId="2" applyNumberFormat="1" applyFont="1" applyFill="1" applyBorder="1" applyAlignment="1">
      <alignment horizontal="center" vertical="center"/>
    </xf>
    <xf numFmtId="165" fontId="10" fillId="0" borderId="16" xfId="2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166" fontId="8" fillId="0" borderId="15" xfId="3" applyNumberFormat="1" applyFont="1" applyFill="1" applyBorder="1" applyAlignment="1">
      <alignment horizontal="center" vertical="center"/>
    </xf>
    <xf numFmtId="166" fontId="8" fillId="0" borderId="16" xfId="3" applyNumberFormat="1" applyFont="1" applyFill="1" applyBorder="1" applyAlignment="1">
      <alignment horizontal="center" vertical="center"/>
    </xf>
    <xf numFmtId="9" fontId="3" fillId="0" borderId="17" xfId="2" applyFont="1" applyFill="1" applyBorder="1" applyAlignment="1">
      <alignment horizontal="center" vertical="center"/>
    </xf>
    <xf numFmtId="9" fontId="3" fillId="0" borderId="18" xfId="2" applyFont="1" applyFill="1" applyBorder="1" applyAlignment="1">
      <alignment horizontal="center" vertical="center"/>
    </xf>
    <xf numFmtId="9" fontId="3" fillId="0" borderId="19" xfId="2" applyFont="1" applyFill="1" applyBorder="1" applyAlignment="1">
      <alignment horizontal="center" vertical="center"/>
    </xf>
    <xf numFmtId="169" fontId="4" fillId="0" borderId="15" xfId="1" applyNumberFormat="1" applyFont="1" applyFill="1" applyBorder="1" applyAlignment="1">
      <alignment horizontal="center" vertical="center"/>
    </xf>
    <xf numFmtId="9" fontId="2" fillId="0" borderId="16" xfId="2" applyFont="1" applyFill="1" applyBorder="1" applyAlignment="1">
      <alignment horizontal="center" vertical="center"/>
    </xf>
    <xf numFmtId="170" fontId="10" fillId="0" borderId="15" xfId="3" applyNumberFormat="1" applyFont="1" applyFill="1" applyBorder="1" applyAlignment="1">
      <alignment horizontal="center" vertical="center"/>
    </xf>
    <xf numFmtId="170" fontId="10" fillId="0" borderId="16" xfId="3" applyNumberFormat="1" applyFont="1" applyFill="1" applyBorder="1" applyAlignment="1">
      <alignment horizontal="center" vertical="center"/>
    </xf>
    <xf numFmtId="166" fontId="10" fillId="0" borderId="15" xfId="3" applyNumberFormat="1" applyFont="1" applyFill="1" applyBorder="1" applyAlignment="1">
      <alignment horizontal="center" vertical="center"/>
    </xf>
    <xf numFmtId="166" fontId="10" fillId="0" borderId="16" xfId="3" applyNumberFormat="1" applyFont="1" applyFill="1" applyBorder="1" applyAlignment="1">
      <alignment horizontal="center" vertical="center"/>
    </xf>
    <xf numFmtId="166" fontId="8" fillId="0" borderId="15" xfId="0" applyNumberFormat="1" applyFont="1" applyFill="1" applyBorder="1" applyAlignment="1">
      <alignment horizontal="center" vertical="center"/>
    </xf>
    <xf numFmtId="172" fontId="8" fillId="0" borderId="15" xfId="2" applyNumberFormat="1" applyFont="1" applyFill="1" applyBorder="1" applyAlignment="1">
      <alignment horizontal="center" vertical="center"/>
    </xf>
    <xf numFmtId="172" fontId="8" fillId="0" borderId="16" xfId="2" applyNumberFormat="1" applyFont="1" applyFill="1" applyBorder="1" applyAlignment="1">
      <alignment horizontal="center" vertical="center"/>
    </xf>
    <xf numFmtId="169" fontId="8" fillId="0" borderId="16" xfId="1" applyNumberFormat="1" applyFont="1" applyFill="1" applyBorder="1" applyAlignment="1">
      <alignment horizontal="center" vertical="center"/>
    </xf>
    <xf numFmtId="169" fontId="8" fillId="0" borderId="15" xfId="1" applyNumberFormat="1" applyFont="1" applyFill="1" applyBorder="1" applyAlignment="1">
      <alignment horizontal="center" vertical="center"/>
    </xf>
    <xf numFmtId="165" fontId="3" fillId="0" borderId="17" xfId="2" applyNumberFormat="1" applyFont="1" applyFill="1" applyBorder="1" applyAlignment="1">
      <alignment horizontal="center" vertical="center"/>
    </xf>
    <xf numFmtId="165" fontId="3" fillId="0" borderId="18" xfId="2" applyNumberFormat="1" applyFont="1" applyFill="1" applyBorder="1" applyAlignment="1">
      <alignment horizontal="center" vertical="center"/>
    </xf>
    <xf numFmtId="165" fontId="3" fillId="0" borderId="19" xfId="2" applyNumberFormat="1" applyFont="1" applyFill="1" applyBorder="1" applyAlignment="1">
      <alignment horizontal="center" vertical="center"/>
    </xf>
    <xf numFmtId="0" fontId="8" fillId="0" borderId="0" xfId="0" applyFont="1" applyBorder="1"/>
    <xf numFmtId="166" fontId="2" fillId="0" borderId="12" xfId="3" applyNumberFormat="1" applyFont="1" applyBorder="1"/>
    <xf numFmtId="166" fontId="2" fillId="0" borderId="13" xfId="3" applyNumberFormat="1" applyFont="1" applyBorder="1"/>
    <xf numFmtId="166" fontId="2" fillId="0" borderId="14" xfId="3" applyNumberFormat="1" applyFont="1" applyBorder="1"/>
    <xf numFmtId="166" fontId="2" fillId="0" borderId="15" xfId="3" applyNumberFormat="1" applyFont="1" applyBorder="1"/>
    <xf numFmtId="166" fontId="2" fillId="0" borderId="16" xfId="3" applyNumberFormat="1" applyFont="1" applyBorder="1"/>
    <xf numFmtId="166" fontId="3" fillId="3" borderId="15" xfId="3" applyNumberFormat="1" applyFont="1" applyFill="1" applyBorder="1"/>
    <xf numFmtId="166" fontId="3" fillId="3" borderId="16" xfId="3" applyNumberFormat="1" applyFont="1" applyFill="1" applyBorder="1"/>
    <xf numFmtId="166" fontId="3" fillId="0" borderId="15" xfId="3" applyNumberFormat="1" applyFont="1" applyBorder="1"/>
    <xf numFmtId="166" fontId="3" fillId="0" borderId="16" xfId="3" applyNumberFormat="1" applyFont="1" applyBorder="1"/>
    <xf numFmtId="166" fontId="3" fillId="4" borderId="15" xfId="3" applyNumberFormat="1" applyFont="1" applyFill="1" applyBorder="1"/>
    <xf numFmtId="166" fontId="3" fillId="4" borderId="16" xfId="3" applyNumberFormat="1" applyFont="1" applyFill="1" applyBorder="1"/>
    <xf numFmtId="9" fontId="10" fillId="0" borderId="15" xfId="3" applyNumberFormat="1" applyFont="1" applyBorder="1" applyAlignment="1">
      <alignment horizontal="center"/>
    </xf>
    <xf numFmtId="9" fontId="10" fillId="0" borderId="16" xfId="3" applyNumberFormat="1" applyFont="1" applyBorder="1" applyAlignment="1">
      <alignment horizontal="center"/>
    </xf>
    <xf numFmtId="9" fontId="8" fillId="0" borderId="15" xfId="2" applyFont="1" applyBorder="1"/>
    <xf numFmtId="9" fontId="8" fillId="0" borderId="16" xfId="2" applyFont="1" applyBorder="1"/>
    <xf numFmtId="9" fontId="2" fillId="0" borderId="15" xfId="2" applyFont="1" applyBorder="1"/>
    <xf numFmtId="9" fontId="2" fillId="0" borderId="16" xfId="2" applyFont="1" applyBorder="1"/>
    <xf numFmtId="169" fontId="4" fillId="0" borderId="15" xfId="1" applyNumberFormat="1" applyFont="1" applyFill="1" applyBorder="1"/>
    <xf numFmtId="9" fontId="2" fillId="0" borderId="16" xfId="2" applyFont="1" applyFill="1" applyBorder="1"/>
    <xf numFmtId="165" fontId="2" fillId="0" borderId="15" xfId="2" applyNumberFormat="1" applyFont="1" applyFill="1" applyBorder="1" applyAlignment="1">
      <alignment horizontal="center"/>
    </xf>
    <xf numFmtId="165" fontId="2" fillId="0" borderId="16" xfId="2" applyNumberFormat="1" applyFont="1" applyFill="1" applyBorder="1" applyAlignment="1">
      <alignment horizontal="center"/>
    </xf>
    <xf numFmtId="165" fontId="2" fillId="0" borderId="15" xfId="2" applyNumberFormat="1" applyFont="1" applyBorder="1" applyAlignment="1">
      <alignment horizontal="center"/>
    </xf>
    <xf numFmtId="165" fontId="2" fillId="0" borderId="16" xfId="2" applyNumberFormat="1" applyFont="1" applyBorder="1" applyAlignment="1">
      <alignment horizontal="center"/>
    </xf>
    <xf numFmtId="165" fontId="6" fillId="0" borderId="15" xfId="2" applyNumberFormat="1" applyFont="1" applyBorder="1" applyAlignment="1">
      <alignment horizontal="center"/>
    </xf>
    <xf numFmtId="165" fontId="8" fillId="0" borderId="15" xfId="2" applyNumberFormat="1" applyFont="1" applyFill="1" applyBorder="1" applyAlignment="1">
      <alignment horizontal="center"/>
    </xf>
    <xf numFmtId="165" fontId="8" fillId="0" borderId="16" xfId="2" applyNumberFormat="1" applyFont="1" applyFill="1" applyBorder="1" applyAlignment="1">
      <alignment horizontal="center"/>
    </xf>
    <xf numFmtId="166" fontId="8" fillId="0" borderId="15" xfId="3" applyNumberFormat="1" applyFont="1" applyFill="1" applyBorder="1" applyAlignment="1">
      <alignment horizontal="center"/>
    </xf>
    <xf numFmtId="166" fontId="8" fillId="0" borderId="16" xfId="3" applyNumberFormat="1" applyFont="1" applyFill="1" applyBorder="1" applyAlignment="1">
      <alignment horizontal="center"/>
    </xf>
    <xf numFmtId="9" fontId="10" fillId="0" borderId="15" xfId="3" applyNumberFormat="1" applyFont="1" applyFill="1" applyBorder="1"/>
    <xf numFmtId="9" fontId="10" fillId="0" borderId="16" xfId="3" applyNumberFormat="1" applyFont="1" applyFill="1" applyBorder="1"/>
    <xf numFmtId="9" fontId="8" fillId="0" borderId="15" xfId="3" applyNumberFormat="1" applyFont="1" applyFill="1" applyBorder="1"/>
    <xf numFmtId="9" fontId="8" fillId="0" borderId="16" xfId="3" applyNumberFormat="1" applyFont="1" applyFill="1" applyBorder="1"/>
    <xf numFmtId="165" fontId="8" fillId="0" borderId="15" xfId="3" applyNumberFormat="1" applyFont="1" applyFill="1" applyBorder="1"/>
    <xf numFmtId="165" fontId="8" fillId="0" borderId="16" xfId="3" applyNumberFormat="1" applyFont="1" applyFill="1" applyBorder="1"/>
    <xf numFmtId="166" fontId="10" fillId="0" borderId="15" xfId="3" applyNumberFormat="1" applyFont="1" applyFill="1" applyBorder="1"/>
    <xf numFmtId="166" fontId="10" fillId="0" borderId="16" xfId="3" applyNumberFormat="1" applyFont="1" applyFill="1" applyBorder="1"/>
    <xf numFmtId="166" fontId="8" fillId="0" borderId="15" xfId="0" applyNumberFormat="1" applyFont="1" applyBorder="1"/>
    <xf numFmtId="0" fontId="8" fillId="0" borderId="16" xfId="0" applyFont="1" applyBorder="1"/>
    <xf numFmtId="4" fontId="8" fillId="0" borderId="15" xfId="2" applyNumberFormat="1" applyFont="1" applyFill="1" applyBorder="1" applyAlignment="1">
      <alignment horizontal="center"/>
    </xf>
    <xf numFmtId="4" fontId="8" fillId="0" borderId="16" xfId="2" applyNumberFormat="1" applyFont="1" applyFill="1" applyBorder="1" applyAlignment="1">
      <alignment horizontal="center"/>
    </xf>
    <xf numFmtId="169" fontId="8" fillId="0" borderId="16" xfId="1" applyNumberFormat="1" applyFont="1" applyFill="1" applyBorder="1" applyAlignment="1">
      <alignment horizontal="center"/>
    </xf>
    <xf numFmtId="169" fontId="8" fillId="0" borderId="15" xfId="1" applyNumberFormat="1" applyFont="1" applyFill="1" applyBorder="1" applyAlignment="1">
      <alignment horizontal="center"/>
    </xf>
    <xf numFmtId="165" fontId="3" fillId="0" borderId="17" xfId="2" applyNumberFormat="1" applyFont="1" applyBorder="1" applyAlignment="1">
      <alignment horizontal="center"/>
    </xf>
    <xf numFmtId="165" fontId="3" fillId="0" borderId="18" xfId="2" applyNumberFormat="1" applyFont="1" applyBorder="1" applyAlignment="1">
      <alignment horizontal="center"/>
    </xf>
    <xf numFmtId="165" fontId="3" fillId="0" borderId="19" xfId="2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0" fontId="3" fillId="2" borderId="20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0" borderId="0" xfId="0" applyFont="1" applyAlignment="1"/>
    <xf numFmtId="0" fontId="2" fillId="10" borderId="0" xfId="0" applyFont="1" applyFill="1"/>
    <xf numFmtId="4" fontId="2" fillId="10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170" fontId="8" fillId="0" borderId="15" xfId="3" applyNumberFormat="1" applyFont="1" applyFill="1" applyBorder="1" applyAlignment="1">
      <alignment horizontal="center" vertical="center"/>
    </xf>
    <xf numFmtId="170" fontId="8" fillId="0" borderId="0" xfId="3" applyNumberFormat="1" applyFont="1" applyFill="1" applyBorder="1" applyAlignment="1">
      <alignment horizontal="center" vertical="center"/>
    </xf>
    <xf numFmtId="170" fontId="2" fillId="0" borderId="15" xfId="3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65" fontId="12" fillId="0" borderId="0" xfId="2" applyNumberFormat="1" applyFont="1" applyFill="1" applyBorder="1" applyAlignment="1">
      <alignment horizontal="center"/>
    </xf>
    <xf numFmtId="165" fontId="3" fillId="0" borderId="15" xfId="2" applyNumberFormat="1" applyFont="1" applyBorder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165" fontId="12" fillId="0" borderId="16" xfId="2" applyNumberFormat="1" applyFont="1" applyBorder="1" applyAlignment="1">
      <alignment horizontal="center"/>
    </xf>
    <xf numFmtId="165" fontId="3" fillId="0" borderId="15" xfId="2" applyNumberFormat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165" fontId="3" fillId="0" borderId="16" xfId="2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5" fontId="3" fillId="0" borderId="16" xfId="2" applyNumberFormat="1" applyFont="1" applyBorder="1" applyAlignment="1">
      <alignment horizontal="center"/>
    </xf>
    <xf numFmtId="165" fontId="3" fillId="0" borderId="15" xfId="2" applyNumberFormat="1" applyFont="1" applyFill="1" applyBorder="1" applyAlignment="1">
      <alignment horizontal="center"/>
    </xf>
    <xf numFmtId="165" fontId="3" fillId="0" borderId="16" xfId="2" applyNumberFormat="1" applyFont="1" applyFill="1" applyBorder="1" applyAlignment="1">
      <alignment horizontal="center"/>
    </xf>
    <xf numFmtId="165" fontId="10" fillId="0" borderId="15" xfId="2" applyNumberFormat="1" applyFont="1" applyBorder="1" applyAlignment="1">
      <alignment horizontal="center"/>
    </xf>
    <xf numFmtId="165" fontId="10" fillId="0" borderId="0" xfId="2" applyNumberFormat="1" applyFont="1" applyBorder="1" applyAlignment="1">
      <alignment horizontal="center"/>
    </xf>
    <xf numFmtId="165" fontId="10" fillId="0" borderId="16" xfId="2" applyNumberFormat="1" applyFont="1" applyBorder="1" applyAlignment="1">
      <alignment horizontal="center"/>
    </xf>
    <xf numFmtId="165" fontId="4" fillId="0" borderId="15" xfId="2" applyNumberFormat="1" applyFont="1" applyFill="1" applyBorder="1" applyAlignment="1">
      <alignment horizontal="center" vertical="center"/>
    </xf>
    <xf numFmtId="9" fontId="2" fillId="0" borderId="0" xfId="2" applyFont="1"/>
    <xf numFmtId="165" fontId="10" fillId="0" borderId="15" xfId="2" applyNumberFormat="1" applyFont="1" applyFill="1" applyBorder="1" applyAlignment="1">
      <alignment horizontal="center"/>
    </xf>
    <xf numFmtId="165" fontId="10" fillId="0" borderId="0" xfId="2" applyNumberFormat="1" applyFont="1" applyFill="1" applyBorder="1" applyAlignment="1">
      <alignment horizontal="center"/>
    </xf>
    <xf numFmtId="165" fontId="10" fillId="0" borderId="16" xfId="2" applyNumberFormat="1" applyFont="1" applyFill="1" applyBorder="1" applyAlignment="1">
      <alignment horizontal="center"/>
    </xf>
    <xf numFmtId="165" fontId="3" fillId="0" borderId="0" xfId="0" applyNumberFormat="1" applyFont="1"/>
    <xf numFmtId="170" fontId="8" fillId="0" borderId="0" xfId="1" applyNumberFormat="1" applyFont="1"/>
    <xf numFmtId="9" fontId="10" fillId="0" borderId="15" xfId="3" applyNumberFormat="1" applyFont="1" applyFill="1" applyBorder="1" applyAlignment="1">
      <alignment horizontal="center" vertical="center"/>
    </xf>
    <xf numFmtId="9" fontId="10" fillId="0" borderId="0" xfId="3" applyNumberFormat="1" applyFont="1" applyFill="1" applyBorder="1" applyAlignment="1">
      <alignment horizontal="center" vertical="center"/>
    </xf>
    <xf numFmtId="9" fontId="10" fillId="0" borderId="16" xfId="3" applyNumberFormat="1" applyFont="1" applyFill="1" applyBorder="1" applyAlignment="1">
      <alignment horizontal="center" vertical="center"/>
    </xf>
    <xf numFmtId="9" fontId="10" fillId="0" borderId="15" xfId="2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9" fontId="8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3" fontId="3" fillId="0" borderId="0" xfId="0" applyNumberFormat="1" applyFont="1" applyAlignment="1">
      <alignment horizontal="center" vertical="center"/>
    </xf>
    <xf numFmtId="170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70" fontId="2" fillId="0" borderId="0" xfId="1" applyNumberFormat="1" applyFont="1"/>
    <xf numFmtId="0" fontId="3" fillId="9" borderId="23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4">
    <cellStyle name="Comma" xfId="1" builtinId="3"/>
    <cellStyle name="Comma 13 2" xfId="3" xr:uid="{00000000-0005-0000-0000-000001000000}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5a.%20Scenario%20planning/IBP%20FY25%20to%20FY27/HFC/HFC/HFC%20Financial%20ABP%20FY25%20-%20FY27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FC%20Financial%20ABP%20FY25%20-%20FY27%20Stress%20Sc.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5a.%20Scenario%20planning/Expense%20Planning%20FY'25/SMHFC%20%20Stress%20Plan%20FY%2025%20to%2027_Scenario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MHFC&gt;&gt;&gt;&gt;"/>
      <sheetName val="1a. Business Momentum"/>
      <sheetName val="1b. Business Momentum- Qtrly"/>
      <sheetName val="1c. Business Momentum- Yearly"/>
      <sheetName val="Productivity YTD"/>
      <sheetName val="P&amp;L Summary Sheet V1"/>
      <sheetName val="2a. SMHFC Financials"/>
      <sheetName val="HFC Balance Sheet"/>
      <sheetName val="2b. SMHFC Financials qtrly"/>
      <sheetName val="4. Capital working"/>
      <sheetName val="2c. SMHFC Monthly view"/>
      <sheetName val="Rundown Summary"/>
      <sheetName val="Rundown Amt"/>
      <sheetName val="Rundown%"/>
      <sheetName val="AUM Adj"/>
      <sheetName val="3. CoC"/>
      <sheetName val="HFC ECL Stagewise"/>
      <sheetName val="11.ROA Walk"/>
      <sheetName val="GII"/>
      <sheetName val="GII Variance"/>
      <sheetName val="HFC Revenue drilldown"/>
      <sheetName val="Other Income"/>
      <sheetName val="HFC Ratios"/>
      <sheetName val="Control Sheet"/>
      <sheetName val="Assingment income"/>
      <sheetName val="Model"/>
      <sheetName val="Revenue Walk"/>
      <sheetName val="P&amp;L Summary Sheet old"/>
      <sheetName val="Productivity Summary"/>
      <sheetName val="Summary AUM"/>
      <sheetName val="Bounce Penal Foreclosure"/>
      <sheetName val="Productivity DST&amp;DSA"/>
      <sheetName val="Drivers"/>
      <sheetName val="Yield Analysis"/>
      <sheetName val="Incremental fee LOC"/>
    </sheetNames>
    <sheetDataSet>
      <sheetData sheetId="0"/>
      <sheetData sheetId="1"/>
      <sheetData sheetId="2">
        <row r="6">
          <cell r="BH6">
            <v>1112.4189388899999</v>
          </cell>
        </row>
      </sheetData>
      <sheetData sheetId="3">
        <row r="3">
          <cell r="V3">
            <v>3142.2206759999999</v>
          </cell>
        </row>
      </sheetData>
      <sheetData sheetId="4"/>
      <sheetData sheetId="5"/>
      <sheetData sheetId="6"/>
      <sheetData sheetId="7">
        <row r="3">
          <cell r="M3">
            <v>13271.335749258844</v>
          </cell>
        </row>
        <row r="6">
          <cell r="M6">
            <v>5305.2789718509384</v>
          </cell>
          <cell r="N6">
            <v>7537.2426015304964</v>
          </cell>
          <cell r="O6">
            <v>10002.110199523438</v>
          </cell>
        </row>
        <row r="7">
          <cell r="M7">
            <v>425.28246506174736</v>
          </cell>
          <cell r="N7">
            <v>550.27564783902221</v>
          </cell>
          <cell r="O7">
            <v>684.78818275607671</v>
          </cell>
        </row>
        <row r="8">
          <cell r="M8">
            <v>-378.50100417733472</v>
          </cell>
          <cell r="N8">
            <v>-508.57949857925468</v>
          </cell>
          <cell r="O8">
            <v>-654.19676493563929</v>
          </cell>
        </row>
        <row r="15">
          <cell r="M15">
            <v>573.91267074225266</v>
          </cell>
          <cell r="N15">
            <v>827.29044609939956</v>
          </cell>
          <cell r="O15">
            <v>1120.0576712330419</v>
          </cell>
        </row>
        <row r="16">
          <cell r="M16">
            <v>445.64897337348782</v>
          </cell>
          <cell r="N16">
            <v>442.82142361617014</v>
          </cell>
          <cell r="O16">
            <v>391.92087972413162</v>
          </cell>
        </row>
        <row r="17">
          <cell r="M17">
            <v>337.18980932385773</v>
          </cell>
          <cell r="N17">
            <v>358.32938498216345</v>
          </cell>
          <cell r="O17">
            <v>389.47218256904523</v>
          </cell>
        </row>
        <row r="19">
          <cell r="M19">
            <v>4365.4349238269142</v>
          </cell>
          <cell r="N19">
            <v>5573.0447107525815</v>
          </cell>
          <cell r="O19">
            <v>6822.3356551189545</v>
          </cell>
        </row>
        <row r="22">
          <cell r="M22">
            <v>548.349728735344</v>
          </cell>
          <cell r="N22">
            <v>645.75646776170925</v>
          </cell>
          <cell r="O22">
            <v>790.29476066533766</v>
          </cell>
        </row>
        <row r="23">
          <cell r="M23">
            <v>-94.402361099163173</v>
          </cell>
          <cell r="N23">
            <v>-121.03768991315903</v>
          </cell>
          <cell r="O23">
            <v>-138.43136548578883</v>
          </cell>
        </row>
        <row r="24">
          <cell r="M24">
            <v>170.67293731128777</v>
          </cell>
          <cell r="N24">
            <v>279.45745803553109</v>
          </cell>
          <cell r="O24">
            <v>344.84454406198461</v>
          </cell>
        </row>
        <row r="27">
          <cell r="M27">
            <v>1254.692359902414</v>
          </cell>
          <cell r="N27">
            <v>2066.0161129614744</v>
          </cell>
          <cell r="O27">
            <v>3004.0293922520141</v>
          </cell>
        </row>
        <row r="34">
          <cell r="L34">
            <v>89783.85075628417</v>
          </cell>
          <cell r="M34">
            <v>129046.78105872768</v>
          </cell>
          <cell r="N34">
            <v>172524.87558654527</v>
          </cell>
          <cell r="O34">
            <v>219789.91248989137</v>
          </cell>
        </row>
        <row r="39">
          <cell r="M39">
            <v>104063.66117905549</v>
          </cell>
          <cell r="N39">
            <v>143754.07319783809</v>
          </cell>
          <cell r="O39">
            <v>187922.02070425203</v>
          </cell>
        </row>
        <row r="49">
          <cell r="M49">
            <v>112136.80024975736</v>
          </cell>
          <cell r="N49">
            <v>150480.1734570642</v>
          </cell>
          <cell r="O49">
            <v>193146.81068852908</v>
          </cell>
        </row>
        <row r="89">
          <cell r="M89">
            <v>2.0403726717862617E-2</v>
          </cell>
          <cell r="N89">
            <v>1.7149110285355422E-2</v>
          </cell>
          <cell r="O89">
            <v>1.5114984923419558E-2</v>
          </cell>
        </row>
        <row r="90">
          <cell r="M90">
            <v>1.3351730181416974E-2</v>
          </cell>
          <cell r="N90">
            <v>1.147124318612611E-2</v>
          </cell>
          <cell r="O90">
            <v>1.0290472131156589E-2</v>
          </cell>
        </row>
        <row r="91">
          <cell r="M91">
            <v>0.35030007766690097</v>
          </cell>
          <cell r="N91">
            <v>0.33493021010034579</v>
          </cell>
          <cell r="O91">
            <v>0.32250614402793648</v>
          </cell>
        </row>
        <row r="96">
          <cell r="M96">
            <v>13993.475349231901</v>
          </cell>
          <cell r="N96">
            <v>19059.491462193375</v>
          </cell>
          <cell r="O96">
            <v>24563.520854445393</v>
          </cell>
        </row>
        <row r="102">
          <cell r="M102">
            <v>3000</v>
          </cell>
          <cell r="N102">
            <v>3000</v>
          </cell>
          <cell r="O102">
            <v>2500</v>
          </cell>
        </row>
        <row r="127">
          <cell r="L127">
            <v>1710.8371939336571</v>
          </cell>
          <cell r="M127">
            <v>1839.3471439935956</v>
          </cell>
          <cell r="N127">
            <v>2118.8046020291263</v>
          </cell>
          <cell r="O127">
            <v>2463.5771250172284</v>
          </cell>
        </row>
      </sheetData>
      <sheetData sheetId="8">
        <row r="6">
          <cell r="BL6">
            <v>11848.97094408</v>
          </cell>
        </row>
      </sheetData>
      <sheetData sheetId="9"/>
      <sheetData sheetId="10">
        <row r="8">
          <cell r="DB8">
            <v>9743.080283895888</v>
          </cell>
        </row>
        <row r="15">
          <cell r="DC15">
            <v>538.091235712399</v>
          </cell>
          <cell r="DD15">
            <v>613.54474938199235</v>
          </cell>
          <cell r="DE15">
            <v>706.65277627872831</v>
          </cell>
        </row>
        <row r="18">
          <cell r="DC18">
            <v>2344.7795498852624</v>
          </cell>
          <cell r="DD18">
            <v>2915.6970662311069</v>
          </cell>
          <cell r="DE18">
            <v>3479.6137021797863</v>
          </cell>
        </row>
        <row r="20">
          <cell r="DC20">
            <v>11652.993093913039</v>
          </cell>
          <cell r="DD20">
            <v>16148.091690528669</v>
          </cell>
          <cell r="DE20">
            <v>21088.204446832002</v>
          </cell>
        </row>
        <row r="24">
          <cell r="DC24">
            <v>3900.1510131639452</v>
          </cell>
          <cell r="DD24">
            <v>5957.8636729123309</v>
          </cell>
          <cell r="DE24">
            <v>7992.4706810787457</v>
          </cell>
        </row>
        <row r="28">
          <cell r="DC28">
            <v>81684.30792681915</v>
          </cell>
          <cell r="DD28">
            <v>113642.45483007944</v>
          </cell>
          <cell r="DE28">
            <v>146078.11763036143</v>
          </cell>
        </row>
        <row r="38">
          <cell r="DB38">
            <v>6.7499450675362329</v>
          </cell>
        </row>
      </sheetData>
      <sheetData sheetId="11">
        <row r="13">
          <cell r="DA13">
            <v>381.0255266642543</v>
          </cell>
        </row>
      </sheetData>
      <sheetData sheetId="12"/>
      <sheetData sheetId="13">
        <row r="19">
          <cell r="DO19">
            <v>5534.8198637962878</v>
          </cell>
        </row>
      </sheetData>
      <sheetData sheetId="14">
        <row r="5">
          <cell r="BD5">
            <v>1.8578865212520324E-3</v>
          </cell>
        </row>
      </sheetData>
      <sheetData sheetId="15"/>
      <sheetData sheetId="16"/>
      <sheetData sheetId="17"/>
      <sheetData sheetId="18"/>
      <sheetData sheetId="19">
        <row r="3">
          <cell r="AX3">
            <v>0.12182404274946845</v>
          </cell>
        </row>
      </sheetData>
      <sheetData sheetId="20"/>
      <sheetData sheetId="21">
        <row r="54">
          <cell r="AX54">
            <v>2.6426209025234063E-3</v>
          </cell>
        </row>
      </sheetData>
      <sheetData sheetId="22">
        <row r="45">
          <cell r="DL45">
            <v>120.14466868017846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MHFC&gt;&gt;&gt;&gt;"/>
      <sheetName val="1a. Business Momentum"/>
      <sheetName val="1b. Business Momentum- Qtrly"/>
      <sheetName val="1c. Business Momentum- Yearly"/>
      <sheetName val="Productivity YTD"/>
      <sheetName val="P&amp;L Summary Sheet V1"/>
      <sheetName val="2a. SMHFC Financials"/>
      <sheetName val="2c. SMHFC Monthly view"/>
      <sheetName val="2b. SMHFC Financials qtrly"/>
      <sheetName val="HFC Balance Sheet"/>
      <sheetName val="4. Capital working"/>
      <sheetName val="Rundown Summary"/>
      <sheetName val="Rundown Amt"/>
      <sheetName val="Rundown%"/>
      <sheetName val="AUM Adj"/>
      <sheetName val="3. CoC"/>
      <sheetName val="HFC ECL Stagewise"/>
      <sheetName val="11.ROA Walk"/>
      <sheetName val="GII"/>
      <sheetName val="GII Variance"/>
      <sheetName val="HFC Revenue drilldown"/>
      <sheetName val="Other Income"/>
      <sheetName val="HFC Ratios"/>
      <sheetName val="Control Sheet"/>
      <sheetName val="Assingment income"/>
      <sheetName val="Model"/>
      <sheetName val="Revenue Walk"/>
      <sheetName val="P&amp;L Summary Sheet old"/>
      <sheetName val="Productivity Summary"/>
      <sheetName val="Summary AUM"/>
      <sheetName val="Bounce Penal Foreclosure"/>
      <sheetName val="Productivity DST&amp;DSA"/>
      <sheetName val="Drivers"/>
      <sheetName val="Yield Analysis"/>
      <sheetName val="Incremental fee L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M6">
            <v>4795.3480675050996</v>
          </cell>
          <cell r="N6">
            <v>5211.0990282207249</v>
          </cell>
          <cell r="O6">
            <v>6618.9668654260104</v>
          </cell>
        </row>
        <row r="7">
          <cell r="M7">
            <v>363.77282232087356</v>
          </cell>
          <cell r="N7">
            <v>341.96318662759268</v>
          </cell>
          <cell r="O7">
            <v>438.96302362539416</v>
          </cell>
        </row>
        <row r="8">
          <cell r="M8">
            <v>-339.80922588236717</v>
          </cell>
          <cell r="N8">
            <v>-355.02065099328888</v>
          </cell>
          <cell r="O8">
            <v>-447.05349852471295</v>
          </cell>
        </row>
        <row r="15">
          <cell r="M15">
            <v>347.90588460892445</v>
          </cell>
          <cell r="N15">
            <v>428.27457429838353</v>
          </cell>
          <cell r="O15">
            <v>975.90630511330073</v>
          </cell>
        </row>
        <row r="16">
          <cell r="M16">
            <v>312.41486950067315</v>
          </cell>
          <cell r="N16">
            <v>119.97666943208969</v>
          </cell>
          <cell r="O16">
            <v>232.0838215983201</v>
          </cell>
        </row>
        <row r="17">
          <cell r="M17">
            <v>313.70213801033356</v>
          </cell>
          <cell r="N17">
            <v>254.13679778548328</v>
          </cell>
          <cell r="O17">
            <v>105.69612177460147</v>
          </cell>
        </row>
        <row r="19">
          <cell r="M19">
            <v>3904.1597504024344</v>
          </cell>
          <cell r="N19">
            <v>4047.4278508772454</v>
          </cell>
          <cell r="O19">
            <v>5343.4715308247942</v>
          </cell>
        </row>
        <row r="22">
          <cell r="M22">
            <v>548.349728735344</v>
          </cell>
          <cell r="N22">
            <v>764.78404247598451</v>
          </cell>
          <cell r="O22">
            <v>929.3893837313949</v>
          </cell>
        </row>
        <row r="23">
          <cell r="M23">
            <v>-90.907806827874836</v>
          </cell>
          <cell r="N23">
            <v>-115.33067870228314</v>
          </cell>
          <cell r="O23">
            <v>-135.62991157312069</v>
          </cell>
        </row>
        <row r="24">
          <cell r="M24">
            <v>596.03728121119116</v>
          </cell>
          <cell r="N24">
            <v>125.20797048545344</v>
          </cell>
          <cell r="O24">
            <v>121.5949338426049</v>
          </cell>
        </row>
        <row r="27">
          <cell r="M27">
            <v>610.05778985598317</v>
          </cell>
          <cell r="N27">
            <v>860.18850677124533</v>
          </cell>
          <cell r="O27">
            <v>1215.9877925966866</v>
          </cell>
        </row>
        <row r="34">
          <cell r="M34">
            <v>102023.18367641098</v>
          </cell>
          <cell r="N34">
            <v>109374.21055016514</v>
          </cell>
          <cell r="O34">
            <v>161860.6957103638</v>
          </cell>
        </row>
        <row r="39">
          <cell r="M39">
            <v>94084.74325818634</v>
          </cell>
          <cell r="N39">
            <v>100354.01461367596</v>
          </cell>
          <cell r="O39">
            <v>126041.24031409749</v>
          </cell>
        </row>
        <row r="49">
          <cell r="M49">
            <v>86930.596306118183</v>
          </cell>
          <cell r="N49">
            <v>92702.224404406297</v>
          </cell>
          <cell r="O49">
            <v>142230.76299727769</v>
          </cell>
        </row>
        <row r="89">
          <cell r="M89">
            <v>3.5715321591722395E-2</v>
          </cell>
          <cell r="N89">
            <v>3.7408137630949342E-2</v>
          </cell>
          <cell r="O89">
            <v>2.3801643745639575E-2</v>
          </cell>
        </row>
        <row r="90">
          <cell r="M90">
            <v>2.1573256951494542E-2</v>
          </cell>
          <cell r="N90">
            <v>2.3134959731704867E-2</v>
          </cell>
          <cell r="O90">
            <v>1.4874649696951974E-2</v>
          </cell>
        </row>
        <row r="91">
          <cell r="M91">
            <v>0.40162117905956279</v>
          </cell>
          <cell r="N91">
            <v>0.38700249983023349</v>
          </cell>
          <cell r="O91">
            <v>0.38041389574682954</v>
          </cell>
        </row>
        <row r="96">
          <cell r="M96">
            <v>10513.203116272125</v>
          </cell>
          <cell r="N96">
            <v>11373.391623043372</v>
          </cell>
          <cell r="O96">
            <v>12589.379415640058</v>
          </cell>
        </row>
        <row r="102">
          <cell r="M102">
            <v>0</v>
          </cell>
          <cell r="N102">
            <v>0</v>
          </cell>
          <cell r="O102">
            <v>0</v>
          </cell>
        </row>
      </sheetData>
      <sheetData sheetId="8"/>
      <sheetData sheetId="9"/>
      <sheetData sheetId="10"/>
      <sheetData sheetId="11">
        <row r="15">
          <cell r="DC15">
            <v>611.18206828790142</v>
          </cell>
          <cell r="DD15">
            <v>644.98822031897396</v>
          </cell>
          <cell r="DE15">
            <v>677.81885245647732</v>
          </cell>
        </row>
        <row r="18">
          <cell r="DC18">
            <v>2281.2970553382197</v>
          </cell>
          <cell r="DD18">
            <v>2471.6085904741467</v>
          </cell>
          <cell r="DE18">
            <v>2805.1121824768584</v>
          </cell>
        </row>
        <row r="20">
          <cell r="DC20">
            <v>8132.8033555003076</v>
          </cell>
          <cell r="DD20">
            <v>8802.6803271356257</v>
          </cell>
          <cell r="DE20">
            <v>9685.1645277296011</v>
          </cell>
        </row>
        <row r="24">
          <cell r="DC24">
            <v>3083.6218310121831</v>
          </cell>
          <cell r="DD24">
            <v>2976.9567576416594</v>
          </cell>
          <cell r="DE24">
            <v>3939.8512913672407</v>
          </cell>
        </row>
        <row r="28">
          <cell r="DC28">
            <v>64062.477207698772</v>
          </cell>
          <cell r="DD28">
            <v>68303.511617598822</v>
          </cell>
          <cell r="DE28">
            <v>105914.6154589358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evere Stress&gt;&gt;"/>
      <sheetName val="Severe Stress Plan"/>
      <sheetName val="Severe HC"/>
      <sheetName val="Moderate Stress&gt;&gt;"/>
      <sheetName val="Moderate Stress Plan"/>
      <sheetName val="Moderate HC"/>
      <sheetName val="Baseline Stress&gt;&gt;"/>
      <sheetName val="Baseline Stress Plan"/>
      <sheetName val="Baseline HC"/>
      <sheetName val="Lossmaking branch headcount"/>
      <sheetName val="PY Impact Premise "/>
    </sheetNames>
    <sheetDataSet>
      <sheetData sheetId="0">
        <row r="31">
          <cell r="H31">
            <v>4205.5521805998551</v>
          </cell>
          <cell r="I31">
            <v>4722.2625009924932</v>
          </cell>
          <cell r="J31">
            <v>6068.9217108412486</v>
          </cell>
          <cell r="L31">
            <v>4017.942706343144</v>
          </cell>
          <cell r="M31">
            <v>4272.9117339014701</v>
          </cell>
          <cell r="N31">
            <v>5828.6927136552958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Y84"/>
  <sheetViews>
    <sheetView showGridLines="0"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20" sqref="Q20"/>
    </sheetView>
  </sheetViews>
  <sheetFormatPr defaultColWidth="9.109375" defaultRowHeight="13.8" x14ac:dyDescent="0.3"/>
  <cols>
    <col min="1" max="1" width="1.109375" style="1" customWidth="1"/>
    <col min="2" max="2" width="36.33203125" style="1" bestFit="1" customWidth="1"/>
    <col min="3" max="5" width="8.77734375" style="83" bestFit="1" customWidth="1"/>
    <col min="6" max="6" width="2.21875" style="83" customWidth="1"/>
    <col min="7" max="8" width="8.77734375" style="83" bestFit="1" customWidth="1"/>
    <col min="9" max="9" width="9" style="83" bestFit="1" customWidth="1"/>
    <col min="10" max="10" width="1.6640625" style="83" customWidth="1"/>
    <col min="11" max="12" width="8.77734375" style="83" bestFit="1" customWidth="1"/>
    <col min="13" max="13" width="9" style="83" bestFit="1" customWidth="1"/>
    <col min="14" max="14" width="1.88671875" style="83" customWidth="1"/>
    <col min="15" max="16" width="8.77734375" style="83" bestFit="1" customWidth="1"/>
    <col min="17" max="17" width="9" style="83" bestFit="1" customWidth="1"/>
    <col min="18" max="18" width="2.44140625" style="1" customWidth="1"/>
    <col min="19" max="23" width="7.88671875" style="1" bestFit="1" customWidth="1"/>
    <col min="24" max="24" width="9.5546875" style="1" bestFit="1" customWidth="1"/>
    <col min="25" max="25" width="11.44140625" style="1" bestFit="1" customWidth="1"/>
    <col min="26" max="16384" width="9.109375" style="1"/>
  </cols>
  <sheetData>
    <row r="1" spans="2:24" x14ac:dyDescent="0.3">
      <c r="C1" s="100"/>
      <c r="D1" s="100"/>
      <c r="E1" s="246"/>
      <c r="O1" s="246"/>
      <c r="P1" s="246"/>
      <c r="Q1" s="246"/>
    </row>
    <row r="2" spans="2:24" s="83" customFormat="1" x14ac:dyDescent="0.3">
      <c r="C2" s="432" t="s">
        <v>74</v>
      </c>
      <c r="D2" s="433"/>
      <c r="E2" s="434"/>
      <c r="G2" s="432" t="s">
        <v>73</v>
      </c>
      <c r="H2" s="433"/>
      <c r="I2" s="434"/>
      <c r="K2" s="432" t="s">
        <v>44</v>
      </c>
      <c r="L2" s="433"/>
      <c r="M2" s="434"/>
      <c r="O2" s="432" t="s">
        <v>42</v>
      </c>
      <c r="P2" s="433"/>
      <c r="Q2" s="434"/>
      <c r="R2" s="49"/>
      <c r="S2" s="435" t="s">
        <v>45</v>
      </c>
      <c r="T2" s="436"/>
      <c r="U2" s="437"/>
    </row>
    <row r="3" spans="2:24" s="392" customFormat="1" x14ac:dyDescent="0.3">
      <c r="B3" s="388" t="s">
        <v>0</v>
      </c>
      <c r="C3" s="389" t="s">
        <v>68</v>
      </c>
      <c r="D3" s="390" t="s">
        <v>69</v>
      </c>
      <c r="E3" s="391" t="s">
        <v>70</v>
      </c>
      <c r="F3" s="83"/>
      <c r="G3" s="389" t="s">
        <v>68</v>
      </c>
      <c r="H3" s="390" t="s">
        <v>69</v>
      </c>
      <c r="I3" s="391" t="s">
        <v>70</v>
      </c>
      <c r="J3" s="83"/>
      <c r="K3" s="389" t="s">
        <v>68</v>
      </c>
      <c r="L3" s="390" t="s">
        <v>69</v>
      </c>
      <c r="M3" s="391" t="s">
        <v>70</v>
      </c>
      <c r="N3" s="83"/>
      <c r="O3" s="389" t="s">
        <v>68</v>
      </c>
      <c r="P3" s="390" t="s">
        <v>69</v>
      </c>
      <c r="Q3" s="391" t="s">
        <v>70</v>
      </c>
      <c r="R3" s="49"/>
      <c r="S3" s="389" t="s">
        <v>68</v>
      </c>
      <c r="T3" s="390" t="s">
        <v>69</v>
      </c>
      <c r="U3" s="391" t="s">
        <v>70</v>
      </c>
    </row>
    <row r="4" spans="2:24" x14ac:dyDescent="0.3">
      <c r="B4" s="275" t="s">
        <v>60</v>
      </c>
      <c r="C4" s="296">
        <f>'[1]2a. SMHFC Financials'!$M6</f>
        <v>5305.2789718509384</v>
      </c>
      <c r="D4" s="247">
        <f>'[1]2a. SMHFC Financials'!$N6</f>
        <v>7537.2426015304964</v>
      </c>
      <c r="E4" s="297">
        <f>'[1]2a. SMHFC Financials'!$O6</f>
        <v>10002.110199523438</v>
      </c>
      <c r="G4" s="296">
        <f>G27*G$23</f>
        <v>5135.2738432198103</v>
      </c>
      <c r="H4" s="247">
        <f t="shared" ref="H4:I4" si="0">H27*H$23</f>
        <v>6756.9972687802465</v>
      </c>
      <c r="I4" s="297">
        <f t="shared" si="0"/>
        <v>8864.6255266309981</v>
      </c>
      <c r="K4" s="296">
        <f t="shared" ref="K4:M17" si="1">K27*K$23</f>
        <v>4965.29687510453</v>
      </c>
      <c r="L4" s="247">
        <f t="shared" si="1"/>
        <v>5981.6160776769893</v>
      </c>
      <c r="M4" s="297">
        <f t="shared" si="1"/>
        <v>7736.9110819318557</v>
      </c>
      <c r="O4" s="296">
        <f>'[2]2a. SMHFC Financials'!$M6</f>
        <v>4795.3480675050996</v>
      </c>
      <c r="P4" s="247">
        <f>'[2]2a. SMHFC Financials'!$N6</f>
        <v>5211.0990282207249</v>
      </c>
      <c r="Q4" s="297">
        <f>'[2]2a. SMHFC Financials'!$O6</f>
        <v>6618.9668654260104</v>
      </c>
      <c r="R4" s="30"/>
      <c r="S4" s="341"/>
      <c r="T4" s="342"/>
      <c r="U4" s="343"/>
    </row>
    <row r="5" spans="2:24" x14ac:dyDescent="0.3">
      <c r="B5" s="275" t="s">
        <v>61</v>
      </c>
      <c r="C5" s="296">
        <f>'[1]2a. SMHFC Financials'!$M7</f>
        <v>425.28246506174736</v>
      </c>
      <c r="D5" s="247">
        <f>'[1]2a. SMHFC Financials'!$N7</f>
        <v>550.27564783902221</v>
      </c>
      <c r="E5" s="297">
        <f>'[1]2a. SMHFC Financials'!$O7</f>
        <v>684.78818275607671</v>
      </c>
      <c r="G5" s="296">
        <f t="shared" ref="G5:I17" si="2">G28*G$23</f>
        <v>404.2906942892842</v>
      </c>
      <c r="H5" s="247">
        <f t="shared" si="2"/>
        <v>476.78433039616579</v>
      </c>
      <c r="I5" s="297">
        <f t="shared" si="2"/>
        <v>600.62826830243523</v>
      </c>
      <c r="K5" s="296">
        <f t="shared" si="1"/>
        <v>383.78748004232625</v>
      </c>
      <c r="L5" s="247">
        <f t="shared" si="1"/>
        <v>407.34684332568924</v>
      </c>
      <c r="M5" s="297">
        <f t="shared" si="1"/>
        <v>518.68654859220783</v>
      </c>
      <c r="O5" s="296">
        <f>'[2]2a. SMHFC Financials'!$M7</f>
        <v>363.77282232087356</v>
      </c>
      <c r="P5" s="247">
        <f>'[2]2a. SMHFC Financials'!$N7</f>
        <v>341.96318662759268</v>
      </c>
      <c r="Q5" s="297">
        <f>'[2]2a. SMHFC Financials'!$O7</f>
        <v>438.96302362539416</v>
      </c>
      <c r="R5" s="30"/>
      <c r="S5" s="344"/>
      <c r="T5" s="5"/>
      <c r="U5" s="345"/>
    </row>
    <row r="6" spans="2:24" x14ac:dyDescent="0.3">
      <c r="B6" s="275" t="s">
        <v>62</v>
      </c>
      <c r="C6" s="296">
        <f>'[1]2a. SMHFC Financials'!$M8</f>
        <v>-378.50100417733472</v>
      </c>
      <c r="D6" s="247">
        <f>'[1]2a. SMHFC Financials'!$N8</f>
        <v>-508.57949857925468</v>
      </c>
      <c r="E6" s="297">
        <f>'[1]2a. SMHFC Financials'!$O8</f>
        <v>-654.19676493563929</v>
      </c>
      <c r="G6" s="296">
        <f t="shared" si="2"/>
        <v>-365.54726273285752</v>
      </c>
      <c r="H6" s="247">
        <f t="shared" si="2"/>
        <v>-457.39165851362583</v>
      </c>
      <c r="I6" s="297">
        <f t="shared" si="2"/>
        <v>-586.05203918043196</v>
      </c>
      <c r="K6" s="296">
        <f t="shared" si="1"/>
        <v>-352.65000330120165</v>
      </c>
      <c r="L6" s="247">
        <f t="shared" si="1"/>
        <v>-406.20537598497054</v>
      </c>
      <c r="M6" s="297">
        <f t="shared" si="1"/>
        <v>-517.00428371012322</v>
      </c>
      <c r="O6" s="296">
        <f>'[2]2a. SMHFC Financials'!$M8</f>
        <v>-339.80922588236717</v>
      </c>
      <c r="P6" s="247">
        <f>'[2]2a. SMHFC Financials'!$N8</f>
        <v>-355.02065099328888</v>
      </c>
      <c r="Q6" s="297">
        <f>'[2]2a. SMHFC Financials'!$O8</f>
        <v>-447.05349852471295</v>
      </c>
      <c r="R6" s="30"/>
      <c r="S6" s="344"/>
      <c r="T6" s="5"/>
      <c r="U6" s="345"/>
    </row>
    <row r="7" spans="2:24" x14ac:dyDescent="0.3">
      <c r="B7" s="275" t="s">
        <v>63</v>
      </c>
      <c r="C7" s="296">
        <f>C5+C6</f>
        <v>46.781460884412638</v>
      </c>
      <c r="D7" s="247">
        <f t="shared" ref="D7:E7" si="3">D5+D6</f>
        <v>41.696149259767537</v>
      </c>
      <c r="E7" s="297">
        <f t="shared" si="3"/>
        <v>30.591417820437414</v>
      </c>
      <c r="G7" s="296">
        <f t="shared" ref="G7:I7" si="4">G5+G6</f>
        <v>38.743431556426685</v>
      </c>
      <c r="H7" s="247">
        <f t="shared" si="4"/>
        <v>19.392671882539958</v>
      </c>
      <c r="I7" s="297">
        <f t="shared" si="4"/>
        <v>14.576229122003269</v>
      </c>
      <c r="K7" s="296">
        <f t="shared" ref="K7:M7" si="5">K5+K6</f>
        <v>31.137476741124601</v>
      </c>
      <c r="L7" s="247">
        <f t="shared" si="5"/>
        <v>1.141467340718691</v>
      </c>
      <c r="M7" s="297">
        <f t="shared" si="5"/>
        <v>1.6822648820846098</v>
      </c>
      <c r="O7" s="296">
        <f>O5+O6</f>
        <v>23.963596438506386</v>
      </c>
      <c r="P7" s="247">
        <f t="shared" ref="P7" si="6">P5+P6</f>
        <v>-13.057464365696205</v>
      </c>
      <c r="Q7" s="297">
        <f t="shared" ref="Q7" si="7">Q5+Q6</f>
        <v>-8.0904748993187923</v>
      </c>
      <c r="R7" s="30"/>
      <c r="S7" s="344"/>
      <c r="T7" s="5"/>
      <c r="U7" s="345"/>
    </row>
    <row r="8" spans="2:24" x14ac:dyDescent="0.3">
      <c r="B8" s="275" t="s">
        <v>64</v>
      </c>
      <c r="C8" s="296">
        <f>'[1]2a. SMHFC Financials'!$M15</f>
        <v>573.91267074225266</v>
      </c>
      <c r="D8" s="247">
        <f>'[1]2a. SMHFC Financials'!$N15</f>
        <v>827.29044609939956</v>
      </c>
      <c r="E8" s="297">
        <f>'[1]2a. SMHFC Financials'!$O15</f>
        <v>1120.0576712330419</v>
      </c>
      <c r="G8" s="296">
        <f t="shared" si="2"/>
        <v>494.54731689546315</v>
      </c>
      <c r="H8" s="247">
        <f t="shared" si="2"/>
        <v>679.94130859722179</v>
      </c>
      <c r="I8" s="297">
        <f t="shared" si="2"/>
        <v>1096.5192673224108</v>
      </c>
      <c r="K8" s="296">
        <f t="shared" si="1"/>
        <v>419.21172151768707</v>
      </c>
      <c r="L8" s="247">
        <f t="shared" si="1"/>
        <v>546.93601799688304</v>
      </c>
      <c r="M8" s="297">
        <f t="shared" si="1"/>
        <v>1048.4688119491639</v>
      </c>
      <c r="O8" s="296">
        <f>'[2]2a. SMHFC Financials'!$M15</f>
        <v>347.90588460892445</v>
      </c>
      <c r="P8" s="247">
        <f>'[2]2a. SMHFC Financials'!$N15</f>
        <v>428.27457429838353</v>
      </c>
      <c r="Q8" s="297">
        <f>'[2]2a. SMHFC Financials'!$O15</f>
        <v>975.90630511330073</v>
      </c>
      <c r="R8" s="30"/>
      <c r="S8" s="344"/>
      <c r="T8" s="5"/>
      <c r="U8" s="345"/>
    </row>
    <row r="9" spans="2:24" x14ac:dyDescent="0.3">
      <c r="B9" s="275" t="s">
        <v>65</v>
      </c>
      <c r="C9" s="296">
        <f>'[1]2a. SMHFC Financials'!$M16</f>
        <v>445.64897337348782</v>
      </c>
      <c r="D9" s="247">
        <f>'[1]2a. SMHFC Financials'!$N16</f>
        <v>442.82142361617014</v>
      </c>
      <c r="E9" s="297">
        <f>'[1]2a. SMHFC Financials'!$O16</f>
        <v>391.92087972413162</v>
      </c>
      <c r="G9" s="296">
        <f t="shared" si="2"/>
        <v>399.10456513676974</v>
      </c>
      <c r="H9" s="247">
        <f t="shared" si="2"/>
        <v>317.02790640643548</v>
      </c>
      <c r="I9" s="297">
        <f t="shared" si="2"/>
        <v>335.28354686113727</v>
      </c>
      <c r="K9" s="296">
        <f t="shared" si="1"/>
        <v>354.69319717916488</v>
      </c>
      <c r="L9" s="247">
        <f t="shared" si="1"/>
        <v>209.41298834507529</v>
      </c>
      <c r="M9" s="297">
        <f t="shared" si="1"/>
        <v>282.00452748586684</v>
      </c>
      <c r="O9" s="296">
        <f>'[2]2a. SMHFC Financials'!$M16</f>
        <v>312.41486950067315</v>
      </c>
      <c r="P9" s="247">
        <f>'[2]2a. SMHFC Financials'!$N16</f>
        <v>119.97666943208969</v>
      </c>
      <c r="Q9" s="297">
        <f>'[2]2a. SMHFC Financials'!$O16</f>
        <v>232.0838215983201</v>
      </c>
      <c r="R9" s="30"/>
      <c r="S9" s="344"/>
      <c r="T9" s="5"/>
      <c r="U9" s="345"/>
    </row>
    <row r="10" spans="2:24" x14ac:dyDescent="0.3">
      <c r="B10" s="275" t="s">
        <v>66</v>
      </c>
      <c r="C10" s="298">
        <f>'[1]2a. SMHFC Financials'!$M17</f>
        <v>337.18980932385773</v>
      </c>
      <c r="D10" s="248">
        <f>'[1]2a. SMHFC Financials'!$N17</f>
        <v>358.32938498216345</v>
      </c>
      <c r="E10" s="299">
        <f>'[1]2a. SMHFC Financials'!$O17</f>
        <v>389.47218256904523</v>
      </c>
      <c r="G10" s="298">
        <f t="shared" si="2"/>
        <v>329.56908862093258</v>
      </c>
      <c r="H10" s="248">
        <f t="shared" si="2"/>
        <v>323.98186445289133</v>
      </c>
      <c r="I10" s="299">
        <f t="shared" si="2"/>
        <v>277.91194963949067</v>
      </c>
      <c r="K10" s="298">
        <f t="shared" si="1"/>
        <v>321.73986484975785</v>
      </c>
      <c r="L10" s="248">
        <f t="shared" si="1"/>
        <v>289.25100205399792</v>
      </c>
      <c r="M10" s="299">
        <f t="shared" si="1"/>
        <v>183.31992937467612</v>
      </c>
      <c r="O10" s="298">
        <f>'[2]2a. SMHFC Financials'!$M17</f>
        <v>313.70213801033356</v>
      </c>
      <c r="P10" s="248">
        <f>'[2]2a. SMHFC Financials'!$N17</f>
        <v>254.13679778548328</v>
      </c>
      <c r="Q10" s="299">
        <f>'[2]2a. SMHFC Financials'!$O17</f>
        <v>105.69612177460147</v>
      </c>
      <c r="R10" s="30"/>
      <c r="S10" s="344"/>
      <c r="T10" s="5"/>
      <c r="U10" s="345"/>
    </row>
    <row r="11" spans="2:24" s="243" customFormat="1" x14ac:dyDescent="0.3">
      <c r="B11" s="282" t="s">
        <v>8</v>
      </c>
      <c r="C11" s="302">
        <f>C4+C7+C8+C9+C10</f>
        <v>6708.8118861749499</v>
      </c>
      <c r="D11" s="250">
        <f t="shared" ref="D11:E11" si="8">D4+D7+D8+D9+D10</f>
        <v>9207.3800054879976</v>
      </c>
      <c r="E11" s="303">
        <f t="shared" si="8"/>
        <v>11934.152350870094</v>
      </c>
      <c r="F11" s="49"/>
      <c r="G11" s="302">
        <f>G4+G7+G8+G9+G10</f>
        <v>6397.238245429402</v>
      </c>
      <c r="H11" s="250">
        <f t="shared" ref="H11:I11" si="9">H4+H7+H8+H9+H10</f>
        <v>8097.3410201193346</v>
      </c>
      <c r="I11" s="303">
        <f t="shared" si="9"/>
        <v>10588.91651957604</v>
      </c>
      <c r="J11" s="49"/>
      <c r="K11" s="302">
        <f>K4+K7+K8+K9+K10</f>
        <v>6092.0791353922632</v>
      </c>
      <c r="L11" s="250">
        <f t="shared" ref="L11:M11" si="10">L4+L7+L8+L9+L10</f>
        <v>7028.3575534136635</v>
      </c>
      <c r="M11" s="303">
        <f t="shared" si="10"/>
        <v>9252.3866156236472</v>
      </c>
      <c r="N11" s="49"/>
      <c r="O11" s="302">
        <f>O4+O7+O8+O9+O10</f>
        <v>5793.3345560635371</v>
      </c>
      <c r="P11" s="250">
        <f t="shared" ref="P11" si="11">P4+P7+P8+P9+P10</f>
        <v>6000.429605370985</v>
      </c>
      <c r="Q11" s="303">
        <f t="shared" ref="Q11" si="12">Q4+Q7+Q8+Q9+Q10</f>
        <v>7924.5626390129137</v>
      </c>
      <c r="R11" s="64"/>
      <c r="S11" s="348"/>
      <c r="T11" s="11"/>
      <c r="U11" s="349"/>
    </row>
    <row r="12" spans="2:24" x14ac:dyDescent="0.3">
      <c r="B12" s="275" t="s">
        <v>9</v>
      </c>
      <c r="C12" s="296">
        <f>'[1]2a. SMHFC Financials'!$M19</f>
        <v>4365.4349238269142</v>
      </c>
      <c r="D12" s="247">
        <f>'[1]2a. SMHFC Financials'!$N19</f>
        <v>5573.0447107525815</v>
      </c>
      <c r="E12" s="297">
        <f>'[1]2a. SMHFC Financials'!$O19</f>
        <v>6822.3356551189545</v>
      </c>
      <c r="G12" s="296">
        <f>[3]Summary!H31</f>
        <v>4205.5521805998551</v>
      </c>
      <c r="H12" s="247">
        <f>[3]Summary!I31</f>
        <v>4722.2625009924932</v>
      </c>
      <c r="I12" s="297">
        <f>[3]Summary!J31</f>
        <v>6068.9217108412486</v>
      </c>
      <c r="K12" s="296">
        <f>[3]Summary!L31</f>
        <v>4017.942706343144</v>
      </c>
      <c r="L12" s="247">
        <f>[3]Summary!M31</f>
        <v>4272.9117339014701</v>
      </c>
      <c r="M12" s="297">
        <f>[3]Summary!N31</f>
        <v>5828.6927136552958</v>
      </c>
      <c r="O12" s="296">
        <f>'[2]2a. SMHFC Financials'!$M19</f>
        <v>3904.1597504024344</v>
      </c>
      <c r="P12" s="247">
        <f>'[2]2a. SMHFC Financials'!$N19</f>
        <v>4047.4278508772454</v>
      </c>
      <c r="Q12" s="297">
        <f>'[2]2a. SMHFC Financials'!$O19</f>
        <v>5343.4715308247942</v>
      </c>
      <c r="R12" s="30"/>
      <c r="S12" s="344"/>
      <c r="T12" s="5"/>
      <c r="U12" s="345"/>
    </row>
    <row r="13" spans="2:24" x14ac:dyDescent="0.3">
      <c r="B13" s="283" t="s">
        <v>10</v>
      </c>
      <c r="C13" s="300">
        <f>C11-C12</f>
        <v>2343.3769623480357</v>
      </c>
      <c r="D13" s="249">
        <f t="shared" ref="D13:Q13" si="13">D11-D12</f>
        <v>3634.335294735416</v>
      </c>
      <c r="E13" s="301">
        <f t="shared" si="13"/>
        <v>5111.8166957511394</v>
      </c>
      <c r="G13" s="300">
        <f t="shared" si="13"/>
        <v>2191.6860648295469</v>
      </c>
      <c r="H13" s="249">
        <f t="shared" si="13"/>
        <v>3375.0785191268415</v>
      </c>
      <c r="I13" s="301">
        <f t="shared" si="13"/>
        <v>4519.9948087347911</v>
      </c>
      <c r="K13" s="300">
        <f t="shared" si="13"/>
        <v>2074.1364290491192</v>
      </c>
      <c r="L13" s="249">
        <f t="shared" si="13"/>
        <v>2755.4458195121933</v>
      </c>
      <c r="M13" s="301">
        <f t="shared" si="13"/>
        <v>3423.6939019683514</v>
      </c>
      <c r="O13" s="300">
        <f t="shared" si="13"/>
        <v>1889.1748056611027</v>
      </c>
      <c r="P13" s="249">
        <f t="shared" si="13"/>
        <v>1953.0017544937396</v>
      </c>
      <c r="Q13" s="301">
        <f t="shared" si="13"/>
        <v>2581.0911081881195</v>
      </c>
      <c r="R13" s="64"/>
      <c r="S13" s="346"/>
      <c r="T13" s="8"/>
      <c r="U13" s="347"/>
      <c r="V13" s="386"/>
      <c r="W13" s="386"/>
      <c r="X13" s="386"/>
    </row>
    <row r="14" spans="2:24" x14ac:dyDescent="0.3">
      <c r="B14" s="282" t="s">
        <v>11</v>
      </c>
      <c r="C14" s="302">
        <f>SUM(C15:C17)</f>
        <v>624.62030494746864</v>
      </c>
      <c r="D14" s="250">
        <f t="shared" ref="D14:E14" si="14">SUM(D15:D17)</f>
        <v>804.17623588408128</v>
      </c>
      <c r="E14" s="303">
        <f t="shared" si="14"/>
        <v>996.7079392415335</v>
      </c>
      <c r="G14" s="302">
        <f>SUM(G15:G17)</f>
        <v>779.09302427040575</v>
      </c>
      <c r="H14" s="250">
        <f t="shared" ref="H14:I14" si="15">SUM(H15:H17)</f>
        <v>814.83409509682542</v>
      </c>
      <c r="I14" s="303">
        <f t="shared" si="15"/>
        <v>996.52202126930024</v>
      </c>
      <c r="K14" s="302">
        <f>SUM(K15:K17)</f>
        <v>922.04599032746955</v>
      </c>
      <c r="L14" s="250">
        <f t="shared" ref="L14" si="16">SUM(L15:L17)</f>
        <v>804.99579455518324</v>
      </c>
      <c r="M14" s="303">
        <f t="shared" ref="M14" si="17">SUM(M15:M17)</f>
        <v>969.40417685574891</v>
      </c>
      <c r="O14" s="302">
        <f>SUM(O15:O17)</f>
        <v>1053.4792031186603</v>
      </c>
      <c r="P14" s="250">
        <f t="shared" ref="P14" si="18">SUM(P15:P17)</f>
        <v>774.66133425915473</v>
      </c>
      <c r="Q14" s="303">
        <f t="shared" ref="Q14" si="19">SUM(Q15:Q17)</f>
        <v>915.35440600087907</v>
      </c>
      <c r="R14" s="64"/>
      <c r="S14" s="348"/>
      <c r="T14" s="11"/>
      <c r="U14" s="349"/>
      <c r="V14" s="239"/>
      <c r="W14" s="239"/>
      <c r="X14" s="239"/>
    </row>
    <row r="15" spans="2:24" x14ac:dyDescent="0.3">
      <c r="B15" s="275" t="s">
        <v>12</v>
      </c>
      <c r="C15" s="296">
        <f>'[1]2a. SMHFC Financials'!$M22</f>
        <v>548.349728735344</v>
      </c>
      <c r="D15" s="247">
        <f>'[1]2a. SMHFC Financials'!$N22</f>
        <v>645.75646776170925</v>
      </c>
      <c r="E15" s="297">
        <f>'[1]2a. SMHFC Financials'!$O22</f>
        <v>790.29476066533766</v>
      </c>
      <c r="G15" s="296">
        <f t="shared" si="2"/>
        <v>549.58907800377631</v>
      </c>
      <c r="H15" s="247">
        <f t="shared" si="2"/>
        <v>715.60761363409677</v>
      </c>
      <c r="I15" s="297">
        <f t="shared" si="2"/>
        <v>880.22718208607364</v>
      </c>
      <c r="K15" s="296">
        <f t="shared" si="1"/>
        <v>549.58907800377631</v>
      </c>
      <c r="L15" s="247">
        <f t="shared" si="1"/>
        <v>755.28347187218856</v>
      </c>
      <c r="M15" s="297">
        <f t="shared" si="1"/>
        <v>926.59205644142605</v>
      </c>
      <c r="O15" s="296">
        <f>'[2]2a. SMHFC Financials'!$M22</f>
        <v>548.349728735344</v>
      </c>
      <c r="P15" s="247">
        <f>'[2]2a. SMHFC Financials'!$N22</f>
        <v>764.78404247598451</v>
      </c>
      <c r="Q15" s="297">
        <f>'[2]2a. SMHFC Financials'!$O22</f>
        <v>929.3893837313949</v>
      </c>
      <c r="R15" s="30"/>
      <c r="S15" s="344"/>
      <c r="T15" s="5"/>
      <c r="U15" s="345"/>
      <c r="V15" s="239"/>
      <c r="W15" s="239"/>
      <c r="X15" s="239"/>
    </row>
    <row r="16" spans="2:24" x14ac:dyDescent="0.3">
      <c r="B16" s="275" t="s">
        <v>13</v>
      </c>
      <c r="C16" s="296">
        <f>'[1]2a. SMHFC Financials'!$M23</f>
        <v>-94.402361099163173</v>
      </c>
      <c r="D16" s="247">
        <f>'[1]2a. SMHFC Financials'!$N23</f>
        <v>-121.03768991315903</v>
      </c>
      <c r="E16" s="297">
        <f>'[1]2a. SMHFC Financials'!$O23</f>
        <v>-138.43136548578883</v>
      </c>
      <c r="G16" s="296">
        <f t="shared" si="2"/>
        <v>-93.368507436109923</v>
      </c>
      <c r="H16" s="247">
        <f t="shared" si="2"/>
        <v>-122.09871705988053</v>
      </c>
      <c r="I16" s="297">
        <f t="shared" si="2"/>
        <v>-142.16518821265456</v>
      </c>
      <c r="K16" s="296">
        <f t="shared" si="1"/>
        <v>-92.203656012347139</v>
      </c>
      <c r="L16" s="247">
        <f t="shared" si="1"/>
        <v>-120.19637998958858</v>
      </c>
      <c r="M16" s="297">
        <f t="shared" si="1"/>
        <v>-141.23137024176518</v>
      </c>
      <c r="O16" s="296">
        <f>'[2]2a. SMHFC Financials'!$M23</f>
        <v>-90.907806827874836</v>
      </c>
      <c r="P16" s="247">
        <f>'[2]2a. SMHFC Financials'!$N23</f>
        <v>-115.33067870228314</v>
      </c>
      <c r="Q16" s="297">
        <f>'[2]2a. SMHFC Financials'!$O23</f>
        <v>-135.62991157312069</v>
      </c>
      <c r="R16" s="30"/>
      <c r="S16" s="344"/>
      <c r="T16" s="5"/>
      <c r="U16" s="345"/>
      <c r="V16" s="239"/>
      <c r="W16" s="239"/>
      <c r="X16" s="239"/>
    </row>
    <row r="17" spans="2:25" x14ac:dyDescent="0.3">
      <c r="B17" s="275" t="s">
        <v>14</v>
      </c>
      <c r="C17" s="296">
        <f>'[1]2a. SMHFC Financials'!$M24</f>
        <v>170.67293731128777</v>
      </c>
      <c r="D17" s="247">
        <f>'[1]2a. SMHFC Financials'!$N24</f>
        <v>279.45745803553109</v>
      </c>
      <c r="E17" s="297">
        <f>'[1]2a. SMHFC Financials'!$O24</f>
        <v>344.84454406198461</v>
      </c>
      <c r="G17" s="296">
        <f t="shared" si="2"/>
        <v>322.87245370273934</v>
      </c>
      <c r="H17" s="247">
        <f t="shared" si="2"/>
        <v>221.32519852260913</v>
      </c>
      <c r="I17" s="297">
        <f t="shared" si="2"/>
        <v>258.46002739588124</v>
      </c>
      <c r="K17" s="296">
        <f t="shared" si="1"/>
        <v>464.66056833604046</v>
      </c>
      <c r="L17" s="247">
        <f t="shared" si="1"/>
        <v>169.90870267258325</v>
      </c>
      <c r="M17" s="297">
        <f t="shared" si="1"/>
        <v>184.04349065608801</v>
      </c>
      <c r="O17" s="296">
        <f>'[2]2a. SMHFC Financials'!$M24</f>
        <v>596.03728121119116</v>
      </c>
      <c r="P17" s="247">
        <f>'[2]2a. SMHFC Financials'!$N24</f>
        <v>125.20797048545344</v>
      </c>
      <c r="Q17" s="297">
        <f>'[2]2a. SMHFC Financials'!$O24</f>
        <v>121.5949338426049</v>
      </c>
      <c r="R17" s="30"/>
      <c r="S17" s="344"/>
      <c r="T17" s="5"/>
      <c r="U17" s="345"/>
      <c r="V17" s="239"/>
      <c r="W17" s="239"/>
      <c r="X17" s="239"/>
    </row>
    <row r="18" spans="2:25" x14ac:dyDescent="0.3">
      <c r="B18" s="284" t="s">
        <v>15</v>
      </c>
      <c r="C18" s="296"/>
      <c r="D18" s="247"/>
      <c r="E18" s="297"/>
      <c r="G18" s="296"/>
      <c r="H18" s="247"/>
      <c r="I18" s="297"/>
      <c r="K18" s="296"/>
      <c r="L18" s="247"/>
      <c r="M18" s="297"/>
      <c r="O18" s="296"/>
      <c r="P18" s="247"/>
      <c r="Q18" s="297"/>
      <c r="R18" s="30"/>
      <c r="S18" s="344"/>
      <c r="T18" s="5"/>
      <c r="U18" s="345"/>
      <c r="V18" s="387"/>
      <c r="W18" s="387"/>
      <c r="X18" s="387"/>
    </row>
    <row r="19" spans="2:25" x14ac:dyDescent="0.3">
      <c r="B19" s="285" t="s">
        <v>16</v>
      </c>
      <c r="C19" s="304">
        <f>C13-C14</f>
        <v>1718.7566574005671</v>
      </c>
      <c r="D19" s="251">
        <f t="shared" ref="D19:E19" si="20">D13-D14</f>
        <v>2830.1590588513345</v>
      </c>
      <c r="E19" s="305">
        <f t="shared" si="20"/>
        <v>4115.1087565096059</v>
      </c>
      <c r="G19" s="304">
        <f>G13-G14</f>
        <v>1412.5930405591412</v>
      </c>
      <c r="H19" s="251">
        <f t="shared" ref="H19:I19" si="21">H13-H14</f>
        <v>2560.244424030016</v>
      </c>
      <c r="I19" s="305">
        <f t="shared" si="21"/>
        <v>3523.4727874654909</v>
      </c>
      <c r="K19" s="304">
        <f t="shared" ref="K19:M19" si="22">K13-K14</f>
        <v>1152.0904387216497</v>
      </c>
      <c r="L19" s="251">
        <f t="shared" si="22"/>
        <v>1950.4500249570101</v>
      </c>
      <c r="M19" s="305">
        <f t="shared" si="22"/>
        <v>2454.2897251126024</v>
      </c>
      <c r="O19" s="304">
        <f>O13-O14</f>
        <v>835.69560254244243</v>
      </c>
      <c r="P19" s="251">
        <f t="shared" ref="P19:Q19" si="23">P13-P14</f>
        <v>1178.3404202345848</v>
      </c>
      <c r="Q19" s="305">
        <f t="shared" si="23"/>
        <v>1665.7367021872406</v>
      </c>
      <c r="R19" s="64"/>
      <c r="S19" s="350"/>
      <c r="T19" s="14"/>
      <c r="U19" s="351"/>
      <c r="V19" s="210"/>
      <c r="W19" s="210"/>
      <c r="X19" s="210"/>
      <c r="Y19" s="210"/>
    </row>
    <row r="20" spans="2:25" x14ac:dyDescent="0.3">
      <c r="B20" s="285" t="s">
        <v>17</v>
      </c>
      <c r="C20" s="304">
        <f>'[1]2a. SMHFC Financials'!$M27</f>
        <v>1254.692359902414</v>
      </c>
      <c r="D20" s="251">
        <f>'[1]2a. SMHFC Financials'!$N27</f>
        <v>2066.0161129614744</v>
      </c>
      <c r="E20" s="305">
        <f>'[1]2a. SMHFC Financials'!$O27</f>
        <v>3004.0293922520141</v>
      </c>
      <c r="G20" s="304">
        <f>G19*0.73</f>
        <v>1031.192919608173</v>
      </c>
      <c r="H20" s="251">
        <f>H19*0.73</f>
        <v>1868.9784295419117</v>
      </c>
      <c r="I20" s="305">
        <f>I19*0.73</f>
        <v>2572.1351348498083</v>
      </c>
      <c r="K20" s="304">
        <f>K19*0.73</f>
        <v>841.02602026680427</v>
      </c>
      <c r="L20" s="251">
        <f>L19*0.73</f>
        <v>1423.8285182186173</v>
      </c>
      <c r="M20" s="305">
        <f>M19*0.73</f>
        <v>1791.6314993321996</v>
      </c>
      <c r="O20" s="304">
        <f>'[2]2a. SMHFC Financials'!$M27</f>
        <v>610.05778985598317</v>
      </c>
      <c r="P20" s="251">
        <f>'[2]2a. SMHFC Financials'!$N27</f>
        <v>860.18850677124533</v>
      </c>
      <c r="Q20" s="305">
        <f>'[2]2a. SMHFC Financials'!$O27</f>
        <v>1215.9877925966866</v>
      </c>
      <c r="R20" s="64"/>
      <c r="S20" s="350"/>
      <c r="T20" s="14"/>
      <c r="U20" s="351"/>
      <c r="V20" s="210"/>
      <c r="W20" s="210"/>
      <c r="X20" s="210"/>
      <c r="Y20" s="210"/>
    </row>
    <row r="21" spans="2:25" x14ac:dyDescent="0.3">
      <c r="B21" s="282" t="s">
        <v>71</v>
      </c>
      <c r="C21" s="306">
        <f>'[1]2a. SMHFC Financials'!$M49</f>
        <v>112136.80024975736</v>
      </c>
      <c r="D21" s="252">
        <f>'[1]2a. SMHFC Financials'!$N49</f>
        <v>150480.1734570642</v>
      </c>
      <c r="E21" s="307">
        <f>'[1]2a. SMHFC Financials'!$O49</f>
        <v>193146.81068852908</v>
      </c>
      <c r="G21" s="306">
        <f t="shared" ref="G21" si="24">C21*(1-S21/3)</f>
        <v>103734.73226854429</v>
      </c>
      <c r="H21" s="252">
        <f t="shared" ref="H21" si="25">D21*(1-T21/3)</f>
        <v>131220.85710617824</v>
      </c>
      <c r="I21" s="307">
        <f t="shared" ref="I21" si="26">E21*(1-U21/3)</f>
        <v>176174.79479144528</v>
      </c>
      <c r="J21" s="245"/>
      <c r="K21" s="306">
        <f t="shared" ref="K21" si="27">C21*(1-S21*2/3)</f>
        <v>95332.664287331252</v>
      </c>
      <c r="L21" s="252">
        <f t="shared" ref="L21" si="28">D21*(1-T21*2/3)</f>
        <v>111961.54075529227</v>
      </c>
      <c r="M21" s="307">
        <f t="shared" ref="M21" si="29">E21*(1-U21*2/3)</f>
        <v>159202.77889436149</v>
      </c>
      <c r="N21" s="245"/>
      <c r="O21" s="306">
        <f>'[2]2a. SMHFC Financials'!$M49</f>
        <v>86930.596306118183</v>
      </c>
      <c r="P21" s="252">
        <f>'[2]2a. SMHFC Financials'!$N49</f>
        <v>92702.224404406297</v>
      </c>
      <c r="Q21" s="307">
        <f>'[2]2a. SMHFC Financials'!$O49</f>
        <v>142230.76299727769</v>
      </c>
      <c r="R21" s="66"/>
      <c r="S21" s="352">
        <f t="shared" ref="S21" si="30">1-(O21/C21)</f>
        <v>0.2247808381146823</v>
      </c>
      <c r="T21" s="58">
        <f t="shared" ref="T21" si="31">1-(P21/D21)</f>
        <v>0.38395721991338227</v>
      </c>
      <c r="U21" s="353">
        <f t="shared" ref="U21" si="32">1-(Q21/E21)</f>
        <v>0.26361319407628858</v>
      </c>
      <c r="V21" s="210"/>
      <c r="W21" s="210"/>
      <c r="X21" s="210"/>
    </row>
    <row r="22" spans="2:25" s="56" customFormat="1" x14ac:dyDescent="0.3">
      <c r="B22" s="286" t="s">
        <v>59</v>
      </c>
      <c r="C22" s="306">
        <f>'[1]2a. SMHFC Financials'!$M34</f>
        <v>129046.78105872768</v>
      </c>
      <c r="D22" s="252">
        <f>'[1]2a. SMHFC Financials'!$N34</f>
        <v>172524.87558654527</v>
      </c>
      <c r="E22" s="307">
        <f>'[1]2a. SMHFC Financials'!$O34</f>
        <v>219789.91248989137</v>
      </c>
      <c r="F22" s="245"/>
      <c r="G22" s="306">
        <f t="shared" ref="G22:I23" si="33">C22*(1-S22/3)</f>
        <v>120038.91526462212</v>
      </c>
      <c r="H22" s="252">
        <f t="shared" si="33"/>
        <v>151474.6539077519</v>
      </c>
      <c r="I22" s="307">
        <f t="shared" si="33"/>
        <v>200480.17356338218</v>
      </c>
      <c r="J22" s="245"/>
      <c r="K22" s="306">
        <f t="shared" ref="K22:M23" si="34">C22*(1-S22*2/3)</f>
        <v>111031.04947051655</v>
      </c>
      <c r="L22" s="252">
        <f t="shared" si="34"/>
        <v>130424.43222895851</v>
      </c>
      <c r="M22" s="307">
        <f t="shared" si="34"/>
        <v>181170.43463687299</v>
      </c>
      <c r="N22" s="245"/>
      <c r="O22" s="306">
        <f>'[2]2a. SMHFC Financials'!$M34</f>
        <v>102023.18367641098</v>
      </c>
      <c r="P22" s="252">
        <f>'[2]2a. SMHFC Financials'!$N34</f>
        <v>109374.21055016514</v>
      </c>
      <c r="Q22" s="307">
        <f>'[2]2a. SMHFC Financials'!$O34</f>
        <v>161860.6957103638</v>
      </c>
      <c r="R22" s="66"/>
      <c r="S22" s="352">
        <f t="shared" ref="S22:U23" si="35">1-(O22/C22)</f>
        <v>0.20940931002392515</v>
      </c>
      <c r="T22" s="58">
        <f t="shared" si="35"/>
        <v>0.36603802681603015</v>
      </c>
      <c r="U22" s="353">
        <f t="shared" si="35"/>
        <v>0.26356631259040098</v>
      </c>
      <c r="V22" s="210"/>
      <c r="W22" s="210"/>
      <c r="X22" s="431"/>
    </row>
    <row r="23" spans="2:25" s="56" customFormat="1" x14ac:dyDescent="0.3">
      <c r="B23" s="286" t="s">
        <v>67</v>
      </c>
      <c r="C23" s="306">
        <f>'[1]2a. SMHFC Financials'!$M39</f>
        <v>104063.66117905549</v>
      </c>
      <c r="D23" s="252">
        <f>'[1]2a. SMHFC Financials'!$N39</f>
        <v>143754.07319783809</v>
      </c>
      <c r="E23" s="307">
        <f>'[1]2a. SMHFC Financials'!$O39</f>
        <v>187922.02070425203</v>
      </c>
      <c r="F23" s="245"/>
      <c r="G23" s="306">
        <f t="shared" si="33"/>
        <v>100737.35520543244</v>
      </c>
      <c r="H23" s="252">
        <f t="shared" si="33"/>
        <v>129287.38700311737</v>
      </c>
      <c r="I23" s="307">
        <f t="shared" si="33"/>
        <v>167295.09390753385</v>
      </c>
      <c r="J23" s="245"/>
      <c r="K23" s="306">
        <f t="shared" si="34"/>
        <v>97411.049231809389</v>
      </c>
      <c r="L23" s="252">
        <f t="shared" si="34"/>
        <v>114820.70080839666</v>
      </c>
      <c r="M23" s="307">
        <f t="shared" si="34"/>
        <v>146668.16711081567</v>
      </c>
      <c r="N23" s="245"/>
      <c r="O23" s="306">
        <f>'[2]2a. SMHFC Financials'!$M39</f>
        <v>94084.74325818634</v>
      </c>
      <c r="P23" s="252">
        <f>'[2]2a. SMHFC Financials'!$N39</f>
        <v>100354.01461367596</v>
      </c>
      <c r="Q23" s="307">
        <f>'[2]2a. SMHFC Financials'!$O39</f>
        <v>126041.24031409749</v>
      </c>
      <c r="R23" s="66"/>
      <c r="S23" s="352">
        <f t="shared" si="35"/>
        <v>9.589243553231408E-2</v>
      </c>
      <c r="T23" s="58">
        <f t="shared" si="35"/>
        <v>0.3019048964576736</v>
      </c>
      <c r="U23" s="353">
        <f t="shared" si="35"/>
        <v>0.32928967110002128</v>
      </c>
      <c r="W23" s="420"/>
      <c r="X23" s="420"/>
      <c r="Y23" s="420"/>
    </row>
    <row r="24" spans="2:25" s="56" customFormat="1" x14ac:dyDescent="0.3">
      <c r="B24" s="286"/>
      <c r="C24" s="308"/>
      <c r="D24" s="253"/>
      <c r="E24" s="309"/>
      <c r="F24" s="245"/>
      <c r="G24" s="308"/>
      <c r="H24" s="253"/>
      <c r="I24" s="309"/>
      <c r="J24" s="245"/>
      <c r="K24" s="308"/>
      <c r="L24" s="253"/>
      <c r="M24" s="309"/>
      <c r="N24" s="245"/>
      <c r="O24" s="308"/>
      <c r="P24" s="253"/>
      <c r="Q24" s="309"/>
      <c r="R24" s="67"/>
      <c r="S24" s="354"/>
      <c r="T24" s="61"/>
      <c r="U24" s="355"/>
    </row>
    <row r="25" spans="2:25" x14ac:dyDescent="0.3">
      <c r="B25" s="275"/>
      <c r="C25" s="310"/>
      <c r="D25" s="254"/>
      <c r="E25" s="311"/>
      <c r="G25" s="310"/>
      <c r="H25" s="254"/>
      <c r="I25" s="311"/>
      <c r="K25" s="310"/>
      <c r="L25" s="254"/>
      <c r="M25" s="311"/>
      <c r="O25" s="310"/>
      <c r="P25" s="254"/>
      <c r="Q25" s="311"/>
      <c r="R25" s="53"/>
      <c r="S25" s="356"/>
      <c r="T25" s="19"/>
      <c r="U25" s="357"/>
      <c r="W25" s="111"/>
      <c r="X25" s="239"/>
    </row>
    <row r="26" spans="2:25" x14ac:dyDescent="0.3">
      <c r="B26" s="287" t="s">
        <v>21</v>
      </c>
      <c r="C26" s="312"/>
      <c r="D26" s="280"/>
      <c r="E26" s="311"/>
      <c r="G26" s="414"/>
      <c r="H26" s="255"/>
      <c r="I26" s="327"/>
      <c r="K26" s="326"/>
      <c r="L26" s="255"/>
      <c r="M26" s="327"/>
      <c r="O26" s="326"/>
      <c r="P26" s="255"/>
      <c r="Q26" s="327"/>
      <c r="R26" s="53"/>
      <c r="S26" s="358"/>
      <c r="T26" s="51"/>
      <c r="U26" s="359"/>
      <c r="X26" s="112"/>
    </row>
    <row r="27" spans="2:25" x14ac:dyDescent="0.3">
      <c r="B27" s="275" t="s">
        <v>1</v>
      </c>
      <c r="C27" s="313">
        <f t="shared" ref="C27:E36" si="36">C4/C$23</f>
        <v>5.0981090918207211E-2</v>
      </c>
      <c r="D27" s="256">
        <f t="shared" si="36"/>
        <v>5.243150634874566E-2</v>
      </c>
      <c r="E27" s="314">
        <f t="shared" si="36"/>
        <v>5.3224790591543086E-2</v>
      </c>
      <c r="F27" s="265"/>
      <c r="G27" s="313">
        <f t="shared" ref="G27:I33" si="37">C27*(1-S27/3)</f>
        <v>5.0976857916782803E-2</v>
      </c>
      <c r="H27" s="256">
        <f t="shared" si="37"/>
        <v>5.2263391080966948E-2</v>
      </c>
      <c r="I27" s="314">
        <f t="shared" si="37"/>
        <v>5.2987958699677054E-2</v>
      </c>
      <c r="J27" s="265"/>
      <c r="K27" s="313">
        <f t="shared" ref="K27:M33" si="38">C27*(1-S27*2/3)</f>
        <v>5.0972624915358394E-2</v>
      </c>
      <c r="L27" s="256">
        <f t="shared" si="38"/>
        <v>5.2095275813188235E-2</v>
      </c>
      <c r="M27" s="314">
        <f t="shared" si="38"/>
        <v>5.2751126807811022E-2</v>
      </c>
      <c r="N27" s="265"/>
      <c r="O27" s="313">
        <f t="shared" ref="O27:Q27" si="39">O4/O$23</f>
        <v>5.0968391913933986E-2</v>
      </c>
      <c r="P27" s="256">
        <f t="shared" si="39"/>
        <v>5.1927160545409523E-2</v>
      </c>
      <c r="Q27" s="314">
        <f t="shared" si="39"/>
        <v>5.251429491594499E-2</v>
      </c>
      <c r="R27" s="22"/>
      <c r="S27" s="360">
        <f t="shared" ref="S27:U35" si="40">1-(O27/C27)</f>
        <v>2.4909243887305532E-4</v>
      </c>
      <c r="T27" s="22">
        <f t="shared" si="40"/>
        <v>9.6191362495195998E-3</v>
      </c>
      <c r="U27" s="361">
        <f t="shared" si="40"/>
        <v>1.3348961408802373E-2</v>
      </c>
      <c r="X27" s="102"/>
    </row>
    <row r="28" spans="2:25" x14ac:dyDescent="0.3">
      <c r="B28" s="275" t="s">
        <v>2</v>
      </c>
      <c r="C28" s="313">
        <f t="shared" si="36"/>
        <v>4.0867528611163492E-3</v>
      </c>
      <c r="D28" s="256">
        <f t="shared" si="36"/>
        <v>3.8278960421644441E-3</v>
      </c>
      <c r="E28" s="314">
        <f t="shared" si="36"/>
        <v>3.6440018055881956E-3</v>
      </c>
      <c r="F28" s="265"/>
      <c r="G28" s="313">
        <f t="shared" si="37"/>
        <v>4.0133145590810796E-3</v>
      </c>
      <c r="H28" s="256">
        <f t="shared" si="37"/>
        <v>3.6877868866254495E-3</v>
      </c>
      <c r="I28" s="314">
        <f t="shared" si="37"/>
        <v>3.5902324107269412E-3</v>
      </c>
      <c r="J28" s="265"/>
      <c r="K28" s="313">
        <f t="shared" si="38"/>
        <v>3.9398762570458093E-3</v>
      </c>
      <c r="L28" s="256">
        <f t="shared" si="38"/>
        <v>3.5476777310864539E-3</v>
      </c>
      <c r="M28" s="314">
        <f t="shared" si="38"/>
        <v>3.5364630158656878E-3</v>
      </c>
      <c r="N28" s="265"/>
      <c r="O28" s="313">
        <f t="shared" ref="O28:Q28" si="41">O5/O$23</f>
        <v>3.8664379550105389E-3</v>
      </c>
      <c r="P28" s="256">
        <f t="shared" si="41"/>
        <v>3.4075685755474592E-3</v>
      </c>
      <c r="Q28" s="314">
        <f t="shared" si="41"/>
        <v>3.4826936210044335E-3</v>
      </c>
      <c r="R28" s="22"/>
      <c r="S28" s="360">
        <f t="shared" si="40"/>
        <v>5.3909525139630876E-2</v>
      </c>
      <c r="T28" s="22">
        <f t="shared" si="40"/>
        <v>0.10980639546817872</v>
      </c>
      <c r="U28" s="361">
        <f t="shared" si="40"/>
        <v>4.4266768566467385E-2</v>
      </c>
    </row>
    <row r="29" spans="2:25" x14ac:dyDescent="0.3">
      <c r="B29" s="275" t="s">
        <v>3</v>
      </c>
      <c r="C29" s="313">
        <f t="shared" si="36"/>
        <v>-3.6372063013050539E-3</v>
      </c>
      <c r="D29" s="256">
        <f t="shared" si="36"/>
        <v>-3.5378440921067632E-3</v>
      </c>
      <c r="E29" s="314">
        <f t="shared" si="36"/>
        <v>-3.4812139763290501E-3</v>
      </c>
      <c r="F29" s="265"/>
      <c r="G29" s="313">
        <f t="shared" si="37"/>
        <v>-3.6287161002728483E-3</v>
      </c>
      <c r="H29" s="256">
        <f t="shared" si="37"/>
        <v>-3.5377902602563792E-3</v>
      </c>
      <c r="I29" s="314">
        <f t="shared" si="37"/>
        <v>-3.5031035608512847E-3</v>
      </c>
      <c r="J29" s="265"/>
      <c r="K29" s="313">
        <f t="shared" si="38"/>
        <v>-3.6202258992406424E-3</v>
      </c>
      <c r="L29" s="256">
        <f t="shared" si="38"/>
        <v>-3.5377364284059948E-3</v>
      </c>
      <c r="M29" s="314">
        <f t="shared" si="38"/>
        <v>-3.5249931453735198E-3</v>
      </c>
      <c r="N29" s="265"/>
      <c r="O29" s="313">
        <f t="shared" ref="O29:Q29" si="42">O6/O$23</f>
        <v>-3.6117356982084368E-3</v>
      </c>
      <c r="P29" s="256">
        <f t="shared" si="42"/>
        <v>-3.5376825965556108E-3</v>
      </c>
      <c r="Q29" s="314">
        <f t="shared" si="42"/>
        <v>-3.5468827298957544E-3</v>
      </c>
      <c r="R29" s="22"/>
      <c r="S29" s="360">
        <f t="shared" si="40"/>
        <v>7.0027930743103983E-3</v>
      </c>
      <c r="T29" s="22">
        <f t="shared" si="40"/>
        <v>4.5648012447108144E-5</v>
      </c>
      <c r="U29" s="361">
        <f t="shared" si="40"/>
        <v>-1.8863750982624827E-2</v>
      </c>
    </row>
    <row r="30" spans="2:25" x14ac:dyDescent="0.3">
      <c r="B30" s="275" t="s">
        <v>4</v>
      </c>
      <c r="C30" s="313">
        <f t="shared" si="36"/>
        <v>4.495465598112953E-4</v>
      </c>
      <c r="D30" s="256">
        <f t="shared" si="36"/>
        <v>2.900519500576809E-4</v>
      </c>
      <c r="E30" s="314">
        <f t="shared" si="36"/>
        <v>1.6278782925914566E-4</v>
      </c>
      <c r="F30" s="265"/>
      <c r="G30" s="313">
        <f t="shared" si="37"/>
        <v>3.8459845880823077E-4</v>
      </c>
      <c r="H30" s="256">
        <f t="shared" si="37"/>
        <v>1.4999662636907003E-4</v>
      </c>
      <c r="I30" s="314">
        <f t="shared" si="37"/>
        <v>8.7128849875656704E-5</v>
      </c>
      <c r="J30" s="265"/>
      <c r="K30" s="313">
        <f t="shared" si="38"/>
        <v>3.1965035780516624E-4</v>
      </c>
      <c r="L30" s="256">
        <f t="shared" si="38"/>
        <v>9.9413026804591338E-6</v>
      </c>
      <c r="M30" s="314">
        <f t="shared" si="38"/>
        <v>1.1469870492167735E-5</v>
      </c>
      <c r="N30" s="265"/>
      <c r="O30" s="313">
        <f t="shared" ref="O30:Q30" si="43">O7/O$23</f>
        <v>2.5470225680210171E-4</v>
      </c>
      <c r="P30" s="256">
        <f t="shared" si="43"/>
        <v>-1.3011402100815178E-4</v>
      </c>
      <c r="Q30" s="314">
        <f t="shared" si="43"/>
        <v>-6.4189108891321244E-5</v>
      </c>
      <c r="R30" s="22"/>
      <c r="S30" s="360">
        <f t="shared" si="40"/>
        <v>0.43342407756603174</v>
      </c>
      <c r="T30" s="22">
        <f t="shared" si="40"/>
        <v>1.448588678622146</v>
      </c>
      <c r="U30" s="361">
        <f t="shared" si="40"/>
        <v>1.3943114739194484</v>
      </c>
    </row>
    <row r="31" spans="2:25" x14ac:dyDescent="0.3">
      <c r="B31" s="275" t="s">
        <v>5</v>
      </c>
      <c r="C31" s="313">
        <f t="shared" si="36"/>
        <v>5.5150151766692017E-3</v>
      </c>
      <c r="D31" s="256">
        <f t="shared" si="36"/>
        <v>5.7549009060832729E-3</v>
      </c>
      <c r="E31" s="314">
        <f t="shared" si="36"/>
        <v>5.9602257736242979E-3</v>
      </c>
      <c r="F31" s="265"/>
      <c r="G31" s="313">
        <f t="shared" si="37"/>
        <v>4.9092743787737822E-3</v>
      </c>
      <c r="H31" s="256">
        <f t="shared" si="37"/>
        <v>5.2591464980325346E-3</v>
      </c>
      <c r="I31" s="314">
        <f t="shared" si="37"/>
        <v>6.5544018160417251E-3</v>
      </c>
      <c r="J31" s="265"/>
      <c r="K31" s="313">
        <f t="shared" si="38"/>
        <v>4.3035335808783619E-3</v>
      </c>
      <c r="L31" s="256">
        <f t="shared" si="38"/>
        <v>4.7633920899817954E-3</v>
      </c>
      <c r="M31" s="314">
        <f t="shared" si="38"/>
        <v>7.1485778584591524E-3</v>
      </c>
      <c r="N31" s="265"/>
      <c r="O31" s="313">
        <f t="shared" ref="O31:Q31" si="44">O8/O$23</f>
        <v>3.697792782982942E-3</v>
      </c>
      <c r="P31" s="256">
        <f t="shared" si="44"/>
        <v>4.2676376819310571E-3</v>
      </c>
      <c r="Q31" s="314">
        <f t="shared" si="44"/>
        <v>7.7427539008765797E-3</v>
      </c>
      <c r="R31" s="22"/>
      <c r="S31" s="360">
        <f t="shared" si="40"/>
        <v>0.32950451367275702</v>
      </c>
      <c r="T31" s="22">
        <f t="shared" si="40"/>
        <v>0.25843420215630297</v>
      </c>
      <c r="U31" s="361">
        <f t="shared" si="40"/>
        <v>-0.29907057130964376</v>
      </c>
    </row>
    <row r="32" spans="2:25" x14ac:dyDescent="0.3">
      <c r="B32" s="275" t="s">
        <v>6</v>
      </c>
      <c r="C32" s="313">
        <f t="shared" si="36"/>
        <v>4.2824648712550002E-3</v>
      </c>
      <c r="D32" s="256">
        <f t="shared" si="36"/>
        <v>3.0804095756420606E-3</v>
      </c>
      <c r="E32" s="314">
        <f t="shared" si="36"/>
        <v>2.0855505823925177E-3</v>
      </c>
      <c r="F32" s="265"/>
      <c r="G32" s="313">
        <f t="shared" si="37"/>
        <v>3.961832870466777E-3</v>
      </c>
      <c r="H32" s="256">
        <f t="shared" si="37"/>
        <v>2.452117826457358E-3</v>
      </c>
      <c r="I32" s="314">
        <f t="shared" si="37"/>
        <v>2.0041445270741341E-3</v>
      </c>
      <c r="J32" s="265"/>
      <c r="K32" s="313">
        <f t="shared" si="38"/>
        <v>3.6412008696785551E-3</v>
      </c>
      <c r="L32" s="256">
        <f t="shared" si="38"/>
        <v>1.8238260772726553E-3</v>
      </c>
      <c r="M32" s="314">
        <f t="shared" si="38"/>
        <v>1.9227384717557512E-3</v>
      </c>
      <c r="N32" s="265"/>
      <c r="O32" s="313">
        <f t="shared" ref="O32:Q32" si="45">O9/O$23</f>
        <v>3.3205688688903324E-3</v>
      </c>
      <c r="P32" s="256">
        <f t="shared" si="45"/>
        <v>1.1955343280879529E-3</v>
      </c>
      <c r="Q32" s="314">
        <f t="shared" si="45"/>
        <v>1.8413324164373677E-3</v>
      </c>
      <c r="R32" s="22"/>
      <c r="S32" s="360">
        <f t="shared" si="40"/>
        <v>0.22461270116216481</v>
      </c>
      <c r="T32" s="22">
        <f t="shared" si="40"/>
        <v>0.61189111423964992</v>
      </c>
      <c r="U32" s="361">
        <f t="shared" si="40"/>
        <v>0.11710009242498731</v>
      </c>
      <c r="W32" s="415"/>
    </row>
    <row r="33" spans="2:21" x14ac:dyDescent="0.3">
      <c r="B33" s="275" t="s">
        <v>7</v>
      </c>
      <c r="C33" s="313">
        <f t="shared" si="36"/>
        <v>3.2402262759492714E-3</v>
      </c>
      <c r="D33" s="256">
        <f t="shared" si="36"/>
        <v>2.4926555262821753E-3</v>
      </c>
      <c r="E33" s="314">
        <f t="shared" si="36"/>
        <v>2.0725201927345644E-3</v>
      </c>
      <c r="F33" s="265"/>
      <c r="G33" s="313">
        <f t="shared" si="37"/>
        <v>3.2715678106581855E-3</v>
      </c>
      <c r="H33" s="256">
        <f t="shared" si="37"/>
        <v>2.5059046513568992E-3</v>
      </c>
      <c r="I33" s="314">
        <f t="shared" si="37"/>
        <v>1.6612080076484263E-3</v>
      </c>
      <c r="J33" s="265"/>
      <c r="K33" s="313">
        <f t="shared" si="38"/>
        <v>3.3029093453670992E-3</v>
      </c>
      <c r="L33" s="256">
        <f t="shared" si="38"/>
        <v>2.5191537764316227E-3</v>
      </c>
      <c r="M33" s="314">
        <f t="shared" si="38"/>
        <v>1.2498958225622882E-3</v>
      </c>
      <c r="N33" s="265"/>
      <c r="O33" s="313">
        <f t="shared" ref="O33:Q33" si="46">O10/O$23</f>
        <v>3.3342508800760133E-3</v>
      </c>
      <c r="P33" s="256">
        <f t="shared" si="46"/>
        <v>2.5324029015063466E-3</v>
      </c>
      <c r="Q33" s="314">
        <f t="shared" si="46"/>
        <v>8.3858363747615027E-4</v>
      </c>
      <c r="R33" s="22"/>
      <c r="S33" s="360">
        <f t="shared" si="40"/>
        <v>-2.9017912984856675E-2</v>
      </c>
      <c r="T33" s="22">
        <f t="shared" si="40"/>
        <v>-1.594579547999353E-2</v>
      </c>
      <c r="U33" s="361">
        <f t="shared" si="40"/>
        <v>0.59537975050091552</v>
      </c>
    </row>
    <row r="34" spans="2:21" s="243" customFormat="1" x14ac:dyDescent="0.3">
      <c r="B34" s="282" t="s">
        <v>8</v>
      </c>
      <c r="C34" s="404">
        <f t="shared" si="36"/>
        <v>6.4468343801891995E-2</v>
      </c>
      <c r="D34" s="405">
        <f t="shared" si="36"/>
        <v>6.4049524306810851E-2</v>
      </c>
      <c r="E34" s="406">
        <f t="shared" si="36"/>
        <v>6.3505874969553608E-2</v>
      </c>
      <c r="F34" s="407"/>
      <c r="G34" s="404">
        <f>G27+SUM(G30:G33)</f>
        <v>6.3504131435489775E-2</v>
      </c>
      <c r="H34" s="405">
        <f t="shared" ref="H34:I34" si="47">H27+SUM(H30:H33)</f>
        <v>6.2630556683182806E-2</v>
      </c>
      <c r="I34" s="406">
        <f t="shared" si="47"/>
        <v>6.3294841900316992E-2</v>
      </c>
      <c r="J34" s="407"/>
      <c r="K34" s="404">
        <f t="shared" ref="K34:M34" si="48">K27+SUM(K30:K33)</f>
        <v>6.2539919069087582E-2</v>
      </c>
      <c r="L34" s="405">
        <f t="shared" si="48"/>
        <v>6.1211589059554768E-2</v>
      </c>
      <c r="M34" s="406">
        <f t="shared" si="48"/>
        <v>6.3083808831080376E-2</v>
      </c>
      <c r="N34" s="407"/>
      <c r="O34" s="404">
        <f t="shared" ref="O34:Q34" si="49">O11/O$23</f>
        <v>6.1575706702685376E-2</v>
      </c>
      <c r="P34" s="405">
        <f t="shared" si="49"/>
        <v>5.9792621435926722E-2</v>
      </c>
      <c r="Q34" s="406">
        <f t="shared" si="49"/>
        <v>6.287277576184376E-2</v>
      </c>
      <c r="R34" s="69"/>
      <c r="S34" s="409">
        <f t="shared" si="40"/>
        <v>4.4869108288178583E-2</v>
      </c>
      <c r="T34" s="69">
        <f t="shared" si="40"/>
        <v>6.646267738840117E-2</v>
      </c>
      <c r="U34" s="410">
        <f t="shared" si="40"/>
        <v>9.9691439258710046E-3</v>
      </c>
    </row>
    <row r="35" spans="2:21" s="243" customFormat="1" x14ac:dyDescent="0.3">
      <c r="B35" s="282" t="s">
        <v>22</v>
      </c>
      <c r="C35" s="404">
        <f t="shared" si="36"/>
        <v>4.194965729982917E-2</v>
      </c>
      <c r="D35" s="405">
        <f t="shared" si="36"/>
        <v>3.876790818360195E-2</v>
      </c>
      <c r="E35" s="406">
        <f t="shared" si="36"/>
        <v>3.6304077774130639E-2</v>
      </c>
      <c r="F35" s="399"/>
      <c r="G35" s="317">
        <f>C35*(1-S35/3)</f>
        <v>4.1798506380124723E-2</v>
      </c>
      <c r="H35" s="267">
        <f>D35*(1-T35/3)</f>
        <v>3.9289105158406466E-2</v>
      </c>
      <c r="I35" s="318">
        <f>E35*(1-U35/3)</f>
        <v>3.833426127544836E-2</v>
      </c>
      <c r="J35" s="399"/>
      <c r="K35" s="317">
        <f>C35*(1-S35*2/3)</f>
        <v>4.1647355460420275E-2</v>
      </c>
      <c r="L35" s="267">
        <f>D35*(1-T35*2/3)</f>
        <v>3.9810302133210976E-2</v>
      </c>
      <c r="M35" s="318">
        <f>E35*(1-U35*2/3)</f>
        <v>4.0364444776766088E-2</v>
      </c>
      <c r="N35" s="407"/>
      <c r="O35" s="317">
        <f t="shared" ref="O35:Q35" si="50">O12/O$23</f>
        <v>4.1496204540715821E-2</v>
      </c>
      <c r="P35" s="267">
        <f t="shared" si="50"/>
        <v>4.0331499108015492E-2</v>
      </c>
      <c r="Q35" s="318">
        <f t="shared" si="50"/>
        <v>4.2394628278083803E-2</v>
      </c>
      <c r="R35" s="400"/>
      <c r="S35" s="411">
        <f t="shared" si="40"/>
        <v>1.0809450858498271E-2</v>
      </c>
      <c r="T35" s="412">
        <f t="shared" si="40"/>
        <v>-4.0332094190083545E-2</v>
      </c>
      <c r="U35" s="413">
        <f t="shared" si="40"/>
        <v>-0.16776491450481457</v>
      </c>
    </row>
    <row r="36" spans="2:21" s="243" customFormat="1" x14ac:dyDescent="0.3">
      <c r="B36" s="282" t="s">
        <v>10</v>
      </c>
      <c r="C36" s="404">
        <f t="shared" si="36"/>
        <v>2.2518686502062821E-2</v>
      </c>
      <c r="D36" s="405">
        <f t="shared" si="36"/>
        <v>2.5281616123208901E-2</v>
      </c>
      <c r="E36" s="406">
        <f t="shared" si="36"/>
        <v>2.7201797195422966E-2</v>
      </c>
      <c r="F36" s="407"/>
      <c r="G36" s="404">
        <f t="shared" ref="G36:I36" si="51">G34-G35</f>
        <v>2.1705625055365052E-2</v>
      </c>
      <c r="H36" s="405">
        <f t="shared" si="51"/>
        <v>2.334145152477634E-2</v>
      </c>
      <c r="I36" s="406">
        <f t="shared" si="51"/>
        <v>2.4960580624868632E-2</v>
      </c>
      <c r="J36" s="407"/>
      <c r="K36" s="404">
        <f t="shared" ref="K36:M36" si="52">K34-K35</f>
        <v>2.0892563608667307E-2</v>
      </c>
      <c r="L36" s="405">
        <f t="shared" si="52"/>
        <v>2.1401286926343792E-2</v>
      </c>
      <c r="M36" s="406">
        <f t="shared" si="52"/>
        <v>2.2719364054314288E-2</v>
      </c>
      <c r="N36" s="407"/>
      <c r="O36" s="404">
        <f t="shared" ref="O36:Q36" si="53">O13/O$23</f>
        <v>2.0079502161969551E-2</v>
      </c>
      <c r="P36" s="405">
        <f t="shared" si="53"/>
        <v>1.9461122327911234E-2</v>
      </c>
      <c r="Q36" s="406">
        <f t="shared" si="53"/>
        <v>2.0478147483759954E-2</v>
      </c>
      <c r="R36" s="69"/>
      <c r="S36" s="401"/>
      <c r="T36" s="402"/>
      <c r="U36" s="408"/>
    </row>
    <row r="37" spans="2:21" s="243" customFormat="1" x14ac:dyDescent="0.3">
      <c r="B37" s="282" t="s">
        <v>11</v>
      </c>
      <c r="C37" s="317">
        <f t="shared" ref="C37:E37" si="54">SUM(C38:C40)</f>
        <v>6.0022903083596646E-3</v>
      </c>
      <c r="D37" s="267">
        <f t="shared" si="54"/>
        <v>5.5941109562673268E-3</v>
      </c>
      <c r="E37" s="318">
        <f t="shared" si="54"/>
        <v>5.3038379190809819E-3</v>
      </c>
      <c r="F37" s="399"/>
      <c r="G37" s="317">
        <f>SUM(G38:G40)</f>
        <v>7.7339038997163555E-3</v>
      </c>
      <c r="H37" s="267">
        <f t="shared" ref="H37:I37" si="55">SUM(H38:H40)</f>
        <v>6.3025026182730263E-3</v>
      </c>
      <c r="I37" s="318">
        <f t="shared" si="55"/>
        <v>5.9566721174745922E-3</v>
      </c>
      <c r="J37" s="399"/>
      <c r="K37" s="317">
        <f t="shared" ref="K37:M37" si="56">SUM(K38:K40)</f>
        <v>9.4655174910730465E-3</v>
      </c>
      <c r="L37" s="267">
        <f t="shared" si="56"/>
        <v>7.0108942802787275E-3</v>
      </c>
      <c r="M37" s="318">
        <f t="shared" si="56"/>
        <v>6.6095063158682008E-3</v>
      </c>
      <c r="N37" s="399"/>
      <c r="O37" s="317">
        <f t="shared" ref="O37:Q37" si="57">SUM(O38:O40)</f>
        <v>1.1197131082429743E-2</v>
      </c>
      <c r="P37" s="267">
        <f t="shared" si="57"/>
        <v>7.7192859422844269E-3</v>
      </c>
      <c r="Q37" s="318">
        <f t="shared" si="57"/>
        <v>7.2623405142618093E-3</v>
      </c>
      <c r="R37" s="400"/>
      <c r="S37" s="401"/>
      <c r="T37" s="402"/>
      <c r="U37" s="403"/>
    </row>
    <row r="38" spans="2:21" x14ac:dyDescent="0.3">
      <c r="B38" s="288" t="s">
        <v>12</v>
      </c>
      <c r="C38" s="315">
        <f t="shared" ref="C38:E40" si="58">C15/C$23</f>
        <v>5.2693680245579164E-3</v>
      </c>
      <c r="D38" s="244">
        <f t="shared" si="58"/>
        <v>4.4920916214527184E-3</v>
      </c>
      <c r="E38" s="316">
        <f t="shared" si="58"/>
        <v>4.2054398824770403E-3</v>
      </c>
      <c r="F38" s="266"/>
      <c r="G38" s="315">
        <f t="shared" ref="G38:I40" si="59">C38*(1-S38/3)</f>
        <v>5.4556631637092921E-3</v>
      </c>
      <c r="H38" s="244">
        <f t="shared" si="59"/>
        <v>5.53501490146786E-3</v>
      </c>
      <c r="I38" s="316">
        <f t="shared" si="59"/>
        <v>5.2615241817706056E-3</v>
      </c>
      <c r="J38" s="266"/>
      <c r="K38" s="315">
        <f t="shared" ref="K38:M40" si="60">C38*(1-S38*2/3)</f>
        <v>5.6419583028606678E-3</v>
      </c>
      <c r="L38" s="244">
        <f t="shared" si="60"/>
        <v>6.5779381814830016E-3</v>
      </c>
      <c r="M38" s="316">
        <f t="shared" si="60"/>
        <v>6.31760848106417E-3</v>
      </c>
      <c r="N38" s="266"/>
      <c r="O38" s="315">
        <f t="shared" ref="O38:Q38" si="61">O15/O$23</f>
        <v>5.8282534420120444E-3</v>
      </c>
      <c r="P38" s="244">
        <f t="shared" si="61"/>
        <v>7.6208614614981423E-3</v>
      </c>
      <c r="Q38" s="316">
        <f t="shared" si="61"/>
        <v>7.3736927803577344E-3</v>
      </c>
      <c r="R38" s="22"/>
      <c r="S38" s="360">
        <f t="shared" ref="S38:U40" si="62">1-(O38/C38)</f>
        <v>-0.10606308286865507</v>
      </c>
      <c r="T38" s="25">
        <f t="shared" si="62"/>
        <v>-0.69650623889848373</v>
      </c>
      <c r="U38" s="363">
        <f t="shared" si="62"/>
        <v>-0.75337015542225894</v>
      </c>
    </row>
    <row r="39" spans="2:21" x14ac:dyDescent="0.3">
      <c r="B39" s="288" t="s">
        <v>13</v>
      </c>
      <c r="C39" s="315">
        <f t="shared" si="58"/>
        <v>-9.0715971386718026E-4</v>
      </c>
      <c r="D39" s="244">
        <f t="shared" si="58"/>
        <v>-8.41977463460001E-4</v>
      </c>
      <c r="E39" s="316">
        <f t="shared" si="58"/>
        <v>-7.3664259764239859E-4</v>
      </c>
      <c r="F39" s="266"/>
      <c r="G39" s="315">
        <f t="shared" si="59"/>
        <v>-9.2685089106920345E-4</v>
      </c>
      <c r="H39" s="244">
        <f t="shared" si="59"/>
        <v>-9.4439774745340389E-4</v>
      </c>
      <c r="I39" s="316">
        <f t="shared" si="59"/>
        <v>-8.4978695365227558E-4</v>
      </c>
      <c r="J39" s="266"/>
      <c r="K39" s="315">
        <f t="shared" si="60"/>
        <v>-9.4654206827122665E-4</v>
      </c>
      <c r="L39" s="244">
        <f t="shared" si="60"/>
        <v>-1.0468180314468069E-3</v>
      </c>
      <c r="M39" s="316">
        <f t="shared" si="60"/>
        <v>-9.6293130966215257E-4</v>
      </c>
      <c r="N39" s="266"/>
      <c r="O39" s="315">
        <f t="shared" ref="O39:Q39" si="63">O16/O$23</f>
        <v>-9.6623324547324974E-4</v>
      </c>
      <c r="P39" s="244">
        <f t="shared" si="63"/>
        <v>-1.1492383154402097E-3</v>
      </c>
      <c r="Q39" s="316">
        <f t="shared" si="63"/>
        <v>-1.0760756656720296E-3</v>
      </c>
      <c r="R39" s="22"/>
      <c r="S39" s="362">
        <f t="shared" si="62"/>
        <v>-6.5119218482754038E-2</v>
      </c>
      <c r="T39" s="25">
        <f t="shared" si="62"/>
        <v>-0.36492764392714117</v>
      </c>
      <c r="U39" s="363">
        <f t="shared" si="62"/>
        <v>-0.46078392576803973</v>
      </c>
    </row>
    <row r="40" spans="2:21" x14ac:dyDescent="0.3">
      <c r="B40" s="288" t="s">
        <v>14</v>
      </c>
      <c r="C40" s="315">
        <f t="shared" si="58"/>
        <v>1.6400819976689278E-3</v>
      </c>
      <c r="D40" s="244">
        <f t="shared" si="58"/>
        <v>1.9439967982746093E-3</v>
      </c>
      <c r="E40" s="316">
        <f t="shared" si="58"/>
        <v>1.8350406342463406E-3</v>
      </c>
      <c r="F40" s="266"/>
      <c r="G40" s="315">
        <f t="shared" si="59"/>
        <v>3.2050916270762674E-3</v>
      </c>
      <c r="H40" s="244">
        <f t="shared" si="59"/>
        <v>1.7118854642585711E-3</v>
      </c>
      <c r="I40" s="316">
        <f t="shared" si="59"/>
        <v>1.5449348893562618E-3</v>
      </c>
      <c r="J40" s="266"/>
      <c r="K40" s="315">
        <f t="shared" si="60"/>
        <v>4.7701012564836066E-3</v>
      </c>
      <c r="L40" s="244">
        <f t="shared" si="60"/>
        <v>1.4797741302425328E-3</v>
      </c>
      <c r="M40" s="316">
        <f t="shared" si="60"/>
        <v>1.2548291444661832E-3</v>
      </c>
      <c r="N40" s="266"/>
      <c r="O40" s="315">
        <f t="shared" ref="O40:Q40" si="64">O17/O$23</f>
        <v>6.3351108858909471E-3</v>
      </c>
      <c r="P40" s="244">
        <f t="shared" si="64"/>
        <v>1.2476627962264945E-3</v>
      </c>
      <c r="Q40" s="316">
        <f t="shared" si="64"/>
        <v>9.6472339957610464E-4</v>
      </c>
      <c r="R40" s="22"/>
      <c r="S40" s="364">
        <f t="shared" si="62"/>
        <v>-2.8626793629191294</v>
      </c>
      <c r="T40" s="25">
        <f t="shared" si="62"/>
        <v>0.35819709305393133</v>
      </c>
      <c r="U40" s="363">
        <f t="shared" si="62"/>
        <v>0.47427681895865981</v>
      </c>
    </row>
    <row r="41" spans="2:21" s="243" customFormat="1" x14ac:dyDescent="0.3">
      <c r="B41" s="282" t="s">
        <v>23</v>
      </c>
      <c r="C41" s="317">
        <f>C36-C37</f>
        <v>1.6516396193703157E-2</v>
      </c>
      <c r="D41" s="267">
        <f t="shared" ref="D41:E41" si="65">D36-D37</f>
        <v>1.9687505166941573E-2</v>
      </c>
      <c r="E41" s="318">
        <f t="shared" si="65"/>
        <v>2.1897959276341986E-2</v>
      </c>
      <c r="F41" s="407"/>
      <c r="G41" s="317">
        <f t="shared" ref="G41:I42" si="66">G19/G$23</f>
        <v>1.4022534517393848E-2</v>
      </c>
      <c r="H41" s="267">
        <f t="shared" si="66"/>
        <v>1.980273933425759E-2</v>
      </c>
      <c r="I41" s="318">
        <f t="shared" si="66"/>
        <v>2.1061423292024088E-2</v>
      </c>
      <c r="J41" s="399"/>
      <c r="K41" s="317">
        <f t="shared" ref="K41:M42" si="67">K19/K$23</f>
        <v>1.1827102241553896E-2</v>
      </c>
      <c r="L41" s="267">
        <f t="shared" si="67"/>
        <v>1.6986919703719284E-2</v>
      </c>
      <c r="M41" s="318">
        <f t="shared" si="67"/>
        <v>1.6733622390319058E-2</v>
      </c>
      <c r="N41" s="407"/>
      <c r="O41" s="317">
        <f>O36-O37</f>
        <v>8.8823710795398088E-3</v>
      </c>
      <c r="P41" s="267">
        <f t="shared" ref="P41:Q41" si="68">P36-P37</f>
        <v>1.1741836385626807E-2</v>
      </c>
      <c r="Q41" s="318">
        <f t="shared" si="68"/>
        <v>1.3215806969498145E-2</v>
      </c>
      <c r="R41" s="69"/>
      <c r="S41" s="401"/>
      <c r="T41" s="402"/>
      <c r="U41" s="408"/>
    </row>
    <row r="42" spans="2:21" s="243" customFormat="1" x14ac:dyDescent="0.3">
      <c r="B42" s="282" t="s">
        <v>24</v>
      </c>
      <c r="C42" s="317">
        <f>C20/C$23</f>
        <v>1.2056969221403304E-2</v>
      </c>
      <c r="D42" s="267">
        <f>D20/D$23</f>
        <v>1.4371878771867349E-2</v>
      </c>
      <c r="E42" s="318">
        <f>E20/E$23</f>
        <v>1.5985510271729658E-2</v>
      </c>
      <c r="F42" s="407"/>
      <c r="G42" s="317">
        <f t="shared" si="66"/>
        <v>1.0236450197697509E-2</v>
      </c>
      <c r="H42" s="267">
        <f t="shared" si="66"/>
        <v>1.4455999714008043E-2</v>
      </c>
      <c r="I42" s="318">
        <f t="shared" si="66"/>
        <v>1.5374839003177584E-2</v>
      </c>
      <c r="J42" s="399"/>
      <c r="K42" s="317">
        <f t="shared" si="67"/>
        <v>8.6337846363343431E-3</v>
      </c>
      <c r="L42" s="267">
        <f t="shared" si="67"/>
        <v>1.2400451383715077E-2</v>
      </c>
      <c r="M42" s="318">
        <f t="shared" si="67"/>
        <v>1.2215544344932912E-2</v>
      </c>
      <c r="N42" s="407"/>
      <c r="O42" s="317">
        <f>O20/O$23</f>
        <v>6.4841308880640635E-3</v>
      </c>
      <c r="P42" s="267">
        <f>P20/P$23</f>
        <v>8.5715405615075548E-3</v>
      </c>
      <c r="Q42" s="318">
        <f>Q20/Q$23</f>
        <v>9.6475390877336555E-3</v>
      </c>
      <c r="R42" s="69"/>
      <c r="S42" s="401"/>
      <c r="T42" s="402"/>
      <c r="U42" s="408"/>
    </row>
    <row r="43" spans="2:21" x14ac:dyDescent="0.3">
      <c r="B43" s="275" t="s">
        <v>25</v>
      </c>
      <c r="C43" s="313">
        <f>C12/C11</f>
        <v>0.65070164403072572</v>
      </c>
      <c r="D43" s="256">
        <f>D12/D11</f>
        <v>0.60528018909079517</v>
      </c>
      <c r="E43" s="314">
        <f>E12/E11</f>
        <v>0.57166487024288348</v>
      </c>
      <c r="F43" s="265"/>
      <c r="G43" s="315">
        <f>G12/G11</f>
        <v>0.65740121271934371</v>
      </c>
      <c r="H43" s="244">
        <f>H12/H11</f>
        <v>0.58318681271532991</v>
      </c>
      <c r="I43" s="316">
        <f>I12/I11</f>
        <v>0.57313906475902943</v>
      </c>
      <c r="J43" s="266"/>
      <c r="K43" s="315">
        <f>K12/K11</f>
        <v>0.65953554066635289</v>
      </c>
      <c r="L43" s="244">
        <f>L12/L11</f>
        <v>0.60795309593009006</v>
      </c>
      <c r="M43" s="316">
        <f>M12/M11</f>
        <v>0.62996640281037575</v>
      </c>
      <c r="N43" s="265"/>
      <c r="O43" s="315">
        <f>O12/O11</f>
        <v>0.67390545334831109</v>
      </c>
      <c r="P43" s="244">
        <f>P12/P11</f>
        <v>0.67452301202807086</v>
      </c>
      <c r="Q43" s="316">
        <f>Q12/Q11</f>
        <v>0.67429229526418111</v>
      </c>
      <c r="R43" s="22"/>
      <c r="S43" s="362"/>
      <c r="T43" s="22"/>
      <c r="U43" s="363"/>
    </row>
    <row r="44" spans="2:21" x14ac:dyDescent="0.3">
      <c r="B44" s="275" t="s">
        <v>26</v>
      </c>
      <c r="C44" s="313">
        <f>(C11-C14)/C23</f>
        <v>5.8466053493532323E-2</v>
      </c>
      <c r="D44" s="256">
        <f>(D11-D14)/D23</f>
        <v>5.8455413350543529E-2</v>
      </c>
      <c r="E44" s="314">
        <f>(E11-E14)/E23</f>
        <v>5.8202037050472617E-2</v>
      </c>
      <c r="F44" s="265"/>
      <c r="G44" s="315">
        <f>(G11-G14)/G23</f>
        <v>5.5770227535773424E-2</v>
      </c>
      <c r="H44" s="244">
        <f>(H11-H14)/H23</f>
        <v>5.6328054064909781E-2</v>
      </c>
      <c r="I44" s="316">
        <f>(I11-I14)/I23</f>
        <v>5.7338169782842403E-2</v>
      </c>
      <c r="J44" s="266"/>
      <c r="K44" s="315">
        <f>(K11-K14)/K23</f>
        <v>5.3074401578014511E-2</v>
      </c>
      <c r="L44" s="244">
        <f>(L11-L14)/L23</f>
        <v>5.4200694779276033E-2</v>
      </c>
      <c r="M44" s="316">
        <f>(M11-M14)/M23</f>
        <v>5.6474302515212182E-2</v>
      </c>
      <c r="N44" s="265"/>
      <c r="O44" s="315">
        <f>(O11-O14)/O23</f>
        <v>5.0378575620255626E-2</v>
      </c>
      <c r="P44" s="244">
        <f>(P11-P14)/P23</f>
        <v>5.2073335493642299E-2</v>
      </c>
      <c r="Q44" s="316">
        <f>(Q11-Q14)/Q23</f>
        <v>5.5610435247581955E-2</v>
      </c>
      <c r="R44" s="22"/>
      <c r="S44" s="362"/>
      <c r="T44" s="22"/>
      <c r="U44" s="363"/>
    </row>
    <row r="45" spans="2:21" x14ac:dyDescent="0.3">
      <c r="B45" s="289" t="s">
        <v>27</v>
      </c>
      <c r="C45" s="313">
        <f>C14/C11</f>
        <v>9.3104459559321145E-2</v>
      </c>
      <c r="D45" s="256">
        <f>D14/D11</f>
        <v>8.7340398181106615E-2</v>
      </c>
      <c r="E45" s="314">
        <f>E14/E11</f>
        <v>8.3517279647336296E-2</v>
      </c>
      <c r="F45" s="265"/>
      <c r="G45" s="315">
        <f>G14/G11</f>
        <v>0.12178583857292478</v>
      </c>
      <c r="H45" s="244">
        <f>H14/H11</f>
        <v>0.10062983553146893</v>
      </c>
      <c r="I45" s="316">
        <f>I14/I11</f>
        <v>9.4109913835565787E-2</v>
      </c>
      <c r="J45" s="266"/>
      <c r="K45" s="315">
        <f>K14/K11</f>
        <v>0.15135161081063336</v>
      </c>
      <c r="L45" s="244">
        <f>L14/L11</f>
        <v>0.11453540723240495</v>
      </c>
      <c r="M45" s="316">
        <f>M14/M11</f>
        <v>0.10477341870029577</v>
      </c>
      <c r="N45" s="265"/>
      <c r="O45" s="315">
        <f>O14/O11</f>
        <v>0.18184332234292366</v>
      </c>
      <c r="P45" s="244">
        <f>P14/P11</f>
        <v>0.12910097863088923</v>
      </c>
      <c r="Q45" s="316">
        <f>Q14/Q11</f>
        <v>0.11550850787582341</v>
      </c>
      <c r="R45" s="22"/>
      <c r="S45" s="362"/>
      <c r="T45" s="25"/>
      <c r="U45" s="363"/>
    </row>
    <row r="46" spans="2:21" x14ac:dyDescent="0.3">
      <c r="B46" s="290" t="s">
        <v>28</v>
      </c>
      <c r="C46" s="315">
        <f>'[1]2a. SMHFC Financials'!$M89</f>
        <v>2.0403726717862617E-2</v>
      </c>
      <c r="D46" s="244">
        <f>'[1]2a. SMHFC Financials'!$N89</f>
        <v>1.7149110285355422E-2</v>
      </c>
      <c r="E46" s="316">
        <f>'[1]2a. SMHFC Financials'!$O89</f>
        <v>1.5114984923419558E-2</v>
      </c>
      <c r="F46" s="266"/>
      <c r="G46" s="315">
        <f t="shared" ref="G46:I47" si="69">C46*(1-S46/3)</f>
        <v>2.5507591675815879E-2</v>
      </c>
      <c r="H46" s="244">
        <f t="shared" si="69"/>
        <v>2.3902119400553395E-2</v>
      </c>
      <c r="I46" s="316">
        <f t="shared" si="69"/>
        <v>1.8010537864159563E-2</v>
      </c>
      <c r="J46" s="266"/>
      <c r="K46" s="315">
        <f t="shared" ref="K46:M47" si="70">C46*(1-S46*2/3)</f>
        <v>3.0611456633769137E-2</v>
      </c>
      <c r="L46" s="244">
        <f t="shared" si="70"/>
        <v>3.0655128515751372E-2</v>
      </c>
      <c r="M46" s="316">
        <f t="shared" si="70"/>
        <v>2.0906090804899569E-2</v>
      </c>
      <c r="N46" s="266"/>
      <c r="O46" s="315">
        <f>'[2]2a. SMHFC Financials'!$M89</f>
        <v>3.5715321591722395E-2</v>
      </c>
      <c r="P46" s="244">
        <f>'[2]2a. SMHFC Financials'!$N89</f>
        <v>3.7408137630949342E-2</v>
      </c>
      <c r="Q46" s="316">
        <f>'[2]2a. SMHFC Financials'!$O89</f>
        <v>2.3801643745639575E-2</v>
      </c>
      <c r="R46" s="68"/>
      <c r="S46" s="365">
        <f t="shared" ref="S46:U47" si="71">1-(O46/C46)</f>
        <v>-0.75043128569523088</v>
      </c>
      <c r="T46" s="73">
        <f t="shared" si="71"/>
        <v>-1.1813456796586252</v>
      </c>
      <c r="U46" s="366">
        <f t="shared" si="71"/>
        <v>-0.57470509340440556</v>
      </c>
    </row>
    <row r="47" spans="2:21" x14ac:dyDescent="0.3">
      <c r="B47" s="290" t="s">
        <v>29</v>
      </c>
      <c r="C47" s="315">
        <f>'[1]2a. SMHFC Financials'!$M90</f>
        <v>1.3351730181416974E-2</v>
      </c>
      <c r="D47" s="244">
        <f>'[1]2a. SMHFC Financials'!$N90</f>
        <v>1.147124318612611E-2</v>
      </c>
      <c r="E47" s="316">
        <f>'[1]2a. SMHFC Financials'!$O90</f>
        <v>1.0290472131156589E-2</v>
      </c>
      <c r="F47" s="266"/>
      <c r="G47" s="315">
        <f t="shared" si="69"/>
        <v>1.6092239104776165E-2</v>
      </c>
      <c r="H47" s="244">
        <f t="shared" si="69"/>
        <v>1.535914870131903E-2</v>
      </c>
      <c r="I47" s="316">
        <f t="shared" si="69"/>
        <v>1.1818531319755051E-2</v>
      </c>
      <c r="J47" s="266"/>
      <c r="K47" s="315">
        <f t="shared" si="70"/>
        <v>1.8832748028135352E-2</v>
      </c>
      <c r="L47" s="244">
        <f t="shared" si="70"/>
        <v>1.924705421651195E-2</v>
      </c>
      <c r="M47" s="316">
        <f t="shared" si="70"/>
        <v>1.3346590508353511E-2</v>
      </c>
      <c r="N47" s="266"/>
      <c r="O47" s="315">
        <f>'[2]2a. SMHFC Financials'!$M90</f>
        <v>2.1573256951494542E-2</v>
      </c>
      <c r="P47" s="244">
        <f>'[2]2a. SMHFC Financials'!$N90</f>
        <v>2.3134959731704867E-2</v>
      </c>
      <c r="Q47" s="316">
        <f>'[2]2a. SMHFC Financials'!$O90</f>
        <v>1.4874649696951974E-2</v>
      </c>
      <c r="R47" s="22"/>
      <c r="S47" s="365">
        <f t="shared" si="71"/>
        <v>-0.61576489775986798</v>
      </c>
      <c r="T47" s="73">
        <f t="shared" si="71"/>
        <v>-1.0167787707338847</v>
      </c>
      <c r="U47" s="366">
        <f t="shared" si="71"/>
        <v>-0.44547786606562134</v>
      </c>
    </row>
    <row r="48" spans="2:21" x14ac:dyDescent="0.3">
      <c r="B48" s="290" t="s">
        <v>30</v>
      </c>
      <c r="C48" s="315">
        <f>'[1]2a. SMHFC Financials'!$M91</f>
        <v>0.35030007766690097</v>
      </c>
      <c r="D48" s="244">
        <f>'[1]2a. SMHFC Financials'!$N91</f>
        <v>0.33493021010034579</v>
      </c>
      <c r="E48" s="316">
        <f>'[1]2a. SMHFC Financials'!$O91</f>
        <v>0.32250614402793648</v>
      </c>
      <c r="F48" s="266"/>
      <c r="G48" s="315">
        <f t="shared" ref="G48:I48" si="72">(G46-G47)/G46</f>
        <v>0.3691196209623564</v>
      </c>
      <c r="H48" s="244">
        <f t="shared" si="72"/>
        <v>0.35741477799816251</v>
      </c>
      <c r="I48" s="316">
        <f t="shared" si="72"/>
        <v>0.34379909090479871</v>
      </c>
      <c r="J48" s="266"/>
      <c r="K48" s="315">
        <f t="shared" ref="K48:M48" si="73">(K46-K47)/K46</f>
        <v>0.38478105588219741</v>
      </c>
      <c r="L48" s="244">
        <f t="shared" si="73"/>
        <v>0.37214243918036971</v>
      </c>
      <c r="M48" s="316">
        <f t="shared" si="73"/>
        <v>0.36159320109594129</v>
      </c>
      <c r="N48" s="266"/>
      <c r="O48" s="315">
        <f>'[2]2a. SMHFC Financials'!$M91</f>
        <v>0.40162117905956279</v>
      </c>
      <c r="P48" s="244">
        <f>'[2]2a. SMHFC Financials'!$N91</f>
        <v>0.38700249983023349</v>
      </c>
      <c r="Q48" s="316">
        <f>'[2]2a. SMHFC Financials'!$O91</f>
        <v>0.38041389574682954</v>
      </c>
      <c r="R48" s="68"/>
      <c r="S48" s="365"/>
      <c r="T48" s="73"/>
      <c r="U48" s="366"/>
    </row>
    <row r="49" spans="2:25" x14ac:dyDescent="0.3">
      <c r="B49" s="291" t="s">
        <v>31</v>
      </c>
      <c r="C49" s="321">
        <f>'[1]2a. SMHFC Financials'!$M96</f>
        <v>13993.475349231901</v>
      </c>
      <c r="D49" s="257">
        <f>'[1]2a. SMHFC Financials'!$N96</f>
        <v>19059.491462193375</v>
      </c>
      <c r="E49" s="322">
        <f>'[1]2a. SMHFC Financials'!$O96</f>
        <v>24563.520854445393</v>
      </c>
      <c r="F49" s="266"/>
      <c r="G49" s="321">
        <f>$C$49-$C$20-$C$63+G20+G63</f>
        <v>10769.97590893766</v>
      </c>
      <c r="H49" s="257">
        <f>G49+H20+H63</f>
        <v>12638.954338479572</v>
      </c>
      <c r="I49" s="322">
        <f>H49+I20+I63</f>
        <v>15211.089473329381</v>
      </c>
      <c r="J49" s="266"/>
      <c r="K49" s="321">
        <f>$C$49-$C$20-$C$63+K20+K63</f>
        <v>10579.809009596293</v>
      </c>
      <c r="L49" s="257">
        <f>K49+L20+L63</f>
        <v>12003.63752781491</v>
      </c>
      <c r="M49" s="322">
        <f>L49+M20+M63</f>
        <v>13795.269027147109</v>
      </c>
      <c r="N49" s="266"/>
      <c r="O49" s="321">
        <f>'[2]2a. SMHFC Financials'!$M96</f>
        <v>10513.203116272125</v>
      </c>
      <c r="P49" s="257">
        <f>'[2]2a. SMHFC Financials'!$N96</f>
        <v>11373.391623043372</v>
      </c>
      <c r="Q49" s="322">
        <f>'[2]2a. SMHFC Financials'!$O96</f>
        <v>12589.379415640058</v>
      </c>
      <c r="R49" s="33"/>
      <c r="S49" s="367"/>
      <c r="T49" s="78"/>
      <c r="U49" s="368"/>
    </row>
    <row r="50" spans="2:25" x14ac:dyDescent="0.3">
      <c r="B50" s="291" t="s">
        <v>47</v>
      </c>
      <c r="C50" s="396">
        <f>'[1]4. Capital working'!DC15</f>
        <v>538.091235712399</v>
      </c>
      <c r="D50" s="397">
        <f>'[1]4. Capital working'!DD15</f>
        <v>613.54474938199235</v>
      </c>
      <c r="E50" s="322">
        <f>'[1]4. Capital working'!DE15</f>
        <v>706.65277627872831</v>
      </c>
      <c r="F50" s="266"/>
      <c r="G50" s="321">
        <f>C50+G70</f>
        <v>590.56911169595514</v>
      </c>
      <c r="H50" s="257">
        <f>D50+H70</f>
        <v>650.32691529705971</v>
      </c>
      <c r="I50" s="322">
        <f>E50+I70</f>
        <v>720.13056838389616</v>
      </c>
      <c r="J50" s="266"/>
      <c r="K50" s="321">
        <f>C50+K70</f>
        <v>628.85190264694643</v>
      </c>
      <c r="L50" s="257">
        <f>D50+L70</f>
        <v>674.7272523685441</v>
      </c>
      <c r="M50" s="322">
        <f>E50+M70</f>
        <v>724.43844053563623</v>
      </c>
      <c r="N50" s="266"/>
      <c r="O50" s="321">
        <f>'[2]4. Capital working'!DC15</f>
        <v>611.18206828790142</v>
      </c>
      <c r="P50" s="257">
        <f>'[2]4. Capital working'!DD15</f>
        <v>644.98822031897396</v>
      </c>
      <c r="Q50" s="322">
        <f>'[2]4. Capital working'!DE15</f>
        <v>677.81885245647732</v>
      </c>
      <c r="R50" s="33"/>
      <c r="S50" s="367"/>
      <c r="T50" s="78"/>
      <c r="U50" s="368"/>
    </row>
    <row r="51" spans="2:25" x14ac:dyDescent="0.3">
      <c r="B51" s="291" t="s">
        <v>48</v>
      </c>
      <c r="C51" s="396">
        <f>'[1]4. Capital working'!DC18-'[1]4. Capital working'!DC15</f>
        <v>1806.6883141728636</v>
      </c>
      <c r="D51" s="397">
        <f>'[1]4. Capital working'!DD18-'[1]4. Capital working'!DD15</f>
        <v>2302.1523168491144</v>
      </c>
      <c r="E51" s="322">
        <f>'[1]4. Capital working'!DE18-'[1]4. Capital working'!DE15</f>
        <v>2772.9609259010581</v>
      </c>
      <c r="F51" s="266"/>
      <c r="G51" s="321">
        <f>C51+S51/3</f>
        <v>1761.1638717986818</v>
      </c>
      <c r="H51" s="257">
        <f t="shared" ref="H51:I51" si="74">D51+T51/3</f>
        <v>2143.641667951134</v>
      </c>
      <c r="I51" s="322">
        <f t="shared" si="74"/>
        <v>2557.7383939408323</v>
      </c>
      <c r="J51" s="266"/>
      <c r="K51" s="321">
        <f>C51+S51/3*2</f>
        <v>1715.6394294244999</v>
      </c>
      <c r="L51" s="257">
        <f t="shared" ref="L51:M51" si="75">D51+T51/3*2</f>
        <v>1985.1310190531533</v>
      </c>
      <c r="M51" s="322">
        <f t="shared" si="75"/>
        <v>2342.515861980607</v>
      </c>
      <c r="N51" s="266"/>
      <c r="O51" s="321">
        <f>'[2]4. Capital working'!DC18-'[2]4. Capital working'!DC15</f>
        <v>1670.1149870503182</v>
      </c>
      <c r="P51" s="257">
        <f>'[2]4. Capital working'!DD18-'[2]4. Capital working'!DD15</f>
        <v>1826.6203701551726</v>
      </c>
      <c r="Q51" s="322">
        <f>'[2]4. Capital working'!DE18-'[2]4. Capital working'!DE15</f>
        <v>2127.2933300203813</v>
      </c>
      <c r="R51" s="33"/>
      <c r="S51" s="367">
        <f>O51-C51</f>
        <v>-136.57332712254538</v>
      </c>
      <c r="T51" s="78">
        <f t="shared" ref="T51:U51" si="76">P51-D51</f>
        <v>-475.53194669394179</v>
      </c>
      <c r="U51" s="368">
        <f t="shared" si="76"/>
        <v>-645.6675958806768</v>
      </c>
      <c r="V51" s="210"/>
      <c r="W51" s="210"/>
      <c r="X51" s="210"/>
    </row>
    <row r="52" spans="2:25" x14ac:dyDescent="0.3">
      <c r="B52" s="292" t="s">
        <v>32</v>
      </c>
      <c r="C52" s="330">
        <f>'[1]4. Capital working'!DC28</f>
        <v>81684.30792681915</v>
      </c>
      <c r="D52" s="258">
        <f>'[1]4. Capital working'!DD28</f>
        <v>113642.45483007944</v>
      </c>
      <c r="E52" s="331">
        <f>'[1]4. Capital working'!DE28</f>
        <v>146078.11763036143</v>
      </c>
      <c r="F52" s="266"/>
      <c r="G52" s="328">
        <f>G53*G21</f>
        <v>75815.832035265135</v>
      </c>
      <c r="H52" s="268">
        <f>H53*H21</f>
        <v>98437.188882139541</v>
      </c>
      <c r="I52" s="329">
        <f>I53*I21</f>
        <v>132353.79738659121</v>
      </c>
      <c r="J52" s="266"/>
      <c r="K52" s="328">
        <f>K53*K21</f>
        <v>69906.553772163112</v>
      </c>
      <c r="L52" s="268">
        <f>L53*L21</f>
        <v>83425.85111651379</v>
      </c>
      <c r="M52" s="329">
        <f>M53*M21</f>
        <v>118800.62433914629</v>
      </c>
      <c r="N52" s="266"/>
      <c r="O52" s="328">
        <f>'[2]4. Capital working'!DC28</f>
        <v>64062.477207698772</v>
      </c>
      <c r="P52" s="268">
        <f>'[2]4. Capital working'!DD28</f>
        <v>68303.511617598822</v>
      </c>
      <c r="Q52" s="329">
        <f>'[2]4. Capital working'!DE28</f>
        <v>105914.6154589358</v>
      </c>
      <c r="R52" s="64"/>
      <c r="S52" s="369">
        <f>ROUND(1-(O52/C52),2)</f>
        <v>0.22</v>
      </c>
      <c r="T52" s="90">
        <f t="shared" ref="T52:U53" si="77">ROUND(1-(P52/D52),2)</f>
        <v>0.4</v>
      </c>
      <c r="U52" s="370">
        <f t="shared" si="77"/>
        <v>0.27</v>
      </c>
    </row>
    <row r="53" spans="2:25" s="427" customFormat="1" x14ac:dyDescent="0.3">
      <c r="B53" s="292" t="s">
        <v>72</v>
      </c>
      <c r="C53" s="421">
        <f>C52/C21</f>
        <v>0.7284344456493077</v>
      </c>
      <c r="D53" s="422">
        <f>D52/D21</f>
        <v>0.75519885589781377</v>
      </c>
      <c r="E53" s="423">
        <f>E52/E21</f>
        <v>0.75630613371053179</v>
      </c>
      <c r="F53" s="266"/>
      <c r="G53" s="424">
        <f t="shared" ref="G53:H53" si="78">C53*(1-S53/3)</f>
        <v>0.7308625604681388</v>
      </c>
      <c r="H53" s="425">
        <f t="shared" si="78"/>
        <v>0.750164196858495</v>
      </c>
      <c r="I53" s="423">
        <f>E53*(1-U53/3)</f>
        <v>0.7512640928191282</v>
      </c>
      <c r="J53" s="426"/>
      <c r="K53" s="424">
        <f>C53*(1-S53*2/3)</f>
        <v>0.73329067528696967</v>
      </c>
      <c r="L53" s="425">
        <f t="shared" ref="L53:M53" si="79">D53*(1-T53*2/3)</f>
        <v>0.74512953781917624</v>
      </c>
      <c r="M53" s="423">
        <f t="shared" si="79"/>
        <v>0.74622205192772473</v>
      </c>
      <c r="N53" s="426"/>
      <c r="O53" s="424">
        <f>O52/O21</f>
        <v>0.73693820047096636</v>
      </c>
      <c r="P53" s="425">
        <f>P52/P21</f>
        <v>0.73680553035739493</v>
      </c>
      <c r="Q53" s="423">
        <f>Q52/Q21</f>
        <v>0.74466742093595473</v>
      </c>
      <c r="R53" s="64"/>
      <c r="S53" s="369">
        <f>ROUND(1-(O53/C53),2)</f>
        <v>-0.01</v>
      </c>
      <c r="T53" s="90">
        <f t="shared" si="77"/>
        <v>0.02</v>
      </c>
      <c r="U53" s="370">
        <f t="shared" si="77"/>
        <v>0.02</v>
      </c>
    </row>
    <row r="54" spans="2:25" x14ac:dyDescent="0.3">
      <c r="B54" s="291" t="s">
        <v>33</v>
      </c>
      <c r="C54" s="398">
        <f>'[1]4. Capital working'!DC20</f>
        <v>11652.993093913039</v>
      </c>
      <c r="D54" s="248">
        <f>'[1]4. Capital working'!DD20</f>
        <v>16148.091690528669</v>
      </c>
      <c r="E54" s="299">
        <f>'[1]4. Capital working'!DE20</f>
        <v>21088.204446832002</v>
      </c>
      <c r="F54" s="266"/>
      <c r="G54" s="321">
        <f>G49-SUM(G50:G51)</f>
        <v>8418.2429254430244</v>
      </c>
      <c r="H54" s="257">
        <f t="shared" ref="H54:M54" si="80">H49-SUM(H50:H51)</f>
        <v>9844.9857552313788</v>
      </c>
      <c r="I54" s="322">
        <f t="shared" si="80"/>
        <v>11933.220511004653</v>
      </c>
      <c r="J54" s="266"/>
      <c r="K54" s="321">
        <f t="shared" si="80"/>
        <v>8235.3176775248467</v>
      </c>
      <c r="L54" s="257">
        <f t="shared" si="80"/>
        <v>9343.7792563932126</v>
      </c>
      <c r="M54" s="322">
        <f t="shared" si="80"/>
        <v>10728.314724630865</v>
      </c>
      <c r="N54" s="266"/>
      <c r="O54" s="321">
        <f>'[2]4. Capital working'!DC20-4</f>
        <v>8128.8033555003076</v>
      </c>
      <c r="P54" s="257">
        <f>'[2]4. Capital working'!DD20-4</f>
        <v>8798.6803271356257</v>
      </c>
      <c r="Q54" s="322">
        <f>'[2]4. Capital working'!DE20-4</f>
        <v>9681.1645277296011</v>
      </c>
      <c r="R54" s="30"/>
      <c r="S54" s="371">
        <f t="shared" ref="S54:U54" si="81">1-(O54/C54)</f>
        <v>0.3024278578053563</v>
      </c>
      <c r="T54" s="93">
        <f t="shared" si="81"/>
        <v>0.45512568941528175</v>
      </c>
      <c r="U54" s="372">
        <f t="shared" si="81"/>
        <v>0.54092039689116511</v>
      </c>
      <c r="V54" s="210"/>
      <c r="W54" s="210"/>
      <c r="X54" s="210"/>
      <c r="Y54" s="210"/>
    </row>
    <row r="55" spans="2:25" x14ac:dyDescent="0.3">
      <c r="B55" s="291" t="s">
        <v>34</v>
      </c>
      <c r="C55" s="321">
        <f>'[1]4. Capital working'!DC24</f>
        <v>3900.1510131639452</v>
      </c>
      <c r="D55" s="257">
        <f>'[1]4. Capital working'!DD24</f>
        <v>5957.8636729123309</v>
      </c>
      <c r="E55" s="322">
        <f>'[1]4. Capital working'!DE24</f>
        <v>7992.4706810787457</v>
      </c>
      <c r="F55" s="266"/>
      <c r="G55" s="321">
        <f>C55*(1-S55/3)</f>
        <v>3627.1404422424694</v>
      </c>
      <c r="H55" s="257">
        <f>D55*(1-T55/3)</f>
        <v>4964.8863940936089</v>
      </c>
      <c r="I55" s="322">
        <f>E55*(1-U55/3)</f>
        <v>6633.7506652953589</v>
      </c>
      <c r="J55" s="266"/>
      <c r="K55" s="321">
        <f>C55*(1-S55*2/3)</f>
        <v>3354.1298713209926</v>
      </c>
      <c r="L55" s="257">
        <f>D55*(1-T55*2/3)</f>
        <v>3971.9091152748879</v>
      </c>
      <c r="M55" s="322">
        <f>E55*(1-U55*2/3)</f>
        <v>5275.0306495119712</v>
      </c>
      <c r="N55" s="266"/>
      <c r="O55" s="321">
        <f>'[2]4. Capital working'!DC24</f>
        <v>3083.6218310121831</v>
      </c>
      <c r="P55" s="257">
        <f>'[2]4. Capital working'!DD24</f>
        <v>2976.9567576416594</v>
      </c>
      <c r="Q55" s="322">
        <f>'[2]4. Capital working'!DE24</f>
        <v>3939.8512913672407</v>
      </c>
      <c r="R55" s="30"/>
      <c r="S55" s="373">
        <f>ROUND(1-(O55/C55),2)</f>
        <v>0.21</v>
      </c>
      <c r="T55" s="212">
        <f t="shared" ref="T55:U55" si="82">ROUND(1-(P55/D55),2)</f>
        <v>0.5</v>
      </c>
      <c r="U55" s="374">
        <f t="shared" si="82"/>
        <v>0.51</v>
      </c>
      <c r="W55" s="210"/>
      <c r="X55" s="210"/>
      <c r="Y55" s="210"/>
    </row>
    <row r="56" spans="2:25" x14ac:dyDescent="0.3">
      <c r="B56" s="292" t="s">
        <v>35</v>
      </c>
      <c r="C56" s="330">
        <f>SUM(C54:C55)</f>
        <v>15553.144107076983</v>
      </c>
      <c r="D56" s="258">
        <f t="shared" ref="D56:E56" si="83">SUM(D54:D55)</f>
        <v>22105.955363441</v>
      </c>
      <c r="E56" s="331">
        <f t="shared" si="83"/>
        <v>29080.675127910748</v>
      </c>
      <c r="F56" s="266"/>
      <c r="G56" s="330">
        <f t="shared" ref="G56:I56" si="84">SUM(G54:G55)</f>
        <v>12045.383367685494</v>
      </c>
      <c r="H56" s="258">
        <f t="shared" si="84"/>
        <v>14809.872149324987</v>
      </c>
      <c r="I56" s="331">
        <f t="shared" si="84"/>
        <v>18566.971176300012</v>
      </c>
      <c r="J56" s="266"/>
      <c r="K56" s="330">
        <f t="shared" ref="K56:M56" si="85">SUM(K54:K55)</f>
        <v>11589.447548845839</v>
      </c>
      <c r="L56" s="258">
        <f t="shared" si="85"/>
        <v>13315.6883716681</v>
      </c>
      <c r="M56" s="331">
        <f t="shared" si="85"/>
        <v>16003.345374142837</v>
      </c>
      <c r="N56" s="266"/>
      <c r="O56" s="330">
        <f>SUM(O54:O55)</f>
        <v>11212.42518651249</v>
      </c>
      <c r="P56" s="258">
        <f t="shared" ref="P56:Q56" si="86">SUM(P54:P55)</f>
        <v>11775.637084777285</v>
      </c>
      <c r="Q56" s="331">
        <f t="shared" si="86"/>
        <v>13621.015819096841</v>
      </c>
      <c r="R56" s="64"/>
      <c r="S56" s="375"/>
      <c r="T56" s="66"/>
      <c r="U56" s="376"/>
    </row>
    <row r="57" spans="2:25" x14ac:dyDescent="0.3">
      <c r="B57" s="293" t="s">
        <v>55</v>
      </c>
      <c r="C57" s="319"/>
      <c r="D57" s="281"/>
      <c r="E57" s="320"/>
      <c r="F57" s="266"/>
      <c r="G57" s="332"/>
      <c r="H57" s="281"/>
      <c r="I57" s="320"/>
      <c r="J57" s="266"/>
      <c r="K57" s="332"/>
      <c r="L57" s="281"/>
      <c r="M57" s="320"/>
      <c r="N57" s="266"/>
      <c r="O57" s="332"/>
      <c r="P57" s="281"/>
      <c r="Q57" s="320"/>
      <c r="S57" s="377"/>
      <c r="T57" s="340"/>
      <c r="U57" s="378"/>
    </row>
    <row r="58" spans="2:25" x14ac:dyDescent="0.3">
      <c r="B58" s="291" t="s">
        <v>36</v>
      </c>
      <c r="C58" s="315">
        <f>C54/C$52</f>
        <v>0.14265889483146429</v>
      </c>
      <c r="D58" s="244">
        <f t="shared" ref="D58:E58" si="87">D54/D$52</f>
        <v>0.14209559019711102</v>
      </c>
      <c r="E58" s="316">
        <f t="shared" si="87"/>
        <v>0.14436251499484648</v>
      </c>
      <c r="F58" s="266"/>
      <c r="G58" s="315">
        <f t="shared" ref="G58:I60" si="88">G54/G$52</f>
        <v>0.11103542227865211</v>
      </c>
      <c r="H58" s="244">
        <f t="shared" si="88"/>
        <v>0.10001286980085282</v>
      </c>
      <c r="I58" s="316">
        <f t="shared" si="88"/>
        <v>9.0161527259765728E-2</v>
      </c>
      <c r="J58" s="266"/>
      <c r="K58" s="315">
        <f t="shared" ref="K58:M60" si="89">K54/K$52</f>
        <v>0.11780465826373152</v>
      </c>
      <c r="L58" s="244">
        <f t="shared" si="89"/>
        <v>0.11200100605918363</v>
      </c>
      <c r="M58" s="316">
        <f t="shared" si="89"/>
        <v>9.0305204912090278E-2</v>
      </c>
      <c r="N58" s="266"/>
      <c r="O58" s="315">
        <f>O54/O$52</f>
        <v>0.12688868288913779</v>
      </c>
      <c r="P58" s="244">
        <f t="shared" ref="P58:Q58" si="90">P54/P$52</f>
        <v>0.1288173934071728</v>
      </c>
      <c r="Q58" s="316">
        <f t="shared" si="90"/>
        <v>9.1405369181395829E-2</v>
      </c>
      <c r="R58" s="68"/>
      <c r="S58" s="365"/>
      <c r="T58" s="73"/>
      <c r="U58" s="366"/>
      <c r="V58" s="108"/>
    </row>
    <row r="59" spans="2:25" x14ac:dyDescent="0.3">
      <c r="B59" s="291" t="s">
        <v>37</v>
      </c>
      <c r="C59" s="315">
        <f t="shared" ref="C59:E60" si="91">C55/C$52</f>
        <v>4.7746637171218791E-2</v>
      </c>
      <c r="D59" s="244">
        <f t="shared" si="91"/>
        <v>5.2426390135804898E-2</v>
      </c>
      <c r="E59" s="316">
        <f t="shared" si="91"/>
        <v>5.4713675194686104E-2</v>
      </c>
      <c r="F59" s="266"/>
      <c r="G59" s="315">
        <f t="shared" si="88"/>
        <v>4.7841464571085013E-2</v>
      </c>
      <c r="H59" s="244">
        <f t="shared" si="88"/>
        <v>5.0437100555950951E-2</v>
      </c>
      <c r="I59" s="316">
        <f t="shared" si="88"/>
        <v>5.0121347451172006E-2</v>
      </c>
      <c r="J59" s="266"/>
      <c r="K59" s="315">
        <f t="shared" si="89"/>
        <v>4.7980191989618746E-2</v>
      </c>
      <c r="L59" s="244">
        <f t="shared" si="89"/>
        <v>4.7610052065608061E-2</v>
      </c>
      <c r="M59" s="316">
        <f t="shared" si="89"/>
        <v>4.4402381543493137E-2</v>
      </c>
      <c r="N59" s="266"/>
      <c r="O59" s="315">
        <f t="shared" ref="O59:Q59" si="92">O55/O$52</f>
        <v>4.8134601804652129E-2</v>
      </c>
      <c r="P59" s="244">
        <f t="shared" si="92"/>
        <v>4.3584241675718297E-2</v>
      </c>
      <c r="Q59" s="316">
        <f t="shared" si="92"/>
        <v>3.7198372238765876E-2</v>
      </c>
      <c r="R59" s="68"/>
      <c r="S59" s="365"/>
      <c r="T59" s="73"/>
      <c r="U59" s="366"/>
      <c r="V59" s="102"/>
    </row>
    <row r="60" spans="2:25" s="243" customFormat="1" x14ac:dyDescent="0.3">
      <c r="B60" s="292" t="s">
        <v>38</v>
      </c>
      <c r="C60" s="317">
        <f t="shared" si="91"/>
        <v>0.19040553200268309</v>
      </c>
      <c r="D60" s="267">
        <f t="shared" si="91"/>
        <v>0.19452198033291593</v>
      </c>
      <c r="E60" s="318">
        <f t="shared" si="91"/>
        <v>0.1990761901895326</v>
      </c>
      <c r="F60" s="399"/>
      <c r="G60" s="317">
        <f t="shared" si="88"/>
        <v>0.15887688684973711</v>
      </c>
      <c r="H60" s="267">
        <f t="shared" si="88"/>
        <v>0.15044997035680377</v>
      </c>
      <c r="I60" s="318">
        <f t="shared" si="88"/>
        <v>0.14028287471093773</v>
      </c>
      <c r="J60" s="399"/>
      <c r="K60" s="317">
        <f t="shared" si="89"/>
        <v>0.16578485025335027</v>
      </c>
      <c r="L60" s="267">
        <f t="shared" si="89"/>
        <v>0.1596110581247917</v>
      </c>
      <c r="M60" s="318">
        <f t="shared" si="89"/>
        <v>0.13470758645558342</v>
      </c>
      <c r="N60" s="399"/>
      <c r="O60" s="317">
        <f t="shared" ref="O60:Q60" si="93">O56/O$52</f>
        <v>0.17502328469378992</v>
      </c>
      <c r="P60" s="267">
        <f t="shared" si="93"/>
        <v>0.17240163508289111</v>
      </c>
      <c r="Q60" s="318">
        <f t="shared" si="93"/>
        <v>0.1286037414201617</v>
      </c>
      <c r="R60" s="400"/>
      <c r="S60" s="416"/>
      <c r="T60" s="417"/>
      <c r="U60" s="418"/>
      <c r="V60" s="419"/>
    </row>
    <row r="61" spans="2:25" s="242" customFormat="1" x14ac:dyDescent="0.3">
      <c r="B61" s="294" t="s">
        <v>56</v>
      </c>
      <c r="C61" s="333">
        <f>C73</f>
        <v>8.5948980648134796</v>
      </c>
      <c r="D61" s="264">
        <f>D73</f>
        <v>9.6734382870785147</v>
      </c>
      <c r="E61" s="334">
        <f>E73</f>
        <v>10.019571295385372</v>
      </c>
      <c r="F61" s="269"/>
      <c r="G61" s="333">
        <f>G73</f>
        <v>8.1607931523726691</v>
      </c>
      <c r="H61" s="264">
        <f>H73</f>
        <v>8.7756537390049214</v>
      </c>
      <c r="I61" s="334">
        <f>I73</f>
        <v>9.6513202118354435</v>
      </c>
      <c r="J61" s="269"/>
      <c r="K61" s="333">
        <f>K73</f>
        <v>7.6840210038772661</v>
      </c>
      <c r="L61" s="264">
        <f>L73</f>
        <v>7.9558928335812391</v>
      </c>
      <c r="M61" s="334">
        <f>M73</f>
        <v>9.6165696144850692</v>
      </c>
      <c r="N61" s="269"/>
      <c r="O61" s="333">
        <f>O73</f>
        <v>7.2181376104145807</v>
      </c>
      <c r="P61" s="264">
        <f>P73</f>
        <v>7.1446137020055245</v>
      </c>
      <c r="Q61" s="334">
        <f>Q73</f>
        <v>9.5387731746041613</v>
      </c>
      <c r="R61" s="240"/>
      <c r="S61" s="379"/>
      <c r="T61" s="241"/>
      <c r="U61" s="380"/>
    </row>
    <row r="62" spans="2:25" x14ac:dyDescent="0.3">
      <c r="B62" s="292" t="s">
        <v>39</v>
      </c>
      <c r="C62" s="315"/>
      <c r="D62" s="244"/>
      <c r="E62" s="316"/>
      <c r="F62" s="266"/>
      <c r="G62" s="315"/>
      <c r="H62" s="244"/>
      <c r="I62" s="316"/>
      <c r="J62" s="266"/>
      <c r="K62" s="315"/>
      <c r="L62" s="244"/>
      <c r="M62" s="316"/>
      <c r="N62" s="266"/>
      <c r="O62" s="315"/>
      <c r="P62" s="244"/>
      <c r="Q62" s="316"/>
      <c r="R62" s="22"/>
      <c r="S62" s="365"/>
      <c r="T62" s="73"/>
      <c r="U62" s="366"/>
    </row>
    <row r="63" spans="2:25" x14ac:dyDescent="0.3">
      <c r="B63" s="295" t="s">
        <v>51</v>
      </c>
      <c r="C63" s="321">
        <f>'[1]2a. SMHFC Financials'!$M102</f>
        <v>3000</v>
      </c>
      <c r="D63" s="257">
        <f>'[1]2a. SMHFC Financials'!$N102</f>
        <v>3000</v>
      </c>
      <c r="E63" s="322">
        <f>'[1]2a. SMHFC Financials'!$O102</f>
        <v>2500</v>
      </c>
      <c r="F63" s="266"/>
      <c r="G63" s="321"/>
      <c r="H63" s="259"/>
      <c r="I63" s="335"/>
      <c r="J63" s="266"/>
      <c r="K63" s="321"/>
      <c r="L63" s="259"/>
      <c r="M63" s="335"/>
      <c r="N63" s="266"/>
      <c r="O63" s="321">
        <f>'[2]2a. SMHFC Financials'!$M102</f>
        <v>0</v>
      </c>
      <c r="P63" s="259">
        <f>'[2]2a. SMHFC Financials'!$N102</f>
        <v>0</v>
      </c>
      <c r="Q63" s="335">
        <f>'[2]2a. SMHFC Financials'!$O102</f>
        <v>0</v>
      </c>
      <c r="R63" s="31"/>
      <c r="S63" s="367"/>
      <c r="T63" s="80"/>
      <c r="U63" s="381"/>
    </row>
    <row r="64" spans="2:25" x14ac:dyDescent="0.3">
      <c r="B64" s="284"/>
      <c r="C64" s="321"/>
      <c r="D64" s="257"/>
      <c r="E64" s="322"/>
      <c r="F64" s="266"/>
      <c r="G64" s="336"/>
      <c r="H64" s="259"/>
      <c r="I64" s="335"/>
      <c r="J64" s="266"/>
      <c r="K64" s="336"/>
      <c r="L64" s="259"/>
      <c r="M64" s="335"/>
      <c r="N64" s="266"/>
      <c r="O64" s="336"/>
      <c r="P64" s="259"/>
      <c r="Q64" s="335"/>
      <c r="R64" s="32"/>
      <c r="S64" s="382"/>
      <c r="T64" s="80"/>
      <c r="U64" s="381"/>
    </row>
    <row r="65" spans="2:21" x14ac:dyDescent="0.3">
      <c r="B65" s="276"/>
      <c r="C65" s="323"/>
      <c r="D65" s="324"/>
      <c r="E65" s="325"/>
      <c r="F65" s="265"/>
      <c r="G65" s="337"/>
      <c r="H65" s="338"/>
      <c r="I65" s="339"/>
      <c r="J65" s="265"/>
      <c r="K65" s="337"/>
      <c r="L65" s="338"/>
      <c r="M65" s="339"/>
      <c r="N65" s="265"/>
      <c r="O65" s="337"/>
      <c r="P65" s="338"/>
      <c r="Q65" s="339"/>
      <c r="R65" s="69"/>
      <c r="S65" s="383"/>
      <c r="T65" s="384"/>
      <c r="U65" s="385"/>
    </row>
    <row r="66" spans="2:21" x14ac:dyDescent="0.3"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0"/>
    </row>
    <row r="67" spans="2:21" s="98" customFormat="1" x14ac:dyDescent="0.3">
      <c r="C67" s="262">
        <f>'[1]2a. SMHFC Financials'!$L$127</f>
        <v>1710.8371939336571</v>
      </c>
      <c r="D67" s="261"/>
      <c r="E67" s="261"/>
      <c r="F67" s="83"/>
      <c r="G67" s="260">
        <f>G52*G59</f>
        <v>3627.1404422424689</v>
      </c>
      <c r="H67" s="260">
        <f>H52*H59</f>
        <v>4964.8863940936089</v>
      </c>
      <c r="I67" s="260">
        <f>I52*I59</f>
        <v>6633.7506652953589</v>
      </c>
      <c r="J67" s="83"/>
      <c r="K67" s="83"/>
      <c r="L67" s="83"/>
      <c r="M67" s="83"/>
      <c r="N67" s="83"/>
      <c r="O67" s="246"/>
      <c r="P67" s="239"/>
      <c r="Q67" s="239"/>
    </row>
    <row r="68" spans="2:21" s="239" customFormat="1" x14ac:dyDescent="0.3">
      <c r="B68" s="239" t="s">
        <v>52</v>
      </c>
      <c r="C68" s="239">
        <f>'[1]2a. SMHFC Financials'!$M127</f>
        <v>1839.3471439935956</v>
      </c>
      <c r="D68" s="239">
        <f>'[1]2a. SMHFC Financials'!$N127</f>
        <v>2118.8046020291263</v>
      </c>
      <c r="E68" s="239">
        <f>'[1]2a. SMHFC Financials'!$O127</f>
        <v>2463.5771250172284</v>
      </c>
      <c r="G68" s="239">
        <f>C67+G17</f>
        <v>2033.7096476363963</v>
      </c>
      <c r="H68" s="239">
        <f>G68+H17</f>
        <v>2255.0348461590056</v>
      </c>
      <c r="I68" s="239">
        <f>H68+I17</f>
        <v>2513.4948735548869</v>
      </c>
      <c r="K68" s="239">
        <f>C67+K17</f>
        <v>2175.4977622696974</v>
      </c>
      <c r="L68" s="239">
        <f>K68+L17</f>
        <v>2345.4064649422808</v>
      </c>
      <c r="M68" s="239">
        <f>L68+M17</f>
        <v>2529.4499555983689</v>
      </c>
      <c r="O68" s="239">
        <f>$C$67+O17</f>
        <v>2306.8744751448485</v>
      </c>
      <c r="P68" s="239">
        <f>$C$67+P17</f>
        <v>1836.0451644191105</v>
      </c>
      <c r="Q68" s="239">
        <f>$C$67+Q17</f>
        <v>1832.432127776262</v>
      </c>
    </row>
    <row r="69" spans="2:21" s="239" customFormat="1" x14ac:dyDescent="0.3">
      <c r="B69" s="239" t="s">
        <v>53</v>
      </c>
      <c r="G69" s="239">
        <f>G68-C68</f>
        <v>194.36250364280068</v>
      </c>
      <c r="H69" s="239">
        <f t="shared" ref="H69:I69" si="94">H68-D68</f>
        <v>136.23024412987934</v>
      </c>
      <c r="I69" s="239">
        <f t="shared" si="94"/>
        <v>49.917748537658554</v>
      </c>
      <c r="K69" s="239">
        <f>K68-C68</f>
        <v>336.1506182761018</v>
      </c>
      <c r="L69" s="239">
        <f t="shared" ref="L69:M69" si="95">L68-D68</f>
        <v>226.60186291315449</v>
      </c>
      <c r="M69" s="239">
        <f t="shared" si="95"/>
        <v>65.872830581140533</v>
      </c>
      <c r="O69" s="239">
        <f>O68-C68</f>
        <v>467.52733115125284</v>
      </c>
      <c r="P69" s="239">
        <f t="shared" ref="P69:Q69" si="96">P68-D68</f>
        <v>-282.75943761001577</v>
      </c>
      <c r="Q69" s="239">
        <f t="shared" si="96"/>
        <v>-631.1449972409664</v>
      </c>
    </row>
    <row r="70" spans="2:21" s="428" customFormat="1" x14ac:dyDescent="0.3">
      <c r="B70" s="428" t="s">
        <v>54</v>
      </c>
      <c r="G70" s="428">
        <f>G69*27%</f>
        <v>52.477875983556189</v>
      </c>
      <c r="H70" s="428">
        <f t="shared" ref="H70:I70" si="97">H69*27%</f>
        <v>36.782165915067424</v>
      </c>
      <c r="I70" s="428">
        <f t="shared" si="97"/>
        <v>13.47779210516781</v>
      </c>
      <c r="K70" s="428">
        <f>K69*27%</f>
        <v>90.760666934547487</v>
      </c>
      <c r="L70" s="428">
        <f t="shared" ref="L70:M70" si="98">L69*27%</f>
        <v>61.182502986551718</v>
      </c>
      <c r="M70" s="428">
        <f t="shared" si="98"/>
        <v>17.785664256907946</v>
      </c>
      <c r="O70" s="428">
        <f>O69*27%</f>
        <v>126.23237941083828</v>
      </c>
      <c r="P70" s="428">
        <f t="shared" ref="P70:Q70" si="99">P69*27%</f>
        <v>-76.345048154704259</v>
      </c>
      <c r="Q70" s="428">
        <f t="shared" si="99"/>
        <v>-170.40914925506095</v>
      </c>
    </row>
    <row r="71" spans="2:21" x14ac:dyDescent="0.3">
      <c r="C71" s="100"/>
      <c r="D71" s="239"/>
      <c r="G71" s="100"/>
      <c r="H71" s="100"/>
      <c r="I71" s="100"/>
      <c r="K71" s="100"/>
    </row>
    <row r="73" spans="2:21" x14ac:dyDescent="0.3">
      <c r="B73" s="274" t="s">
        <v>56</v>
      </c>
      <c r="C73" s="271">
        <f>C75/C74</f>
        <v>8.5948980648134796</v>
      </c>
      <c r="D73" s="271">
        <f t="shared" ref="D73" si="100">D75/D74</f>
        <v>9.6734382870785147</v>
      </c>
      <c r="E73" s="271">
        <f t="shared" ref="E73" si="101">E75/E74</f>
        <v>10.019571295385372</v>
      </c>
      <c r="G73" s="277">
        <f>G75/G74</f>
        <v>8.1607931523726691</v>
      </c>
      <c r="H73" s="271">
        <f t="shared" ref="H73:I73" si="102">H75/H74</f>
        <v>8.7756537390049214</v>
      </c>
      <c r="I73" s="271">
        <f t="shared" si="102"/>
        <v>9.6513202118354435</v>
      </c>
      <c r="J73" s="238"/>
      <c r="K73" s="277">
        <f>K75/K74</f>
        <v>7.6840210038772661</v>
      </c>
      <c r="L73" s="271">
        <f t="shared" ref="L73" si="103">L75/L74</f>
        <v>7.9558928335812391</v>
      </c>
      <c r="M73" s="271">
        <f t="shared" ref="M73" si="104">M75/M74</f>
        <v>9.6165696144850692</v>
      </c>
      <c r="N73" s="238"/>
      <c r="O73" s="277">
        <f t="shared" ref="O73:P73" si="105">O75/O74</f>
        <v>7.2181376104145807</v>
      </c>
      <c r="P73" s="271">
        <f t="shared" si="105"/>
        <v>7.1446137020055245</v>
      </c>
      <c r="Q73" s="271">
        <f t="shared" ref="Q73" si="106">Q75/Q74</f>
        <v>9.5387731746041613</v>
      </c>
    </row>
    <row r="74" spans="2:21" x14ac:dyDescent="0.3">
      <c r="B74" s="275" t="s">
        <v>58</v>
      </c>
      <c r="C74" s="272">
        <f>C82+C20</f>
        <v>10997.772643798302</v>
      </c>
      <c r="D74" s="272">
        <f>C74+D20</f>
        <v>13063.788756759775</v>
      </c>
      <c r="E74" s="272">
        <f>D74+E20</f>
        <v>16067.81814901179</v>
      </c>
      <c r="G74" s="278">
        <f>C82+G20</f>
        <v>10774.273203504061</v>
      </c>
      <c r="H74" s="272">
        <f>G74+H20</f>
        <v>12643.251633045973</v>
      </c>
      <c r="I74" s="272">
        <f>H74+I20</f>
        <v>15215.386767895781</v>
      </c>
      <c r="K74" s="278">
        <f>C82+K20</f>
        <v>10584.106304162693</v>
      </c>
      <c r="L74" s="272">
        <f>K74+L20</f>
        <v>12007.93482238131</v>
      </c>
      <c r="M74" s="272">
        <f>L74+M20</f>
        <v>13799.56632171351</v>
      </c>
      <c r="O74" s="278">
        <f>C82+O20</f>
        <v>10353.13807375187</v>
      </c>
      <c r="P74" s="272">
        <f>O74+P20</f>
        <v>11213.326580523115</v>
      </c>
      <c r="Q74" s="272">
        <f>P74+Q20</f>
        <v>12429.314373119802</v>
      </c>
    </row>
    <row r="75" spans="2:21" x14ac:dyDescent="0.3">
      <c r="B75" s="275" t="s">
        <v>57</v>
      </c>
      <c r="C75" s="272">
        <f>C83/C84*C76</f>
        <v>94524.734813440649</v>
      </c>
      <c r="D75" s="272">
        <f>C75/C76*D76</f>
        <v>126371.75433394585</v>
      </c>
      <c r="E75" s="272">
        <f>D75/D76*E76</f>
        <v>160992.64950531066</v>
      </c>
      <c r="G75" s="278">
        <f>C83/C84*G22</f>
        <v>87926.614980948274</v>
      </c>
      <c r="H75" s="272">
        <f>G75/G76*H76</f>
        <v>110952.79846671996</v>
      </c>
      <c r="I75" s="272">
        <f>H75/H76*I76</f>
        <v>146848.56984388613</v>
      </c>
      <c r="K75" s="278">
        <f>C83/C84*K76</f>
        <v>81328.495148455913</v>
      </c>
      <c r="L75" s="272">
        <f>K75/K76*L76</f>
        <v>95533.842599494077</v>
      </c>
      <c r="M75" s="272">
        <f>L75/L76*M76</f>
        <v>132704.49018246162</v>
      </c>
      <c r="O75" s="278">
        <f>C83/C84*O76</f>
        <v>74730.375315963538</v>
      </c>
      <c r="P75" s="272">
        <f>O75/O76*P76</f>
        <v>80114.886732268205</v>
      </c>
      <c r="Q75" s="272">
        <f>P75/P76*Q76</f>
        <v>118560.41052103709</v>
      </c>
    </row>
    <row r="76" spans="2:21" x14ac:dyDescent="0.3">
      <c r="B76" s="276" t="s">
        <v>59</v>
      </c>
      <c r="C76" s="273">
        <f>C22</f>
        <v>129046.78105872768</v>
      </c>
      <c r="D76" s="273">
        <f>D22</f>
        <v>172524.87558654527</v>
      </c>
      <c r="E76" s="273">
        <f>E22</f>
        <v>219789.91248989137</v>
      </c>
      <c r="G76" s="279">
        <f>G22</f>
        <v>120038.91526462212</v>
      </c>
      <c r="H76" s="273">
        <f>H22</f>
        <v>151474.6539077519</v>
      </c>
      <c r="I76" s="273">
        <f>I22</f>
        <v>200480.17356338218</v>
      </c>
      <c r="K76" s="279">
        <f>K22</f>
        <v>111031.04947051655</v>
      </c>
      <c r="L76" s="273">
        <f>L22</f>
        <v>130424.43222895851</v>
      </c>
      <c r="M76" s="273">
        <f>M22</f>
        <v>181170.43463687299</v>
      </c>
      <c r="O76" s="279">
        <f>O22</f>
        <v>102023.18367641098</v>
      </c>
      <c r="P76" s="273">
        <f>P22</f>
        <v>109374.21055016514</v>
      </c>
      <c r="Q76" s="273">
        <f>Q22</f>
        <v>161860.6957103638</v>
      </c>
    </row>
    <row r="78" spans="2:21" x14ac:dyDescent="0.3">
      <c r="H78" s="239"/>
      <c r="I78" s="239"/>
    </row>
    <row r="79" spans="2:21" x14ac:dyDescent="0.3">
      <c r="H79" s="238"/>
      <c r="I79" s="238"/>
    </row>
    <row r="80" spans="2:21" x14ac:dyDescent="0.3">
      <c r="B80" s="243" t="s">
        <v>41</v>
      </c>
      <c r="D80" s="263"/>
    </row>
    <row r="81" spans="2:17" x14ac:dyDescent="0.3">
      <c r="B81" s="393" t="s">
        <v>56</v>
      </c>
      <c r="C81" s="394">
        <f>'[1]4. Capital working'!$DB$38</f>
        <v>6.7499450675362329</v>
      </c>
      <c r="G81" s="246">
        <v>0.15</v>
      </c>
      <c r="H81" s="246">
        <v>0.15</v>
      </c>
      <c r="I81" s="246">
        <v>0.15</v>
      </c>
      <c r="K81" s="246">
        <v>0.15</v>
      </c>
      <c r="L81" s="246">
        <v>0.15</v>
      </c>
      <c r="M81" s="246">
        <v>0.15</v>
      </c>
      <c r="O81" s="246">
        <v>0.15</v>
      </c>
      <c r="P81" s="246">
        <v>0.15</v>
      </c>
      <c r="Q81" s="246">
        <v>0.15</v>
      </c>
    </row>
    <row r="82" spans="2:17" x14ac:dyDescent="0.3">
      <c r="B82" s="393" t="s">
        <v>58</v>
      </c>
      <c r="C82" s="395">
        <f>'[1]4. Capital working'!$DB$8</f>
        <v>9743.080283895888</v>
      </c>
      <c r="G82" s="99">
        <f t="shared" ref="G82:H82" si="107">MAX((G81-G60),(10%-G58))</f>
        <v>-8.8768868497371145E-3</v>
      </c>
      <c r="H82" s="99">
        <f t="shared" si="107"/>
        <v>-1.2869800852813307E-5</v>
      </c>
      <c r="I82" s="99">
        <f>MAX((I81-I60),(10%-I58))</f>
        <v>9.8384727402342775E-3</v>
      </c>
      <c r="K82" s="99">
        <f t="shared" ref="K82:M82" si="108">MAX((K81-K60),(10%-K58))</f>
        <v>-1.5784850253350274E-2</v>
      </c>
      <c r="L82" s="99">
        <f t="shared" si="108"/>
        <v>-9.6110581247917104E-3</v>
      </c>
      <c r="M82" s="99">
        <f t="shared" si="108"/>
        <v>1.5292413544416572E-2</v>
      </c>
      <c r="O82" s="99">
        <f t="shared" ref="O82:Q82" si="109">MAX((O81-O60),(10%-O58))</f>
        <v>-2.5023284693789921E-2</v>
      </c>
      <c r="P82" s="99">
        <f t="shared" si="109"/>
        <v>-2.2401635082891114E-2</v>
      </c>
      <c r="Q82" s="99">
        <f t="shared" si="109"/>
        <v>2.139625857983829E-2</v>
      </c>
    </row>
    <row r="83" spans="2:17" x14ac:dyDescent="0.3">
      <c r="B83" s="393" t="s">
        <v>57</v>
      </c>
      <c r="C83" s="395">
        <f>C82*C81</f>
        <v>65765.25670489257</v>
      </c>
      <c r="G83" s="429">
        <f>G52*G82</f>
        <v>-673.00856239572295</v>
      </c>
      <c r="H83" s="429">
        <f>H52*H82</f>
        <v>-1.2668670174239041</v>
      </c>
      <c r="I83" s="429">
        <f>I52*I82</f>
        <v>1302.1592276544684</v>
      </c>
      <c r="J83" s="430"/>
      <c r="K83" s="429">
        <f>K52*K82</f>
        <v>-1103.4644830213736</v>
      </c>
      <c r="L83" s="429">
        <f>L52*L82</f>
        <v>-801.81070419103344</v>
      </c>
      <c r="M83" s="429">
        <f>M52*M82</f>
        <v>1816.7482767291058</v>
      </c>
      <c r="N83" s="430"/>
      <c r="O83" s="429">
        <f>O52*O82</f>
        <v>-1603.0536053576743</v>
      </c>
      <c r="P83" s="429">
        <f>P52*P82</f>
        <v>-1530.1103421374626</v>
      </c>
      <c r="Q83" s="429">
        <f>Q52*Q82</f>
        <v>2266.1764997435284</v>
      </c>
    </row>
    <row r="84" spans="2:17" x14ac:dyDescent="0.3">
      <c r="B84" s="393" t="s">
        <v>59</v>
      </c>
      <c r="C84" s="395">
        <f>'[1]2a. SMHFC Financials'!$L$34</f>
        <v>89783.85075628417</v>
      </c>
    </row>
  </sheetData>
  <mergeCells count="5">
    <mergeCell ref="C2:E2"/>
    <mergeCell ref="G2:I2"/>
    <mergeCell ref="K2:M2"/>
    <mergeCell ref="O2:Q2"/>
    <mergeCell ref="S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00"/>
  </sheetPr>
  <dimension ref="B1:X75"/>
  <sheetViews>
    <sheetView showGridLines="0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5" sqref="D5"/>
    </sheetView>
  </sheetViews>
  <sheetFormatPr defaultColWidth="9.109375" defaultRowHeight="13.8" x14ac:dyDescent="0.3"/>
  <cols>
    <col min="1" max="1" width="1.109375" style="1" customWidth="1"/>
    <col min="2" max="2" width="31" style="1" customWidth="1"/>
    <col min="3" max="3" width="10" style="116" bestFit="1" customWidth="1"/>
    <col min="4" max="5" width="9.109375" style="116"/>
    <col min="6" max="6" width="3.109375" style="98" customWidth="1"/>
    <col min="7" max="9" width="9.109375" style="116" customWidth="1"/>
    <col min="10" max="10" width="3.109375" style="98" customWidth="1"/>
    <col min="11" max="13" width="9.109375" style="116" customWidth="1"/>
    <col min="14" max="14" width="3.109375" style="98" customWidth="1"/>
    <col min="15" max="16" width="10" style="116" bestFit="1" customWidth="1"/>
    <col min="17" max="17" width="9.109375" style="116"/>
    <col min="18" max="18" width="3.88671875" style="1" customWidth="1"/>
    <col min="19" max="21" width="9.109375" style="1" customWidth="1"/>
    <col min="22" max="24" width="7.44140625" style="1" customWidth="1"/>
    <col min="25" max="16384" width="9.109375" style="1"/>
  </cols>
  <sheetData>
    <row r="1" spans="2:24" ht="14.4" thickBot="1" x14ac:dyDescent="0.35">
      <c r="C1" s="114"/>
      <c r="D1" s="114"/>
      <c r="E1" s="115"/>
      <c r="N1" s="83"/>
      <c r="O1" s="115"/>
      <c r="P1" s="115"/>
      <c r="Q1" s="115"/>
    </row>
    <row r="2" spans="2:24" s="83" customFormat="1" ht="15" customHeight="1" thickBot="1" x14ac:dyDescent="0.35">
      <c r="C2" s="438" t="s">
        <v>50</v>
      </c>
      <c r="D2" s="439"/>
      <c r="E2" s="440"/>
      <c r="G2" s="438" t="s">
        <v>43</v>
      </c>
      <c r="H2" s="439"/>
      <c r="I2" s="440"/>
      <c r="K2" s="438" t="s">
        <v>44</v>
      </c>
      <c r="L2" s="439"/>
      <c r="M2" s="440"/>
      <c r="O2" s="438" t="s">
        <v>42</v>
      </c>
      <c r="P2" s="439"/>
      <c r="Q2" s="440"/>
      <c r="R2" s="49"/>
      <c r="S2" s="441" t="s">
        <v>45</v>
      </c>
      <c r="T2" s="442"/>
      <c r="U2" s="443"/>
    </row>
    <row r="3" spans="2:24" x14ac:dyDescent="0.3">
      <c r="B3" s="37" t="s">
        <v>0</v>
      </c>
      <c r="C3" s="3" t="s">
        <v>41</v>
      </c>
      <c r="D3" s="2" t="s">
        <v>40</v>
      </c>
      <c r="E3" s="4" t="s">
        <v>49</v>
      </c>
      <c r="G3" s="3" t="s">
        <v>41</v>
      </c>
      <c r="H3" s="2" t="s">
        <v>40</v>
      </c>
      <c r="I3" s="4" t="s">
        <v>49</v>
      </c>
      <c r="K3" s="3" t="s">
        <v>41</v>
      </c>
      <c r="L3" s="2" t="s">
        <v>40</v>
      </c>
      <c r="M3" s="4" t="s">
        <v>49</v>
      </c>
      <c r="O3" s="3" t="s">
        <v>41</v>
      </c>
      <c r="P3" s="2" t="s">
        <v>40</v>
      </c>
      <c r="Q3" s="4" t="s">
        <v>49</v>
      </c>
      <c r="R3" s="63"/>
      <c r="S3" s="3" t="s">
        <v>41</v>
      </c>
      <c r="T3" s="2" t="s">
        <v>40</v>
      </c>
      <c r="U3" s="4" t="s">
        <v>49</v>
      </c>
    </row>
    <row r="4" spans="2:24" x14ac:dyDescent="0.3">
      <c r="B4" s="39" t="s">
        <v>1</v>
      </c>
      <c r="C4" s="117">
        <v>4167.2174563040935</v>
      </c>
      <c r="D4" s="118">
        <v>6016.4315819007506</v>
      </c>
      <c r="E4" s="119">
        <v>8413.6609781671668</v>
      </c>
      <c r="G4" s="117">
        <f>G27*G$23</f>
        <v>4027.4233903999921</v>
      </c>
      <c r="H4" s="118">
        <f t="shared" ref="H4:I4" si="0">H27*H$23</f>
        <v>5452.961347809809</v>
      </c>
      <c r="I4" s="119">
        <f t="shared" si="0"/>
        <v>7481.1061074561549</v>
      </c>
      <c r="K4" s="117">
        <f t="shared" ref="K4:M4" si="1">K27*K$23</f>
        <v>3887.3813070406045</v>
      </c>
      <c r="L4" s="118">
        <f t="shared" si="1"/>
        <v>4884.2651806247286</v>
      </c>
      <c r="M4" s="119">
        <f t="shared" si="1"/>
        <v>6561.3651022585864</v>
      </c>
      <c r="O4" s="117">
        <v>3747.091206225929</v>
      </c>
      <c r="P4" s="118">
        <v>4310.3430803455103</v>
      </c>
      <c r="Q4" s="119">
        <v>5654.4379625744696</v>
      </c>
      <c r="R4" s="30"/>
      <c r="S4" s="6"/>
      <c r="T4" s="5"/>
      <c r="U4" s="7"/>
    </row>
    <row r="5" spans="2:24" x14ac:dyDescent="0.3">
      <c r="B5" s="39" t="s">
        <v>2</v>
      </c>
      <c r="C5" s="117">
        <v>229.67063763926288</v>
      </c>
      <c r="D5" s="118">
        <v>339.60838953786094</v>
      </c>
      <c r="E5" s="119">
        <v>449.99419168622757</v>
      </c>
      <c r="G5" s="117">
        <f t="shared" ref="G5:I5" si="2">G28*G$23</f>
        <v>220.48886892331114</v>
      </c>
      <c r="H5" s="118">
        <f t="shared" si="2"/>
        <v>303.55038336626797</v>
      </c>
      <c r="I5" s="119">
        <f t="shared" si="2"/>
        <v>402.51051994728033</v>
      </c>
      <c r="K5" s="117">
        <f t="shared" ref="K5:M5" si="3">K28*K$23</f>
        <v>211.39862609718435</v>
      </c>
      <c r="L5" s="118">
        <f t="shared" si="3"/>
        <v>268.11783552073246</v>
      </c>
      <c r="M5" s="119">
        <f t="shared" si="3"/>
        <v>355.15491463272167</v>
      </c>
      <c r="O5" s="117">
        <v>202.39990916088252</v>
      </c>
      <c r="P5" s="118">
        <v>233.31074600125447</v>
      </c>
      <c r="Q5" s="119">
        <v>307.9273757425521</v>
      </c>
      <c r="R5" s="30"/>
      <c r="S5" s="6"/>
      <c r="T5" s="5"/>
      <c r="U5" s="7"/>
    </row>
    <row r="6" spans="2:24" x14ac:dyDescent="0.3">
      <c r="B6" s="39" t="s">
        <v>3</v>
      </c>
      <c r="C6" s="117">
        <v>-178.71519757987195</v>
      </c>
      <c r="D6" s="118">
        <v>-253.13969372854825</v>
      </c>
      <c r="E6" s="119">
        <v>-322.78056610483378</v>
      </c>
      <c r="G6" s="117">
        <f t="shared" ref="G6:I6" si="4">G29*G$23</f>
        <v>-172.81561924082362</v>
      </c>
      <c r="H6" s="118">
        <f t="shared" si="4"/>
        <v>-230.00845398034468</v>
      </c>
      <c r="I6" s="119">
        <f t="shared" si="4"/>
        <v>-289.7839610779759</v>
      </c>
      <c r="K6" s="117">
        <f t="shared" ref="K6:M6" si="5">K29*K$23</f>
        <v>-166.89859462416717</v>
      </c>
      <c r="L6" s="118">
        <f t="shared" si="5"/>
        <v>-206.53251004121495</v>
      </c>
      <c r="M6" s="119">
        <f t="shared" si="5"/>
        <v>-256.63156496032053</v>
      </c>
      <c r="O6" s="117">
        <v>-160.96412372990258</v>
      </c>
      <c r="P6" s="118">
        <v>-182.71186191115908</v>
      </c>
      <c r="Q6" s="119">
        <v>-223.32337775186795</v>
      </c>
      <c r="R6" s="30"/>
      <c r="S6" s="6"/>
      <c r="T6" s="5"/>
      <c r="U6" s="7"/>
    </row>
    <row r="7" spans="2:24" x14ac:dyDescent="0.3">
      <c r="B7" s="39" t="s">
        <v>4</v>
      </c>
      <c r="C7" s="117">
        <v>50.955440059390924</v>
      </c>
      <c r="D7" s="118">
        <v>86.468695809312692</v>
      </c>
      <c r="E7" s="119">
        <v>127.21362558139379</v>
      </c>
      <c r="G7" s="117">
        <f t="shared" ref="G7:I7" si="6">G30*G$23</f>
        <v>47.673249682487508</v>
      </c>
      <c r="H7" s="118">
        <f t="shared" si="6"/>
        <v>73.541929385923268</v>
      </c>
      <c r="I7" s="119">
        <f t="shared" si="6"/>
        <v>112.72655886930437</v>
      </c>
      <c r="K7" s="117">
        <f t="shared" ref="K7:M7" si="7">K30*K$23</f>
        <v>44.500031473017181</v>
      </c>
      <c r="L7" s="118">
        <f t="shared" si="7"/>
        <v>61.585325479517493</v>
      </c>
      <c r="M7" s="119">
        <f t="shared" si="7"/>
        <v>98.523349672401139</v>
      </c>
      <c r="O7" s="117">
        <v>41.435785430979934</v>
      </c>
      <c r="P7" s="118">
        <v>50.598884090095396</v>
      </c>
      <c r="Q7" s="119">
        <v>84.603997990684149</v>
      </c>
      <c r="R7" s="30"/>
      <c r="S7" s="6"/>
      <c r="T7" s="5"/>
      <c r="U7" s="7"/>
    </row>
    <row r="8" spans="2:24" x14ac:dyDescent="0.3">
      <c r="B8" s="39" t="s">
        <v>5</v>
      </c>
      <c r="C8" s="117">
        <v>353.42982134781244</v>
      </c>
      <c r="D8" s="118">
        <v>556.31246673793601</v>
      </c>
      <c r="E8" s="119">
        <v>731.62344464774469</v>
      </c>
      <c r="G8" s="117">
        <f t="shared" ref="G8:I8" si="8">G31*G$23</f>
        <v>305.7184194565599</v>
      </c>
      <c r="H8" s="118">
        <f t="shared" si="8"/>
        <v>457.3010671343016</v>
      </c>
      <c r="I8" s="119">
        <f t="shared" si="8"/>
        <v>702.00531557845602</v>
      </c>
      <c r="K8" s="117">
        <f t="shared" ref="K8:M8" si="9">K31*K$23</f>
        <v>260.53931055564243</v>
      </c>
      <c r="L8" s="118">
        <f t="shared" si="9"/>
        <v>367.96140927306698</v>
      </c>
      <c r="M8" s="119">
        <f t="shared" si="9"/>
        <v>661.51388626597509</v>
      </c>
      <c r="O8" s="117">
        <v>217.89249464506</v>
      </c>
      <c r="P8" s="118">
        <v>288.29349315423246</v>
      </c>
      <c r="Q8" s="119">
        <v>610.14915671030258</v>
      </c>
      <c r="R8" s="30"/>
      <c r="S8" s="6"/>
      <c r="T8" s="5"/>
      <c r="U8" s="7"/>
    </row>
    <row r="9" spans="2:24" x14ac:dyDescent="0.3">
      <c r="B9" s="39" t="s">
        <v>6</v>
      </c>
      <c r="C9" s="117">
        <v>78.205817608819686</v>
      </c>
      <c r="D9" s="118">
        <v>341.44843645728378</v>
      </c>
      <c r="E9" s="119">
        <v>354.31415080665045</v>
      </c>
      <c r="G9" s="117">
        <f t="shared" ref="G9:I9" si="10">G32*G$23</f>
        <v>58.258245087092803</v>
      </c>
      <c r="H9" s="118">
        <f t="shared" si="10"/>
        <v>247.33300452804843</v>
      </c>
      <c r="I9" s="119">
        <f t="shared" si="10"/>
        <v>265.78345959382773</v>
      </c>
      <c r="K9" s="117">
        <f t="shared" ref="K9:M9" si="11">K32*K$23</f>
        <v>39.539703361374983</v>
      </c>
      <c r="L9" s="118">
        <f t="shared" si="11"/>
        <v>166.37229931947951</v>
      </c>
      <c r="M9" s="119">
        <f t="shared" si="11"/>
        <v>189.26419909755677</v>
      </c>
      <c r="O9" s="117">
        <v>22.05019243166624</v>
      </c>
      <c r="P9" s="118">
        <v>98.566320831577059</v>
      </c>
      <c r="Q9" s="119">
        <v>124.75636931783777</v>
      </c>
      <c r="R9" s="30"/>
      <c r="S9" s="6"/>
      <c r="T9" s="5"/>
      <c r="U9" s="7"/>
    </row>
    <row r="10" spans="2:24" x14ac:dyDescent="0.3">
      <c r="B10" s="39" t="s">
        <v>7</v>
      </c>
      <c r="C10" s="226">
        <v>216.36383536162128</v>
      </c>
      <c r="D10" s="227">
        <v>379.99999999999994</v>
      </c>
      <c r="E10" s="228">
        <v>405</v>
      </c>
      <c r="G10" s="226">
        <f t="shared" ref="G10:I10" si="12">G33*G$23</f>
        <v>247.07189927328199</v>
      </c>
      <c r="H10" s="227">
        <f t="shared" si="12"/>
        <v>377.49121739462731</v>
      </c>
      <c r="I10" s="228">
        <f t="shared" si="12"/>
        <v>415.6512294021814</v>
      </c>
      <c r="K10" s="226">
        <f t="shared" ref="K10:M10" si="13">K33*K$23</f>
        <v>275.06342629821194</v>
      </c>
      <c r="L10" s="227">
        <f t="shared" si="13"/>
        <v>367.49121739462731</v>
      </c>
      <c r="M10" s="228">
        <f t="shared" si="13"/>
        <v>413.98456273551466</v>
      </c>
      <c r="O10" s="226">
        <v>300.33841643641114</v>
      </c>
      <c r="P10" s="227">
        <v>350</v>
      </c>
      <c r="Q10" s="228">
        <v>400</v>
      </c>
      <c r="R10" s="30"/>
      <c r="S10" s="6"/>
      <c r="T10" s="5"/>
      <c r="U10" s="7"/>
    </row>
    <row r="11" spans="2:24" x14ac:dyDescent="0.3">
      <c r="B11" s="38" t="s">
        <v>8</v>
      </c>
      <c r="C11" s="117">
        <v>4866.1723706817374</v>
      </c>
      <c r="D11" s="118">
        <v>7380.6611809052829</v>
      </c>
      <c r="E11" s="119">
        <v>10031.812199202956</v>
      </c>
      <c r="G11" s="117">
        <f t="shared" ref="G11:I11" si="14">G34*G$23</f>
        <v>4686.1452038994148</v>
      </c>
      <c r="H11" s="118">
        <f t="shared" si="14"/>
        <v>6608.6285662527098</v>
      </c>
      <c r="I11" s="119">
        <f t="shared" si="14"/>
        <v>8977.2726708999235</v>
      </c>
      <c r="K11" s="117">
        <f t="shared" ref="K11:M11" si="15">K34*K$23</f>
        <v>4507.0237787288506</v>
      </c>
      <c r="L11" s="118">
        <f t="shared" si="15"/>
        <v>5847.6754320914197</v>
      </c>
      <c r="M11" s="119">
        <f t="shared" si="15"/>
        <v>7924.6511000300343</v>
      </c>
      <c r="O11" s="117">
        <f>O4+O5+O6+O8+O9+O10</f>
        <v>4328.8080951700467</v>
      </c>
      <c r="P11" s="118">
        <f t="shared" ref="P11:Q11" si="16">P4+P5+P6+P8+P9+P10</f>
        <v>5097.8017784214153</v>
      </c>
      <c r="Q11" s="119">
        <f t="shared" si="16"/>
        <v>6873.9474865932934</v>
      </c>
      <c r="R11" s="30"/>
      <c r="S11" s="6"/>
      <c r="T11" s="5"/>
      <c r="U11" s="7"/>
    </row>
    <row r="12" spans="2:24" x14ac:dyDescent="0.3">
      <c r="B12" s="38" t="s">
        <v>9</v>
      </c>
      <c r="C12" s="117">
        <v>3532.8874515328998</v>
      </c>
      <c r="D12" s="118">
        <v>4553.7666034043586</v>
      </c>
      <c r="E12" s="119">
        <v>5514.3871529366197</v>
      </c>
      <c r="G12" s="117">
        <f t="shared" ref="G12:I12" si="17">G35*G$23</f>
        <v>3341.0850242575511</v>
      </c>
      <c r="H12" s="118">
        <f t="shared" si="17"/>
        <v>4251.2764463927806</v>
      </c>
      <c r="I12" s="119">
        <f t="shared" si="17"/>
        <v>5305.1268239810679</v>
      </c>
      <c r="K12" s="117">
        <f t="shared" ref="K12:M12" si="18">K35*K$23</f>
        <v>3154.2913108590319</v>
      </c>
      <c r="L12" s="118">
        <f t="shared" si="18"/>
        <v>3917.9888618630025</v>
      </c>
      <c r="M12" s="119">
        <f t="shared" si="18"/>
        <v>5010.6572173580143</v>
      </c>
      <c r="O12" s="117">
        <v>2972.5063113373412</v>
      </c>
      <c r="P12" s="118">
        <v>3553.9038498150258</v>
      </c>
      <c r="Q12" s="119">
        <v>4630.9783330674572</v>
      </c>
      <c r="R12" s="30"/>
      <c r="S12" s="6"/>
      <c r="T12" s="5"/>
      <c r="U12" s="7"/>
    </row>
    <row r="13" spans="2:24" x14ac:dyDescent="0.3">
      <c r="B13" s="40" t="s">
        <v>10</v>
      </c>
      <c r="C13" s="120">
        <v>1333.2849191488376</v>
      </c>
      <c r="D13" s="121">
        <v>2826.8945775009242</v>
      </c>
      <c r="E13" s="122">
        <v>4517.4250462663358</v>
      </c>
      <c r="G13" s="120">
        <f t="shared" ref="G13:I13" si="19">G36*G$23</f>
        <v>1345.0601796418632</v>
      </c>
      <c r="H13" s="121">
        <f t="shared" si="19"/>
        <v>2357.3521198599296</v>
      </c>
      <c r="I13" s="122">
        <f t="shared" si="19"/>
        <v>3672.1458469188556</v>
      </c>
      <c r="K13" s="120">
        <f t="shared" ref="K13:M13" si="20">K36*K$23</f>
        <v>1352.7324678698192</v>
      </c>
      <c r="L13" s="121">
        <f t="shared" si="20"/>
        <v>1929.6865702284172</v>
      </c>
      <c r="M13" s="122">
        <f t="shared" si="20"/>
        <v>2913.9938826720199</v>
      </c>
      <c r="O13" s="120">
        <f>O11-O12</f>
        <v>1356.3017838327055</v>
      </c>
      <c r="P13" s="121">
        <f t="shared" ref="P13:Q13" si="21">P11-P12</f>
        <v>1543.8979286063895</v>
      </c>
      <c r="Q13" s="122">
        <f t="shared" si="21"/>
        <v>2242.9691535258362</v>
      </c>
      <c r="R13" s="64"/>
      <c r="S13" s="9"/>
      <c r="T13" s="8"/>
      <c r="U13" s="10"/>
      <c r="V13" s="110"/>
      <c r="W13" s="110"/>
      <c r="X13" s="110"/>
    </row>
    <row r="14" spans="2:24" x14ac:dyDescent="0.3">
      <c r="B14" s="39" t="s">
        <v>11</v>
      </c>
      <c r="C14" s="123">
        <v>626.27780707091119</v>
      </c>
      <c r="D14" s="124">
        <v>910.81471319263665</v>
      </c>
      <c r="E14" s="125">
        <v>1041.1672550616142</v>
      </c>
      <c r="G14" s="123">
        <f t="shared" ref="G14:I14" si="22">G37*G$23</f>
        <v>764.97724792050838</v>
      </c>
      <c r="H14" s="124">
        <f t="shared" si="22"/>
        <v>1022.5564802570483</v>
      </c>
      <c r="I14" s="125">
        <f t="shared" si="22"/>
        <v>1000.4644814145875</v>
      </c>
      <c r="K14" s="123">
        <f t="shared" ref="K14:M14" si="23">K37*K$23</f>
        <v>892.26620881668475</v>
      </c>
      <c r="L14" s="124">
        <f t="shared" si="23"/>
        <v>1090.8512863643871</v>
      </c>
      <c r="M14" s="125">
        <f t="shared" si="23"/>
        <v>943.95112401795041</v>
      </c>
      <c r="O14" s="229">
        <v>1008.1446897594403</v>
      </c>
      <c r="P14" s="230">
        <v>1115.6991315146531</v>
      </c>
      <c r="Q14" s="231">
        <v>871.62718287170389</v>
      </c>
      <c r="R14" s="64"/>
      <c r="S14" s="12"/>
      <c r="T14" s="11"/>
      <c r="U14" s="13"/>
      <c r="V14" s="107"/>
      <c r="W14" s="107"/>
      <c r="X14" s="107"/>
    </row>
    <row r="15" spans="2:24" x14ac:dyDescent="0.3">
      <c r="B15" s="38" t="s">
        <v>12</v>
      </c>
      <c r="C15" s="117">
        <v>531.4012848463633</v>
      </c>
      <c r="D15" s="118">
        <v>1005.6938431728186</v>
      </c>
      <c r="E15" s="119">
        <v>776.19788615200048</v>
      </c>
      <c r="G15" s="117">
        <f t="shared" ref="G15:I15" si="24">G38*G$23</f>
        <v>532.80798989392724</v>
      </c>
      <c r="H15" s="118">
        <f t="shared" si="24"/>
        <v>1100.7794650536687</v>
      </c>
      <c r="I15" s="119">
        <f t="shared" si="24"/>
        <v>852.38796152295777</v>
      </c>
      <c r="K15" s="117">
        <f t="shared" ref="K15:M15" si="25">K38*K$23</f>
        <v>532.81343143726065</v>
      </c>
      <c r="L15" s="118">
        <f t="shared" si="25"/>
        <v>1154.0177967973323</v>
      </c>
      <c r="M15" s="119">
        <f t="shared" si="25"/>
        <v>891.98067939647376</v>
      </c>
      <c r="O15" s="232">
        <v>531.4176094763634</v>
      </c>
      <c r="P15" s="233">
        <v>1165.4088384038103</v>
      </c>
      <c r="Q15" s="234">
        <v>894.9760397725488</v>
      </c>
      <c r="R15" s="30"/>
      <c r="S15" s="6"/>
      <c r="T15" s="5"/>
      <c r="U15" s="7"/>
      <c r="V15" s="107"/>
      <c r="W15" s="107"/>
      <c r="X15" s="107"/>
    </row>
    <row r="16" spans="2:24" x14ac:dyDescent="0.3">
      <c r="B16" s="38" t="s">
        <v>13</v>
      </c>
      <c r="C16" s="117">
        <v>-97.440845602493525</v>
      </c>
      <c r="D16" s="118">
        <v>-169.04768495217493</v>
      </c>
      <c r="E16" s="119">
        <v>-166.23341813053258</v>
      </c>
      <c r="G16" s="117">
        <f t="shared" ref="G16:I16" si="26">G39*G$23</f>
        <v>-95.56434888613181</v>
      </c>
      <c r="H16" s="118">
        <f t="shared" si="26"/>
        <v>-167.77215516880213</v>
      </c>
      <c r="I16" s="119">
        <f t="shared" si="26"/>
        <v>-168.52735330216981</v>
      </c>
      <c r="K16" s="117">
        <f t="shared" ref="K16:M16" si="27">K39*K$23</f>
        <v>-93.582906385960314</v>
      </c>
      <c r="L16" s="118">
        <f t="shared" si="27"/>
        <v>-163.19858609412515</v>
      </c>
      <c r="M16" s="119">
        <f t="shared" si="27"/>
        <v>-166.2492866580516</v>
      </c>
      <c r="O16" s="232">
        <v>-91.496518101979007</v>
      </c>
      <c r="P16" s="233">
        <v>-155.32697772814399</v>
      </c>
      <c r="Q16" s="234">
        <v>-159.399218198178</v>
      </c>
      <c r="R16" s="30"/>
      <c r="S16" s="6"/>
      <c r="T16" s="5"/>
      <c r="U16" s="7"/>
      <c r="V16" s="107"/>
      <c r="W16" s="107"/>
      <c r="X16" s="107"/>
    </row>
    <row r="17" spans="2:24" x14ac:dyDescent="0.3">
      <c r="B17" s="38" t="s">
        <v>14</v>
      </c>
      <c r="C17" s="117">
        <v>192.31736782704144</v>
      </c>
      <c r="D17" s="118">
        <v>74.168554971993046</v>
      </c>
      <c r="E17" s="119">
        <v>431.20278704014635</v>
      </c>
      <c r="G17" s="117">
        <f t="shared" ref="G17:I17" si="28">G40*G$23</f>
        <v>327.73360691271284</v>
      </c>
      <c r="H17" s="118">
        <f t="shared" si="28"/>
        <v>89.549170372181862</v>
      </c>
      <c r="I17" s="119">
        <f t="shared" si="28"/>
        <v>316.60387319379947</v>
      </c>
      <c r="K17" s="117">
        <f t="shared" ref="K17:M17" si="29">K40*K$23</f>
        <v>453.03568376538442</v>
      </c>
      <c r="L17" s="118">
        <f t="shared" si="29"/>
        <v>100.03207566117993</v>
      </c>
      <c r="M17" s="119">
        <f t="shared" si="29"/>
        <v>218.21973127952828</v>
      </c>
      <c r="O17" s="232">
        <v>568.22359838505599</v>
      </c>
      <c r="P17" s="233">
        <v>105.6172708389873</v>
      </c>
      <c r="Q17" s="234">
        <v>136.05036129733287</v>
      </c>
      <c r="R17" s="30"/>
      <c r="S17" s="6"/>
      <c r="T17" s="5"/>
      <c r="U17" s="7"/>
      <c r="V17" s="107"/>
      <c r="W17" s="107"/>
      <c r="X17" s="107"/>
    </row>
    <row r="18" spans="2:24" x14ac:dyDescent="0.3">
      <c r="B18" s="41" t="s">
        <v>15</v>
      </c>
      <c r="C18" s="117"/>
      <c r="D18" s="118"/>
      <c r="E18" s="119"/>
      <c r="G18" s="117"/>
      <c r="H18" s="118"/>
      <c r="I18" s="119"/>
      <c r="K18" s="117"/>
      <c r="L18" s="118"/>
      <c r="M18" s="119"/>
      <c r="O18" s="117"/>
      <c r="P18" s="118"/>
      <c r="Q18" s="119"/>
      <c r="R18" s="30"/>
      <c r="S18" s="6"/>
      <c r="T18" s="5"/>
      <c r="U18" s="7"/>
      <c r="V18" s="109"/>
      <c r="W18" s="109"/>
      <c r="X18" s="109"/>
    </row>
    <row r="19" spans="2:24" x14ac:dyDescent="0.3">
      <c r="B19" s="42" t="s">
        <v>16</v>
      </c>
      <c r="C19" s="126">
        <v>707.00711207792642</v>
      </c>
      <c r="D19" s="127">
        <v>1916.0798643082876</v>
      </c>
      <c r="E19" s="128">
        <v>3476.2577912047218</v>
      </c>
      <c r="G19" s="126">
        <f>G13-G14</f>
        <v>580.08293172135484</v>
      </c>
      <c r="H19" s="127">
        <f t="shared" ref="H19:I19" si="30">H13-H14</f>
        <v>1334.7956396028812</v>
      </c>
      <c r="I19" s="128">
        <f t="shared" si="30"/>
        <v>2671.6813655042679</v>
      </c>
      <c r="K19" s="126">
        <f t="shared" ref="K19:M19" si="31">K13-K14</f>
        <v>460.46625905313442</v>
      </c>
      <c r="L19" s="127">
        <f t="shared" si="31"/>
        <v>838.83528386403009</v>
      </c>
      <c r="M19" s="128">
        <f t="shared" si="31"/>
        <v>1970.0427586540695</v>
      </c>
      <c r="O19" s="126">
        <f>O13-O14</f>
        <v>348.15709407326517</v>
      </c>
      <c r="P19" s="127">
        <f>P13-P14</f>
        <v>428.19879709173642</v>
      </c>
      <c r="Q19" s="128">
        <f>Q13-Q14</f>
        <v>1371.3419706541322</v>
      </c>
      <c r="R19" s="64"/>
      <c r="S19" s="15"/>
      <c r="T19" s="14"/>
      <c r="U19" s="16"/>
      <c r="V19" s="113"/>
      <c r="W19" s="113"/>
      <c r="X19" s="113"/>
    </row>
    <row r="20" spans="2:24" x14ac:dyDescent="0.3">
      <c r="B20" s="42" t="s">
        <v>17</v>
      </c>
      <c r="C20" s="126">
        <v>516.11519181688641</v>
      </c>
      <c r="D20" s="127">
        <v>1398.7383009450486</v>
      </c>
      <c r="E20" s="128">
        <v>2537.668187579447</v>
      </c>
      <c r="G20" s="126">
        <f>G19*0.73</f>
        <v>423.46054015658905</v>
      </c>
      <c r="H20" s="127">
        <f>H19*0.73</f>
        <v>974.40081691010323</v>
      </c>
      <c r="I20" s="128">
        <f>I19*0.73</f>
        <v>1950.3273968181154</v>
      </c>
      <c r="K20" s="126">
        <f>K19*0.73</f>
        <v>336.14036910878809</v>
      </c>
      <c r="L20" s="127">
        <f>L19*0.73</f>
        <v>612.34975722074194</v>
      </c>
      <c r="M20" s="128">
        <f>M19*0.73</f>
        <v>1438.1312138174708</v>
      </c>
      <c r="O20" s="126">
        <v>254.65467867348363</v>
      </c>
      <c r="P20" s="127">
        <v>312.58512187696687</v>
      </c>
      <c r="Q20" s="128">
        <v>1001.0796385775163</v>
      </c>
      <c r="R20" s="64"/>
      <c r="S20" s="15"/>
      <c r="T20" s="14"/>
      <c r="U20" s="16"/>
      <c r="V20" s="106"/>
      <c r="W20" s="106"/>
      <c r="X20" s="106"/>
    </row>
    <row r="21" spans="2:24" x14ac:dyDescent="0.3">
      <c r="B21" s="38"/>
      <c r="C21" s="129"/>
      <c r="D21" s="130"/>
      <c r="E21" s="131"/>
      <c r="G21" s="132"/>
      <c r="H21" s="133"/>
      <c r="I21" s="134"/>
      <c r="K21" s="132"/>
      <c r="L21" s="133"/>
      <c r="M21" s="134"/>
      <c r="O21" s="132"/>
      <c r="P21" s="133"/>
      <c r="Q21" s="134"/>
      <c r="R21" s="65"/>
      <c r="S21" s="17"/>
      <c r="T21" s="18"/>
      <c r="U21" s="54"/>
      <c r="V21" s="106"/>
      <c r="W21" s="106"/>
      <c r="X21" s="106"/>
    </row>
    <row r="22" spans="2:24" s="56" customFormat="1" x14ac:dyDescent="0.3">
      <c r="B22" s="55" t="s">
        <v>18</v>
      </c>
      <c r="C22" s="135">
        <v>96732.013158668313</v>
      </c>
      <c r="D22" s="136">
        <v>137559.6870793764</v>
      </c>
      <c r="E22" s="137">
        <v>179890.14024455467</v>
      </c>
      <c r="F22" s="138"/>
      <c r="G22" s="135">
        <f t="shared" ref="G22:I23" si="32">C22*(1-S22/3)</f>
        <v>88221.429938329791</v>
      </c>
      <c r="H22" s="136">
        <f t="shared" si="32"/>
        <v>120308.03110928086</v>
      </c>
      <c r="I22" s="137">
        <f t="shared" si="32"/>
        <v>163898.26925481818</v>
      </c>
      <c r="J22" s="138"/>
      <c r="K22" s="135">
        <f t="shared" ref="K22:M23" si="33">C22*(1-S22*2/3)</f>
        <v>79710.84671799127</v>
      </c>
      <c r="L22" s="136">
        <f t="shared" si="33"/>
        <v>103056.37513918531</v>
      </c>
      <c r="M22" s="137">
        <f t="shared" si="33"/>
        <v>147906.39826508169</v>
      </c>
      <c r="N22" s="138"/>
      <c r="O22" s="135">
        <v>71200.263497652762</v>
      </c>
      <c r="P22" s="136">
        <v>85804.719169089774</v>
      </c>
      <c r="Q22" s="137">
        <v>131914.5272753452</v>
      </c>
      <c r="R22" s="66"/>
      <c r="S22" s="57">
        <f t="shared" ref="S22:U23" si="34">1-(O22/C22)</f>
        <v>0.263943123143071</v>
      </c>
      <c r="T22" s="58">
        <f t="shared" si="34"/>
        <v>0.37623644694991443</v>
      </c>
      <c r="U22" s="59">
        <f t="shared" si="34"/>
        <v>0.26669395501047588</v>
      </c>
    </row>
    <row r="23" spans="2:24" s="56" customFormat="1" x14ac:dyDescent="0.3">
      <c r="B23" s="55" t="s">
        <v>19</v>
      </c>
      <c r="C23" s="135">
        <v>76203.309844763338</v>
      </c>
      <c r="D23" s="136">
        <v>111052.25218351741</v>
      </c>
      <c r="E23" s="137">
        <v>151507.74836429729</v>
      </c>
      <c r="F23" s="138"/>
      <c r="G23" s="135">
        <f t="shared" si="32"/>
        <v>73583.295159803543</v>
      </c>
      <c r="H23" s="136">
        <f t="shared" si="32"/>
        <v>100206.0363686221</v>
      </c>
      <c r="I23" s="137">
        <f t="shared" si="32"/>
        <v>135705.70248910959</v>
      </c>
      <c r="J23" s="138"/>
      <c r="K23" s="135">
        <f t="shared" si="33"/>
        <v>70963.280474843748</v>
      </c>
      <c r="L23" s="136">
        <f t="shared" si="33"/>
        <v>89359.820553726764</v>
      </c>
      <c r="M23" s="137">
        <f t="shared" si="33"/>
        <v>119903.65661392186</v>
      </c>
      <c r="N23" s="138"/>
      <c r="O23" s="135">
        <v>68343.265789883953</v>
      </c>
      <c r="P23" s="136">
        <v>78513.604738831447</v>
      </c>
      <c r="Q23" s="137">
        <v>104101.61073873416</v>
      </c>
      <c r="R23" s="66"/>
      <c r="S23" s="57">
        <f t="shared" si="34"/>
        <v>0.10314570418124069</v>
      </c>
      <c r="T23" s="58">
        <f t="shared" si="34"/>
        <v>0.29300303960440899</v>
      </c>
      <c r="U23" s="59">
        <f t="shared" si="34"/>
        <v>0.31289579666629352</v>
      </c>
    </row>
    <row r="24" spans="2:24" s="56" customFormat="1" hidden="1" x14ac:dyDescent="0.3">
      <c r="B24" s="55" t="s">
        <v>20</v>
      </c>
      <c r="C24" s="139">
        <f>(C22/209412)-1</f>
        <v>-0.538077984267051</v>
      </c>
      <c r="D24" s="140">
        <f>(D22/C22)-1</f>
        <v>0.42206992894626261</v>
      </c>
      <c r="E24" s="141">
        <f>(E22/D22)-1</f>
        <v>0.30772426183807933</v>
      </c>
      <c r="F24" s="138"/>
      <c r="G24" s="139">
        <f>(G22/209412)-1</f>
        <v>-0.57871836409408339</v>
      </c>
      <c r="H24" s="140">
        <f>(H22/G22)-1</f>
        <v>0.36370529465891499</v>
      </c>
      <c r="I24" s="141">
        <f>(I22/H22)-1</f>
        <v>0.36232193099347176</v>
      </c>
      <c r="J24" s="138"/>
      <c r="K24" s="139">
        <f>(K22/209412)-1</f>
        <v>-0.6193587439211159</v>
      </c>
      <c r="L24" s="140">
        <f>(L22/K22)-1</f>
        <v>0.29287768707046991</v>
      </c>
      <c r="M24" s="141">
        <f>(M22/L22)-1</f>
        <v>0.43519891967210245</v>
      </c>
      <c r="N24" s="138"/>
      <c r="O24" s="139">
        <f>(O22/209412)-1</f>
        <v>-0.6599991237481484</v>
      </c>
      <c r="P24" s="140">
        <f>(P22/O22)-1</f>
        <v>0.20511800032760363</v>
      </c>
      <c r="Q24" s="141">
        <f>(Q22/P22)-1</f>
        <v>0.53738079388605464</v>
      </c>
      <c r="R24" s="67"/>
      <c r="S24" s="60"/>
      <c r="T24" s="61"/>
      <c r="U24" s="62"/>
    </row>
    <row r="25" spans="2:24" x14ac:dyDescent="0.3">
      <c r="B25" s="38"/>
      <c r="C25" s="142"/>
      <c r="D25" s="143"/>
      <c r="E25" s="144"/>
      <c r="G25" s="142"/>
      <c r="H25" s="143"/>
      <c r="I25" s="144"/>
      <c r="K25" s="142"/>
      <c r="L25" s="143"/>
      <c r="M25" s="144"/>
      <c r="O25" s="142"/>
      <c r="P25" s="143"/>
      <c r="Q25" s="144"/>
      <c r="R25" s="53"/>
      <c r="S25" s="20"/>
      <c r="T25" s="19"/>
      <c r="U25" s="21"/>
      <c r="W25" s="111"/>
      <c r="X25" s="107"/>
    </row>
    <row r="26" spans="2:24" x14ac:dyDescent="0.3">
      <c r="B26" s="43" t="s">
        <v>21</v>
      </c>
      <c r="C26" s="145"/>
      <c r="D26" s="146"/>
      <c r="E26" s="144"/>
      <c r="G26" s="147"/>
      <c r="H26" s="148"/>
      <c r="I26" s="149"/>
      <c r="K26" s="147"/>
      <c r="L26" s="148"/>
      <c r="M26" s="149"/>
      <c r="O26" s="147"/>
      <c r="P26" s="148"/>
      <c r="Q26" s="149"/>
      <c r="R26" s="53"/>
      <c r="S26" s="50"/>
      <c r="T26" s="51"/>
      <c r="U26" s="52"/>
      <c r="X26" s="112"/>
    </row>
    <row r="27" spans="2:24" x14ac:dyDescent="0.3">
      <c r="B27" s="39" t="s">
        <v>1</v>
      </c>
      <c r="C27" s="150">
        <f t="shared" ref="C27:E36" si="35">C4/C$23</f>
        <v>5.4685517791724411E-2</v>
      </c>
      <c r="D27" s="151">
        <f t="shared" si="35"/>
        <v>5.4176583217406565E-2</v>
      </c>
      <c r="E27" s="152">
        <f t="shared" si="35"/>
        <v>5.5532875836400729E-2</v>
      </c>
      <c r="G27" s="153">
        <f t="shared" ref="G27:I33" si="36">C27*(1-S27/3)</f>
        <v>5.4732849101871407E-2</v>
      </c>
      <c r="H27" s="154">
        <f t="shared" si="36"/>
        <v>5.4417493650285878E-2</v>
      </c>
      <c r="I27" s="155">
        <f t="shared" si="36"/>
        <v>5.5127426263141113E-2</v>
      </c>
      <c r="K27" s="153">
        <f t="shared" ref="K27:M33" si="37">C27*(1-S27*2/3)</f>
        <v>5.4780180412018417E-2</v>
      </c>
      <c r="L27" s="154">
        <f t="shared" si="37"/>
        <v>5.4658404083165198E-2</v>
      </c>
      <c r="M27" s="155">
        <f t="shared" si="37"/>
        <v>5.4721976689881491E-2</v>
      </c>
      <c r="O27" s="153">
        <f t="shared" ref="O27:Q27" si="38">O4/O$23</f>
        <v>5.4827511722165413E-2</v>
      </c>
      <c r="P27" s="154">
        <f t="shared" si="38"/>
        <v>5.489931451604451E-2</v>
      </c>
      <c r="Q27" s="155">
        <f t="shared" si="38"/>
        <v>5.4316527116621882E-2</v>
      </c>
      <c r="R27" s="22"/>
      <c r="S27" s="23">
        <f t="shared" ref="S27:S35" si="39">1-(O27/C27)</f>
        <v>-2.5965545573107818E-3</v>
      </c>
      <c r="T27" s="22">
        <f t="shared" ref="T27:T35" si="40">1-(P27/D27)</f>
        <v>-1.3340289396577054E-2</v>
      </c>
      <c r="U27" s="24">
        <f t="shared" ref="U27:U35" si="41">1-(Q27/E27)</f>
        <v>2.1903218615261344E-2</v>
      </c>
      <c r="X27" s="102"/>
    </row>
    <row r="28" spans="2:24" x14ac:dyDescent="0.3">
      <c r="B28" s="39" t="s">
        <v>2</v>
      </c>
      <c r="C28" s="150">
        <f t="shared" si="35"/>
        <v>3.013919449261898E-3</v>
      </c>
      <c r="D28" s="151">
        <f t="shared" si="35"/>
        <v>3.0580954718203027E-3</v>
      </c>
      <c r="E28" s="152">
        <f t="shared" si="35"/>
        <v>2.9701067869098399E-3</v>
      </c>
      <c r="G28" s="153">
        <f t="shared" si="36"/>
        <v>2.9964527742943202E-3</v>
      </c>
      <c r="H28" s="154">
        <f t="shared" si="36"/>
        <v>3.0292624513119639E-3</v>
      </c>
      <c r="I28" s="155">
        <f t="shared" si="36"/>
        <v>2.9660545766643951E-3</v>
      </c>
      <c r="K28" s="153">
        <f t="shared" si="37"/>
        <v>2.9789860993267425E-3</v>
      </c>
      <c r="L28" s="154">
        <f t="shared" si="37"/>
        <v>3.0004294308036247E-3</v>
      </c>
      <c r="M28" s="155">
        <f t="shared" si="37"/>
        <v>2.9620023664189495E-3</v>
      </c>
      <c r="O28" s="153">
        <f t="shared" ref="O28:Q28" si="42">O5/O$23</f>
        <v>2.9615194243591647E-3</v>
      </c>
      <c r="P28" s="154">
        <f t="shared" si="42"/>
        <v>2.971596410295286E-3</v>
      </c>
      <c r="Q28" s="155">
        <f t="shared" si="42"/>
        <v>2.9579501561735047E-3</v>
      </c>
      <c r="R28" s="22"/>
      <c r="S28" s="23">
        <f t="shared" si="39"/>
        <v>1.7386007086409028E-2</v>
      </c>
      <c r="T28" s="22">
        <f t="shared" si="40"/>
        <v>2.8285271771953169E-2</v>
      </c>
      <c r="U28" s="24">
        <f t="shared" si="41"/>
        <v>4.0929944976770827E-3</v>
      </c>
    </row>
    <row r="29" spans="2:24" x14ac:dyDescent="0.3">
      <c r="B29" s="39" t="s">
        <v>3</v>
      </c>
      <c r="C29" s="150">
        <f t="shared" si="35"/>
        <v>-2.3452419316685783E-3</v>
      </c>
      <c r="D29" s="151">
        <f t="shared" si="35"/>
        <v>-2.2794647452104508E-3</v>
      </c>
      <c r="E29" s="152">
        <f t="shared" si="35"/>
        <v>-2.1304558320589286E-3</v>
      </c>
      <c r="G29" s="153">
        <f t="shared" si="36"/>
        <v>-2.3485713552989654E-3</v>
      </c>
      <c r="H29" s="154">
        <f t="shared" si="36"/>
        <v>-2.2953552731516695E-3</v>
      </c>
      <c r="I29" s="155">
        <f t="shared" si="36"/>
        <v>-2.1353852915741039E-3</v>
      </c>
      <c r="K29" s="153">
        <f t="shared" si="37"/>
        <v>-2.3519007789293534E-3</v>
      </c>
      <c r="L29" s="154">
        <f t="shared" si="37"/>
        <v>-2.3112458010928882E-3</v>
      </c>
      <c r="M29" s="155">
        <f t="shared" si="37"/>
        <v>-2.1403147510892788E-3</v>
      </c>
      <c r="O29" s="153">
        <f t="shared" ref="O29:Q29" si="43">O6/O$23</f>
        <v>-2.3552302025597405E-3</v>
      </c>
      <c r="P29" s="154">
        <f t="shared" si="43"/>
        <v>-2.3271363290341069E-3</v>
      </c>
      <c r="Q29" s="155">
        <f t="shared" si="43"/>
        <v>-2.1452442106044542E-3</v>
      </c>
      <c r="R29" s="22"/>
      <c r="S29" s="23">
        <f t="shared" si="39"/>
        <v>-4.2589511795296797E-3</v>
      </c>
      <c r="T29" s="22">
        <f t="shared" si="40"/>
        <v>-2.0913499067630736E-2</v>
      </c>
      <c r="U29" s="24">
        <f t="shared" si="41"/>
        <v>-6.941415223442382E-3</v>
      </c>
    </row>
    <row r="30" spans="2:24" x14ac:dyDescent="0.3">
      <c r="B30" s="39" t="s">
        <v>4</v>
      </c>
      <c r="C30" s="150">
        <f t="shared" si="35"/>
        <v>6.6867751759331967E-4</v>
      </c>
      <c r="D30" s="151">
        <f t="shared" si="35"/>
        <v>7.7863072660985203E-4</v>
      </c>
      <c r="E30" s="152">
        <f t="shared" si="35"/>
        <v>8.3965095485091107E-4</v>
      </c>
      <c r="G30" s="153">
        <f t="shared" si="36"/>
        <v>6.4788141899535436E-4</v>
      </c>
      <c r="H30" s="154">
        <f t="shared" si="36"/>
        <v>7.3390717816029436E-4</v>
      </c>
      <c r="I30" s="155">
        <f t="shared" si="36"/>
        <v>8.3066928509029081E-4</v>
      </c>
      <c r="K30" s="153">
        <f t="shared" si="37"/>
        <v>6.2708532039738917E-4</v>
      </c>
      <c r="L30" s="154">
        <f t="shared" si="37"/>
        <v>6.8918362971073658E-4</v>
      </c>
      <c r="M30" s="155">
        <f t="shared" si="37"/>
        <v>8.2168761532967055E-4</v>
      </c>
      <c r="O30" s="153">
        <f t="shared" ref="O30:Q30" si="44">O7/O$23</f>
        <v>6.0628922179942397E-4</v>
      </c>
      <c r="P30" s="154">
        <f t="shared" si="44"/>
        <v>6.444600812611789E-4</v>
      </c>
      <c r="Q30" s="155">
        <f t="shared" si="44"/>
        <v>8.127059455690503E-4</v>
      </c>
      <c r="R30" s="22"/>
      <c r="S30" s="23">
        <f t="shared" si="39"/>
        <v>9.33010220209608E-2</v>
      </c>
      <c r="T30" s="22">
        <f t="shared" si="40"/>
        <v>0.17231614520640659</v>
      </c>
      <c r="U30" s="24">
        <f t="shared" si="41"/>
        <v>3.2090726659919189E-2</v>
      </c>
    </row>
    <row r="31" spans="2:24" x14ac:dyDescent="0.3">
      <c r="B31" s="39" t="s">
        <v>5</v>
      </c>
      <c r="C31" s="150">
        <f t="shared" si="35"/>
        <v>4.6379851750245199E-3</v>
      </c>
      <c r="D31" s="151">
        <f t="shared" si="35"/>
        <v>5.0094658667400264E-3</v>
      </c>
      <c r="E31" s="152">
        <f t="shared" si="35"/>
        <v>4.8289506810474869E-3</v>
      </c>
      <c r="G31" s="150">
        <f t="shared" si="36"/>
        <v>4.1547258626108002E-3</v>
      </c>
      <c r="H31" s="151">
        <f t="shared" si="36"/>
        <v>4.5636079791845563E-3</v>
      </c>
      <c r="I31" s="152">
        <f t="shared" si="36"/>
        <v>5.1729979116742868E-3</v>
      </c>
      <c r="K31" s="150">
        <f t="shared" si="37"/>
        <v>3.6714665501970806E-3</v>
      </c>
      <c r="L31" s="151">
        <f t="shared" si="37"/>
        <v>4.1177500916290853E-3</v>
      </c>
      <c r="M31" s="152">
        <f t="shared" si="37"/>
        <v>5.5170451423010858E-3</v>
      </c>
      <c r="O31" s="150">
        <f t="shared" ref="O31:Q31" si="45">O8/O$23</f>
        <v>3.1882072377833609E-3</v>
      </c>
      <c r="P31" s="151">
        <f t="shared" si="45"/>
        <v>3.6718922040736156E-3</v>
      </c>
      <c r="Q31" s="152">
        <f t="shared" si="45"/>
        <v>5.8610923729278865E-3</v>
      </c>
      <c r="R31" s="22"/>
      <c r="S31" s="23">
        <f t="shared" si="39"/>
        <v>0.31258787653056574</v>
      </c>
      <c r="T31" s="22">
        <f t="shared" si="40"/>
        <v>0.26700923776068242</v>
      </c>
      <c r="U31" s="24">
        <f t="shared" si="41"/>
        <v>-0.21374036722539258</v>
      </c>
    </row>
    <row r="32" spans="2:24" x14ac:dyDescent="0.3">
      <c r="B32" s="39" t="s">
        <v>6</v>
      </c>
      <c r="C32" s="150">
        <f t="shared" si="35"/>
        <v>1.0262784880097169E-3</v>
      </c>
      <c r="D32" s="151">
        <f t="shared" si="35"/>
        <v>3.0746646713029221E-3</v>
      </c>
      <c r="E32" s="152">
        <f t="shared" si="35"/>
        <v>2.3385876605776577E-3</v>
      </c>
      <c r="G32" s="150">
        <f t="shared" si="36"/>
        <v>7.9173194079676964E-4</v>
      </c>
      <c r="H32" s="151">
        <f t="shared" si="36"/>
        <v>2.4682445638124929E-3</v>
      </c>
      <c r="I32" s="152">
        <f t="shared" si="36"/>
        <v>1.95852830587688E-3</v>
      </c>
      <c r="K32" s="150">
        <f t="shared" si="37"/>
        <v>5.571853935838223E-4</v>
      </c>
      <c r="L32" s="151">
        <f t="shared" si="37"/>
        <v>1.8618244563220639E-3</v>
      </c>
      <c r="M32" s="152">
        <f t="shared" si="37"/>
        <v>1.5784689511761023E-3</v>
      </c>
      <c r="O32" s="150">
        <f t="shared" ref="O32:Q32" si="46">O9/O$23</f>
        <v>3.226388463708749E-4</v>
      </c>
      <c r="P32" s="151">
        <f t="shared" si="46"/>
        <v>1.2554043488316349E-3</v>
      </c>
      <c r="Q32" s="152">
        <f t="shared" si="46"/>
        <v>1.198409596475325E-3</v>
      </c>
      <c r="R32" s="22"/>
      <c r="S32" s="23">
        <f t="shared" si="39"/>
        <v>0.68562251850706224</v>
      </c>
      <c r="T32" s="22">
        <f t="shared" si="40"/>
        <v>0.59169389737071909</v>
      </c>
      <c r="U32" s="24">
        <f t="shared" si="41"/>
        <v>0.48754985041727961</v>
      </c>
    </row>
    <row r="33" spans="2:21" x14ac:dyDescent="0.3">
      <c r="B33" s="39" t="s">
        <v>7</v>
      </c>
      <c r="C33" s="150">
        <f t="shared" si="35"/>
        <v>2.8392970830582592E-3</v>
      </c>
      <c r="D33" s="151">
        <f t="shared" si="35"/>
        <v>3.4218126380006933E-3</v>
      </c>
      <c r="E33" s="152">
        <f t="shared" si="35"/>
        <v>2.6731306112885113E-3</v>
      </c>
      <c r="G33" s="150">
        <f t="shared" si="36"/>
        <v>3.3577172473277647E-3</v>
      </c>
      <c r="H33" s="151">
        <f t="shared" si="36"/>
        <v>3.7671504739093006E-3</v>
      </c>
      <c r="I33" s="152">
        <f t="shared" si="36"/>
        <v>3.0628869810061039E-3</v>
      </c>
      <c r="K33" s="150">
        <f t="shared" si="37"/>
        <v>3.8761374115972701E-3</v>
      </c>
      <c r="L33" s="151">
        <f t="shared" si="37"/>
        <v>4.1124883098179075E-3</v>
      </c>
      <c r="M33" s="152">
        <f t="shared" si="37"/>
        <v>3.4526433507236962E-3</v>
      </c>
      <c r="O33" s="150">
        <f t="shared" ref="O33:Q33" si="47">O10/O$23</f>
        <v>4.3945575758667756E-3</v>
      </c>
      <c r="P33" s="151">
        <f t="shared" si="47"/>
        <v>4.4578261457265149E-3</v>
      </c>
      <c r="Q33" s="152">
        <f t="shared" si="47"/>
        <v>3.8423997204412889E-3</v>
      </c>
      <c r="R33" s="22"/>
      <c r="S33" s="23">
        <f t="shared" si="39"/>
        <v>-0.54776250857600162</v>
      </c>
      <c r="T33" s="22">
        <f t="shared" si="40"/>
        <v>-0.30276745611973266</v>
      </c>
      <c r="U33" s="24">
        <f t="shared" si="41"/>
        <v>-0.43741562953003732</v>
      </c>
    </row>
    <row r="34" spans="2:21" x14ac:dyDescent="0.3">
      <c r="B34" s="38" t="s">
        <v>8</v>
      </c>
      <c r="C34" s="156">
        <f t="shared" si="35"/>
        <v>6.385775605541022E-2</v>
      </c>
      <c r="D34" s="157">
        <f t="shared" si="35"/>
        <v>6.6461157120060052E-2</v>
      </c>
      <c r="E34" s="158">
        <f t="shared" si="35"/>
        <v>6.6213195744165287E-2</v>
      </c>
      <c r="G34" s="156">
        <f>G27+SUM(G30:G33)</f>
        <v>6.3684905571602099E-2</v>
      </c>
      <c r="H34" s="157">
        <f t="shared" ref="H34:I34" si="48">H27+SUM(H30:H33)</f>
        <v>6.5950403845352529E-2</v>
      </c>
      <c r="I34" s="158">
        <f t="shared" si="48"/>
        <v>6.6152508746788671E-2</v>
      </c>
      <c r="K34" s="156">
        <f t="shared" ref="K34:M34" si="49">K27+SUM(K30:K33)</f>
        <v>6.3512055087793978E-2</v>
      </c>
      <c r="L34" s="157">
        <f t="shared" si="49"/>
        <v>6.5439650570644992E-2</v>
      </c>
      <c r="M34" s="158">
        <f t="shared" si="49"/>
        <v>6.6091821749412041E-2</v>
      </c>
      <c r="O34" s="156">
        <f t="shared" ref="O34:Q34" si="50">O11/O$23</f>
        <v>6.3339204603985858E-2</v>
      </c>
      <c r="P34" s="157">
        <f t="shared" si="50"/>
        <v>6.4928897295937454E-2</v>
      </c>
      <c r="Q34" s="158">
        <f t="shared" si="50"/>
        <v>6.6031134752035425E-2</v>
      </c>
      <c r="R34" s="22"/>
      <c r="S34" s="23">
        <f t="shared" si="39"/>
        <v>8.1204145503391834E-3</v>
      </c>
      <c r="T34" s="22">
        <f t="shared" si="40"/>
        <v>2.3054967600919407E-2</v>
      </c>
      <c r="U34" s="24">
        <f t="shared" si="41"/>
        <v>2.7496179588326619E-3</v>
      </c>
    </row>
    <row r="35" spans="2:21" x14ac:dyDescent="0.3">
      <c r="B35" s="38" t="s">
        <v>22</v>
      </c>
      <c r="C35" s="156">
        <f t="shared" si="35"/>
        <v>4.6361338618097811E-2</v>
      </c>
      <c r="D35" s="157">
        <f t="shared" si="35"/>
        <v>4.1005621352722441E-2</v>
      </c>
      <c r="E35" s="158">
        <f t="shared" si="35"/>
        <v>3.639673358274316E-2</v>
      </c>
      <c r="F35" s="138"/>
      <c r="G35" s="159">
        <f>C35*(1-S35/3)</f>
        <v>4.5405482548744172E-2</v>
      </c>
      <c r="H35" s="160">
        <f>D35*(1-T35/3)</f>
        <v>4.2425352807627853E-2</v>
      </c>
      <c r="I35" s="161">
        <f>E35*(1-U35/3)</f>
        <v>3.909288059878549E-2</v>
      </c>
      <c r="J35" s="138"/>
      <c r="K35" s="159">
        <f>C35*(1-S35*2/3)</f>
        <v>4.4449626479390533E-2</v>
      </c>
      <c r="L35" s="160">
        <f>D35*(1-T35*2/3)</f>
        <v>4.3845084262533272E-2</v>
      </c>
      <c r="M35" s="161">
        <f>E35*(1-U35*2/3)</f>
        <v>4.1789027614827827E-2</v>
      </c>
      <c r="O35" s="159">
        <f t="shared" ref="O35:Q35" si="51">O12/O$23</f>
        <v>4.3493770410036894E-2</v>
      </c>
      <c r="P35" s="160">
        <f t="shared" si="51"/>
        <v>4.5264815717438678E-2</v>
      </c>
      <c r="Q35" s="161">
        <f t="shared" si="51"/>
        <v>4.4485174630870157E-2</v>
      </c>
      <c r="R35" s="68"/>
      <c r="S35" s="70">
        <f t="shared" si="39"/>
        <v>6.1852575735194981E-2</v>
      </c>
      <c r="T35" s="71">
        <f t="shared" si="40"/>
        <v>-0.10386854836510029</v>
      </c>
      <c r="U35" s="72">
        <f t="shared" si="41"/>
        <v>-0.2222298610873692</v>
      </c>
    </row>
    <row r="36" spans="2:21" x14ac:dyDescent="0.3">
      <c r="B36" s="38" t="s">
        <v>10</v>
      </c>
      <c r="C36" s="156">
        <f t="shared" si="35"/>
        <v>1.7496417437312409E-2</v>
      </c>
      <c r="D36" s="157">
        <f t="shared" si="35"/>
        <v>2.5455535767337615E-2</v>
      </c>
      <c r="E36" s="158">
        <f t="shared" si="35"/>
        <v>2.9816462161422131E-2</v>
      </c>
      <c r="G36" s="156">
        <f t="shared" ref="G36:I36" si="52">G34-G35</f>
        <v>1.8279423022857927E-2</v>
      </c>
      <c r="H36" s="157">
        <f t="shared" si="52"/>
        <v>2.3525051037724676E-2</v>
      </c>
      <c r="I36" s="158">
        <f t="shared" si="52"/>
        <v>2.7059628148003181E-2</v>
      </c>
      <c r="K36" s="156">
        <f t="shared" ref="K36:M36" si="53">K34-K35</f>
        <v>1.9062428608403445E-2</v>
      </c>
      <c r="L36" s="157">
        <f t="shared" si="53"/>
        <v>2.1594566308111719E-2</v>
      </c>
      <c r="M36" s="158">
        <f t="shared" si="53"/>
        <v>2.4302794134584214E-2</v>
      </c>
      <c r="O36" s="156">
        <f t="shared" ref="O36:Q36" si="54">O13/O$23</f>
        <v>1.9845434193948963E-2</v>
      </c>
      <c r="P36" s="157">
        <f t="shared" si="54"/>
        <v>1.9664081578498773E-2</v>
      </c>
      <c r="Q36" s="158">
        <f t="shared" si="54"/>
        <v>2.1545960121165268E-2</v>
      </c>
      <c r="R36" s="22"/>
      <c r="S36" s="26"/>
      <c r="T36" s="25"/>
      <c r="U36" s="27"/>
    </row>
    <row r="37" spans="2:21" x14ac:dyDescent="0.3">
      <c r="B37" s="38" t="s">
        <v>11</v>
      </c>
      <c r="C37" s="159">
        <f t="shared" ref="C37:E37" si="55">SUM(C38:C40)</f>
        <v>8.2185118775906923E-3</v>
      </c>
      <c r="D37" s="160">
        <f t="shared" si="55"/>
        <v>8.2016770959987915E-3</v>
      </c>
      <c r="E37" s="161">
        <f t="shared" si="55"/>
        <v>6.8720396567319361E-3</v>
      </c>
      <c r="F37" s="138"/>
      <c r="G37" s="159">
        <f>SUM(G38:G40)</f>
        <v>1.0396072182676505E-2</v>
      </c>
      <c r="H37" s="160">
        <f t="shared" ref="H37:I37" si="56">SUM(H38:H40)</f>
        <v>1.0204539739456708E-2</v>
      </c>
      <c r="I37" s="161">
        <f t="shared" si="56"/>
        <v>7.372309807650676E-3</v>
      </c>
      <c r="J37" s="138"/>
      <c r="K37" s="159">
        <f t="shared" ref="K37:M37" si="57">SUM(K38:K40)</f>
        <v>1.2573632487762318E-2</v>
      </c>
      <c r="L37" s="160">
        <f t="shared" si="57"/>
        <v>1.2207402382914623E-2</v>
      </c>
      <c r="M37" s="161">
        <f t="shared" si="57"/>
        <v>7.8725799585694159E-3</v>
      </c>
      <c r="N37" s="138"/>
      <c r="O37" s="159">
        <f t="shared" ref="O37:Q37" si="58">SUM(O38:O40)</f>
        <v>1.4751192792848131E-2</v>
      </c>
      <c r="P37" s="160">
        <f t="shared" si="58"/>
        <v>1.4210265026372536E-2</v>
      </c>
      <c r="Q37" s="161">
        <f t="shared" si="58"/>
        <v>8.3728501094881558E-3</v>
      </c>
      <c r="R37" s="68"/>
      <c r="S37" s="26"/>
      <c r="T37" s="25"/>
      <c r="U37" s="29"/>
    </row>
    <row r="38" spans="2:21" x14ac:dyDescent="0.3">
      <c r="B38" s="44" t="s">
        <v>12</v>
      </c>
      <c r="C38" s="162">
        <f t="shared" ref="C38:E40" si="59">C15/C$23</f>
        <v>6.9734672408442765E-3</v>
      </c>
      <c r="D38" s="163">
        <f t="shared" si="59"/>
        <v>9.0560418487585208E-3</v>
      </c>
      <c r="E38" s="164">
        <f t="shared" si="59"/>
        <v>5.1231563700996231E-3</v>
      </c>
      <c r="F38" s="138"/>
      <c r="G38" s="162">
        <f t="shared" ref="G38:I40" si="60">C38*(1-S38/3)</f>
        <v>7.2408824412770398E-3</v>
      </c>
      <c r="H38" s="163">
        <f t="shared" si="60"/>
        <v>1.0985161223264988E-2</v>
      </c>
      <c r="I38" s="164">
        <f t="shared" si="60"/>
        <v>6.2811506509194929E-3</v>
      </c>
      <c r="J38" s="138"/>
      <c r="K38" s="162">
        <f t="shared" ref="K38:M40" si="61">C38*(1-S38*2/3)</f>
        <v>7.5082976417098031E-3</v>
      </c>
      <c r="L38" s="163">
        <f t="shared" si="61"/>
        <v>1.2914280597771454E-2</v>
      </c>
      <c r="M38" s="164">
        <f t="shared" si="61"/>
        <v>7.4391449317393627E-3</v>
      </c>
      <c r="N38" s="138"/>
      <c r="O38" s="162">
        <f t="shared" ref="O38:Q38" si="62">O15/O$23</f>
        <v>7.7757128421425663E-3</v>
      </c>
      <c r="P38" s="163">
        <f t="shared" si="62"/>
        <v>1.484339997227792E-2</v>
      </c>
      <c r="Q38" s="164">
        <f t="shared" si="62"/>
        <v>8.5971392125592325E-3</v>
      </c>
      <c r="R38" s="22"/>
      <c r="S38" s="23">
        <f t="shared" ref="S38:U40" si="63">1-(O38/C38)</f>
        <v>-0.11504257116165384</v>
      </c>
      <c r="T38" s="25">
        <f t="shared" si="63"/>
        <v>-0.63906044386409055</v>
      </c>
      <c r="U38" s="27">
        <f t="shared" si="63"/>
        <v>-0.67809424337209045</v>
      </c>
    </row>
    <row r="39" spans="2:21" x14ac:dyDescent="0.3">
      <c r="B39" s="44" t="s">
        <v>13</v>
      </c>
      <c r="C39" s="162">
        <f t="shared" si="59"/>
        <v>-1.2786957128370668E-3</v>
      </c>
      <c r="D39" s="163">
        <f t="shared" si="59"/>
        <v>-1.5222355389318733E-3</v>
      </c>
      <c r="E39" s="164">
        <f t="shared" si="59"/>
        <v>-1.0971941694416032E-3</v>
      </c>
      <c r="F39" s="138"/>
      <c r="G39" s="165">
        <f t="shared" si="60"/>
        <v>-1.2987234219205758E-3</v>
      </c>
      <c r="H39" s="166">
        <f t="shared" si="60"/>
        <v>-1.6742719425766777E-3</v>
      </c>
      <c r="I39" s="167">
        <f t="shared" si="60"/>
        <v>-1.241859039163768E-3</v>
      </c>
      <c r="J39" s="168"/>
      <c r="K39" s="165">
        <f t="shared" si="61"/>
        <v>-1.3187511310040854E-3</v>
      </c>
      <c r="L39" s="166">
        <f t="shared" si="61"/>
        <v>-1.8263083462214823E-3</v>
      </c>
      <c r="M39" s="167">
        <f t="shared" si="61"/>
        <v>-1.3865239088859331E-3</v>
      </c>
      <c r="N39" s="138"/>
      <c r="O39" s="162">
        <f t="shared" ref="O39:Q39" si="64">O16/O$23</f>
        <v>-1.3387788400875944E-3</v>
      </c>
      <c r="P39" s="163">
        <f t="shared" si="64"/>
        <v>-1.9783447498662866E-3</v>
      </c>
      <c r="Q39" s="164">
        <f t="shared" si="64"/>
        <v>-1.5311887786080979E-3</v>
      </c>
      <c r="R39" s="22"/>
      <c r="S39" s="26">
        <f t="shared" si="63"/>
        <v>-4.6987822550229819E-2</v>
      </c>
      <c r="T39" s="25">
        <f t="shared" si="63"/>
        <v>-0.29963116697068926</v>
      </c>
      <c r="U39" s="27">
        <f t="shared" si="63"/>
        <v>-0.39554950368298814</v>
      </c>
    </row>
    <row r="40" spans="2:21" x14ac:dyDescent="0.3">
      <c r="B40" s="44" t="s">
        <v>14</v>
      </c>
      <c r="C40" s="162">
        <f t="shared" si="59"/>
        <v>2.5237403495834824E-3</v>
      </c>
      <c r="D40" s="163">
        <f t="shared" si="59"/>
        <v>6.6787078617214473E-4</v>
      </c>
      <c r="E40" s="164">
        <f t="shared" si="59"/>
        <v>2.8460774560739167E-3</v>
      </c>
      <c r="F40" s="138"/>
      <c r="G40" s="165">
        <f t="shared" si="60"/>
        <v>4.453913163320041E-3</v>
      </c>
      <c r="H40" s="166">
        <f t="shared" si="60"/>
        <v>8.9365045876839758E-4</v>
      </c>
      <c r="I40" s="167">
        <f t="shared" si="60"/>
        <v>2.3330181958949514E-3</v>
      </c>
      <c r="J40" s="168"/>
      <c r="K40" s="165">
        <f t="shared" si="61"/>
        <v>6.3840859770566E-3</v>
      </c>
      <c r="L40" s="166">
        <f t="shared" si="61"/>
        <v>1.1194301313646503E-3</v>
      </c>
      <c r="M40" s="167">
        <f t="shared" si="61"/>
        <v>1.819958935715986E-3</v>
      </c>
      <c r="N40" s="138"/>
      <c r="O40" s="162">
        <f t="shared" ref="O40:Q40" si="65">O17/O$23</f>
        <v>8.3142587907931581E-3</v>
      </c>
      <c r="P40" s="163">
        <f t="shared" si="65"/>
        <v>1.3452098039609033E-3</v>
      </c>
      <c r="Q40" s="164">
        <f t="shared" si="65"/>
        <v>1.3068996755370205E-3</v>
      </c>
      <c r="R40" s="22"/>
      <c r="S40" s="28">
        <f t="shared" si="63"/>
        <v>-2.2944192504452139</v>
      </c>
      <c r="T40" s="25">
        <f t="shared" si="63"/>
        <v>-1.0141767416881344</v>
      </c>
      <c r="U40" s="27">
        <f t="shared" si="63"/>
        <v>0.54080670828268618</v>
      </c>
    </row>
    <row r="41" spans="2:21" x14ac:dyDescent="0.3">
      <c r="B41" s="38" t="s">
        <v>23</v>
      </c>
      <c r="C41" s="169">
        <f>C36-C37</f>
        <v>9.2779055597217164E-3</v>
      </c>
      <c r="D41" s="170">
        <f t="shared" ref="D41:E41" si="66">D36-D37</f>
        <v>1.7253858671338822E-2</v>
      </c>
      <c r="E41" s="171">
        <f t="shared" si="66"/>
        <v>2.2944422504690195E-2</v>
      </c>
      <c r="G41" s="169">
        <f t="shared" ref="G41:I42" si="67">G19/G$23</f>
        <v>7.8833508401814217E-3</v>
      </c>
      <c r="H41" s="170">
        <f t="shared" si="67"/>
        <v>1.3320511298267964E-2</v>
      </c>
      <c r="I41" s="171">
        <f t="shared" si="67"/>
        <v>1.9687318340352505E-2</v>
      </c>
      <c r="J41" s="138"/>
      <c r="K41" s="169">
        <f t="shared" ref="K41:M42" si="68">K19/K$23</f>
        <v>6.488796120641128E-3</v>
      </c>
      <c r="L41" s="170">
        <f t="shared" si="68"/>
        <v>9.3871639251970982E-3</v>
      </c>
      <c r="M41" s="171">
        <f t="shared" si="68"/>
        <v>1.6430214176014798E-2</v>
      </c>
      <c r="O41" s="169">
        <f>O36-O37</f>
        <v>5.0942414011008325E-3</v>
      </c>
      <c r="P41" s="170">
        <f t="shared" ref="P41:Q41" si="69">P36-P37</f>
        <v>5.4538165521262373E-3</v>
      </c>
      <c r="Q41" s="171">
        <f t="shared" si="69"/>
        <v>1.3173110011677112E-2</v>
      </c>
      <c r="R41" s="22"/>
      <c r="S41" s="26"/>
      <c r="T41" s="25"/>
      <c r="U41" s="27"/>
    </row>
    <row r="42" spans="2:21" x14ac:dyDescent="0.3">
      <c r="B42" s="38" t="s">
        <v>24</v>
      </c>
      <c r="C42" s="169">
        <f>C20/C$23</f>
        <v>6.7728710585968546E-3</v>
      </c>
      <c r="D42" s="170">
        <f>D20/D$23</f>
        <v>1.2595316830077329E-2</v>
      </c>
      <c r="E42" s="171">
        <f>E20/E$23</f>
        <v>1.6749428428423842E-2</v>
      </c>
      <c r="G42" s="169">
        <f t="shared" si="67"/>
        <v>5.7548461133324381E-3</v>
      </c>
      <c r="H42" s="170">
        <f t="shared" si="67"/>
        <v>9.7239732477356136E-3</v>
      </c>
      <c r="I42" s="171">
        <f t="shared" si="67"/>
        <v>1.4371742388457327E-2</v>
      </c>
      <c r="J42" s="138"/>
      <c r="K42" s="169">
        <f t="shared" si="68"/>
        <v>4.7368211680680226E-3</v>
      </c>
      <c r="L42" s="170">
        <f t="shared" si="68"/>
        <v>6.8526296653938813E-3</v>
      </c>
      <c r="M42" s="171">
        <f t="shared" si="68"/>
        <v>1.1994056348490803E-2</v>
      </c>
      <c r="O42" s="169">
        <f>O20/O$23</f>
        <v>3.7261122325702081E-3</v>
      </c>
      <c r="P42" s="170">
        <f>P20/P$23</f>
        <v>3.981286083052149E-3</v>
      </c>
      <c r="Q42" s="171">
        <f>Q20/Q$23</f>
        <v>9.6163703085242885E-3</v>
      </c>
      <c r="R42" s="22"/>
      <c r="S42" s="26"/>
      <c r="T42" s="25"/>
      <c r="U42" s="27"/>
    </row>
    <row r="43" spans="2:21" x14ac:dyDescent="0.3">
      <c r="B43" s="38" t="s">
        <v>25</v>
      </c>
      <c r="C43" s="172">
        <f>C12/C11</f>
        <v>0.72600951680590631</v>
      </c>
      <c r="D43" s="173">
        <f>D12/D11</f>
        <v>0.61698626881634089</v>
      </c>
      <c r="E43" s="174">
        <f>E12/E11</f>
        <v>0.54969003041890552</v>
      </c>
      <c r="G43" s="162">
        <f>G12/G11</f>
        <v>0.71297087027465178</v>
      </c>
      <c r="H43" s="175">
        <f>H12/H11</f>
        <v>0.64329178191404723</v>
      </c>
      <c r="I43" s="164">
        <f>I12/I11</f>
        <v>0.59095083979990748</v>
      </c>
      <c r="J43" s="138"/>
      <c r="K43" s="162">
        <f>K12/K11</f>
        <v>0.69986125339428762</v>
      </c>
      <c r="L43" s="175">
        <f>L12/L11</f>
        <v>0.67000792150013955</v>
      </c>
      <c r="M43" s="164">
        <f>M12/M11</f>
        <v>0.63228742238746938</v>
      </c>
      <c r="O43" s="150">
        <f>O12/O11</f>
        <v>0.68668008513797918</v>
      </c>
      <c r="P43" s="154">
        <f>P12/P11</f>
        <v>0.69714437796667861</v>
      </c>
      <c r="Q43" s="152">
        <f>Q12/Q11</f>
        <v>0.6736999871034155</v>
      </c>
      <c r="R43" s="22"/>
      <c r="S43" s="26"/>
      <c r="T43" s="22"/>
      <c r="U43" s="27"/>
    </row>
    <row r="44" spans="2:21" x14ac:dyDescent="0.3">
      <c r="B44" s="38" t="s">
        <v>26</v>
      </c>
      <c r="C44" s="153">
        <f>(C11-C14)/C23</f>
        <v>5.5639244177819534E-2</v>
      </c>
      <c r="D44" s="154">
        <f>(D11-D14)/D23</f>
        <v>5.8259480024061262E-2</v>
      </c>
      <c r="E44" s="155">
        <f>(E11-E14)/E23</f>
        <v>5.9341156087433351E-2</v>
      </c>
      <c r="G44" s="162">
        <f>(G11-G14)/G23</f>
        <v>5.3288833388925594E-2</v>
      </c>
      <c r="H44" s="175">
        <f>(H11-H14)/H23</f>
        <v>5.5745864105895826E-2</v>
      </c>
      <c r="I44" s="164">
        <f>(I11-I14)/I23</f>
        <v>5.8780198939137995E-2</v>
      </c>
      <c r="J44" s="138"/>
      <c r="K44" s="162">
        <f>(K11-K14)/K23</f>
        <v>5.0938422600031653E-2</v>
      </c>
      <c r="L44" s="175">
        <f>(L11-L14)/L23</f>
        <v>5.3232248187730369E-2</v>
      </c>
      <c r="M44" s="164">
        <f>(M11-M14)/M23</f>
        <v>5.8219241790842625E-2</v>
      </c>
      <c r="O44" s="150">
        <f>(O11-O14)/O23</f>
        <v>4.858801181113772E-2</v>
      </c>
      <c r="P44" s="154">
        <f>(P11-P14)/P23</f>
        <v>5.0718632269564919E-2</v>
      </c>
      <c r="Q44" s="152">
        <f>(Q11-Q14)/Q23</f>
        <v>5.7658284642547269E-2</v>
      </c>
      <c r="R44" s="22"/>
      <c r="S44" s="26"/>
      <c r="T44" s="22"/>
      <c r="U44" s="27"/>
    </row>
    <row r="45" spans="2:21" x14ac:dyDescent="0.3">
      <c r="B45" s="45" t="s">
        <v>27</v>
      </c>
      <c r="C45" s="153">
        <f>C14/C11</f>
        <v>0.12870029241959866</v>
      </c>
      <c r="D45" s="154">
        <f>D14/D11</f>
        <v>0.12340557178658074</v>
      </c>
      <c r="E45" s="155">
        <f>E14/E11</f>
        <v>0.10378655764153327</v>
      </c>
      <c r="G45" s="162">
        <f>G14/G11</f>
        <v>0.16324232703757427</v>
      </c>
      <c r="H45" s="163">
        <f>H14/H11</f>
        <v>0.15473051178557437</v>
      </c>
      <c r="I45" s="164">
        <f>I14/I11</f>
        <v>0.11144414546498299</v>
      </c>
      <c r="J45" s="138"/>
      <c r="K45" s="162">
        <f>K14/K11</f>
        <v>0.19797237658868913</v>
      </c>
      <c r="L45" s="163">
        <f>L14/L11</f>
        <v>0.18654443103629031</v>
      </c>
      <c r="M45" s="164">
        <f>M14/M11</f>
        <v>0.1191157960272059</v>
      </c>
      <c r="O45" s="150">
        <f>O14/O11</f>
        <v>0.23289198033156003</v>
      </c>
      <c r="P45" s="151">
        <f>P14/P11</f>
        <v>0.21885886898100232</v>
      </c>
      <c r="Q45" s="152">
        <f>Q14/Q11</f>
        <v>0.12680154810197417</v>
      </c>
      <c r="R45" s="22"/>
      <c r="S45" s="26"/>
      <c r="T45" s="25"/>
      <c r="U45" s="27"/>
    </row>
    <row r="46" spans="2:21" x14ac:dyDescent="0.3">
      <c r="B46" s="46" t="s">
        <v>28</v>
      </c>
      <c r="C46" s="176">
        <v>2.7027796823997911E-2</v>
      </c>
      <c r="D46" s="175">
        <v>1.8645964423051938E-2</v>
      </c>
      <c r="E46" s="177">
        <v>1.5433410532282999E-2</v>
      </c>
      <c r="F46" s="138"/>
      <c r="G46" s="176">
        <f t="shared" ref="G46:I47" si="70">C46*(1-S46/3)</f>
        <v>3.3578574476336345E-2</v>
      </c>
      <c r="H46" s="175">
        <f t="shared" si="70"/>
        <v>2.7588934383371955E-2</v>
      </c>
      <c r="I46" s="177">
        <f t="shared" si="70"/>
        <v>1.8446079559584896E-2</v>
      </c>
      <c r="J46" s="138"/>
      <c r="K46" s="176">
        <f t="shared" ref="K46:M47" si="71">C46*(1-S46*2/3)</f>
        <v>4.0129352128674779E-2</v>
      </c>
      <c r="L46" s="175">
        <f t="shared" si="71"/>
        <v>3.6531904343691968E-2</v>
      </c>
      <c r="M46" s="177">
        <f t="shared" si="71"/>
        <v>2.1458748586886799E-2</v>
      </c>
      <c r="N46" s="138"/>
      <c r="O46" s="235">
        <v>4.668012978101322E-2</v>
      </c>
      <c r="P46" s="236">
        <v>4.5474874304011995E-2</v>
      </c>
      <c r="Q46" s="237">
        <v>2.4471417614188699E-2</v>
      </c>
      <c r="R46" s="68"/>
      <c r="S46" s="74">
        <f t="shared" ref="S46:U47" si="72">1-(O46/C46)</f>
        <v>-0.72711560934800468</v>
      </c>
      <c r="T46" s="73">
        <f t="shared" si="72"/>
        <v>-1.4388587939056436</v>
      </c>
      <c r="U46" s="75">
        <f t="shared" si="72"/>
        <v>-0.58561308033634907</v>
      </c>
    </row>
    <row r="47" spans="2:21" x14ac:dyDescent="0.3">
      <c r="B47" s="46" t="s">
        <v>29</v>
      </c>
      <c r="C47" s="176">
        <v>1.7790838305891572E-2</v>
      </c>
      <c r="D47" s="175">
        <v>1.3233197379660812E-2</v>
      </c>
      <c r="E47" s="177">
        <v>1.1011512781889249E-2</v>
      </c>
      <c r="F47" s="138"/>
      <c r="G47" s="176">
        <f t="shared" si="70"/>
        <v>2.0664598749915688E-2</v>
      </c>
      <c r="H47" s="175">
        <f t="shared" si="70"/>
        <v>1.8306979241694912E-2</v>
      </c>
      <c r="I47" s="177">
        <f t="shared" si="70"/>
        <v>1.2458077004839453E-2</v>
      </c>
      <c r="J47" s="138"/>
      <c r="K47" s="176">
        <f t="shared" si="71"/>
        <v>2.3538359193939803E-2</v>
      </c>
      <c r="L47" s="175">
        <f t="shared" si="71"/>
        <v>2.3380761103729015E-2</v>
      </c>
      <c r="M47" s="177">
        <f t="shared" si="71"/>
        <v>1.3904641227789654E-2</v>
      </c>
      <c r="N47" s="138"/>
      <c r="O47" s="235">
        <v>2.6412119637963916E-2</v>
      </c>
      <c r="P47" s="236">
        <v>2.8454542965763115E-2</v>
      </c>
      <c r="Q47" s="237">
        <v>1.5351205450739858E-2</v>
      </c>
      <c r="R47" s="22"/>
      <c r="S47" s="74">
        <f t="shared" si="72"/>
        <v>-0.48459106782041528</v>
      </c>
      <c r="T47" s="73">
        <f t="shared" si="72"/>
        <v>-1.1502394432276239</v>
      </c>
      <c r="U47" s="75">
        <f t="shared" si="72"/>
        <v>-0.39410503850008216</v>
      </c>
    </row>
    <row r="48" spans="2:21" x14ac:dyDescent="0.3">
      <c r="B48" s="76" t="s">
        <v>30</v>
      </c>
      <c r="C48" s="176">
        <v>0.34794801798633757</v>
      </c>
      <c r="D48" s="175">
        <v>0.29418461364953141</v>
      </c>
      <c r="E48" s="177">
        <v>0.28970470685132477</v>
      </c>
      <c r="F48" s="138"/>
      <c r="G48" s="176">
        <f t="shared" ref="G48" si="73">(G46-G47)/G46</f>
        <v>0.38458975486054231</v>
      </c>
      <c r="H48" s="175">
        <f t="shared" ref="H48" si="74">(H46-H47)/H46</f>
        <v>0.33643760982922716</v>
      </c>
      <c r="I48" s="177">
        <f t="shared" ref="I48" si="75">(I46-I47)/I46</f>
        <v>0.3246219629164494</v>
      </c>
      <c r="J48" s="138"/>
      <c r="K48" s="176">
        <f t="shared" ref="K48" si="76">(K46-K47)/K46</f>
        <v>0.41343784672964445</v>
      </c>
      <c r="L48" s="175">
        <f t="shared" ref="L48" si="77">(L46-L47)/L46</f>
        <v>0.35999062945739335</v>
      </c>
      <c r="M48" s="177">
        <f t="shared" ref="M48" si="78">(M46-M47)/M46</f>
        <v>0.3520292587664397</v>
      </c>
      <c r="N48" s="138"/>
      <c r="O48" s="235">
        <v>0.43418924150663263</v>
      </c>
      <c r="P48" s="236">
        <v>0.37427989848775178</v>
      </c>
      <c r="Q48" s="237">
        <v>0.37268834634904346</v>
      </c>
      <c r="R48" s="68"/>
      <c r="S48" s="74"/>
      <c r="T48" s="73"/>
      <c r="U48" s="75"/>
    </row>
    <row r="49" spans="2:24" x14ac:dyDescent="0.3">
      <c r="B49" s="47" t="s">
        <v>31</v>
      </c>
      <c r="C49" s="178">
        <v>12135.918396327881</v>
      </c>
      <c r="D49" s="179">
        <v>17034.656697272931</v>
      </c>
      <c r="E49" s="180">
        <v>22572.324884852376</v>
      </c>
      <c r="F49" s="138"/>
      <c r="G49" s="178">
        <f>$C$49-$C$20-$C$63+G20+G63</f>
        <v>12043.263744667584</v>
      </c>
      <c r="H49" s="179">
        <f>G49+H20+H63</f>
        <v>16517.664561577687</v>
      </c>
      <c r="I49" s="180">
        <f>H49+I20+I63</f>
        <v>21467.991958395804</v>
      </c>
      <c r="J49" s="138"/>
      <c r="K49" s="178">
        <f>$C$49-$C$20-$C$63+K20+K63</f>
        <v>11955.943573619783</v>
      </c>
      <c r="L49" s="179">
        <f>K49+L20+L63</f>
        <v>16068.293330840525</v>
      </c>
      <c r="M49" s="180">
        <f>L49+M20+M63</f>
        <v>20506.424544657995</v>
      </c>
      <c r="N49" s="138"/>
      <c r="O49" s="178">
        <v>11854.733233297655</v>
      </c>
      <c r="P49" s="179">
        <v>15667.318355174621</v>
      </c>
      <c r="Q49" s="180">
        <v>19668.397993752136</v>
      </c>
      <c r="R49" s="33"/>
      <c r="S49" s="77"/>
      <c r="T49" s="78"/>
      <c r="U49" s="79"/>
    </row>
    <row r="50" spans="2:24" x14ac:dyDescent="0.3">
      <c r="B50" s="47" t="s">
        <v>47</v>
      </c>
      <c r="C50" s="224">
        <v>589.26491170647864</v>
      </c>
      <c r="D50" s="225">
        <v>644.2904215489167</v>
      </c>
      <c r="E50" s="180">
        <v>806.71517404975623</v>
      </c>
      <c r="F50" s="138"/>
      <c r="G50" s="178">
        <f>C50+G74</f>
        <v>625.82728562965633</v>
      </c>
      <c r="H50" s="179">
        <f>D50+H74</f>
        <v>685.00556163014528</v>
      </c>
      <c r="I50" s="180">
        <f>E50+I74</f>
        <v>816.48860739247129</v>
      </c>
      <c r="J50" s="138"/>
      <c r="K50" s="178">
        <f>C50+K74</f>
        <v>659.65884637987756</v>
      </c>
      <c r="L50" s="179">
        <f t="shared" ref="L50:M50" si="79">D50+L74</f>
        <v>721.66750680839607</v>
      </c>
      <c r="M50" s="180">
        <f t="shared" si="79"/>
        <v>826.5868342538688</v>
      </c>
      <c r="N50" s="138"/>
      <c r="O50" s="178">
        <v>690.7597227706309</v>
      </c>
      <c r="P50" s="179">
        <v>754.27638589715752</v>
      </c>
      <c r="Q50" s="180">
        <v>837.00998344743755</v>
      </c>
      <c r="R50" s="33"/>
      <c r="S50" s="77"/>
      <c r="T50" s="78"/>
      <c r="U50" s="79"/>
    </row>
    <row r="51" spans="2:24" x14ac:dyDescent="0.3">
      <c r="B51" s="47" t="s">
        <v>48</v>
      </c>
      <c r="C51" s="224">
        <v>778.80985859842485</v>
      </c>
      <c r="D51" s="225">
        <v>1175.7571968543657</v>
      </c>
      <c r="E51" s="180">
        <v>1587.3050956803177</v>
      </c>
      <c r="F51" s="138"/>
      <c r="G51" s="178">
        <f>O51/O52*G52</f>
        <v>864.11361901728583</v>
      </c>
      <c r="H51" s="179">
        <f t="shared" ref="H51:I51" si="80">P51/P52*H52</f>
        <v>1141.1608794983495</v>
      </c>
      <c r="I51" s="180">
        <f t="shared" si="80"/>
        <v>1224.0962879202464</v>
      </c>
      <c r="J51" s="138"/>
      <c r="K51" s="178">
        <f>O51/O52*K52</f>
        <v>772.86752776454716</v>
      </c>
      <c r="L51" s="179">
        <f t="shared" ref="L51:M51" si="81">P51/P52*L52</f>
        <v>990.42247050920548</v>
      </c>
      <c r="M51" s="180">
        <f t="shared" si="81"/>
        <v>1115.6322788582422</v>
      </c>
      <c r="N51" s="138"/>
      <c r="O51" s="178">
        <v>684.4278807345371</v>
      </c>
      <c r="P51" s="179">
        <v>802.78396737794924</v>
      </c>
      <c r="Q51" s="180">
        <v>995.77315621171363</v>
      </c>
      <c r="R51" s="33"/>
      <c r="S51" s="77"/>
      <c r="T51" s="78"/>
      <c r="U51" s="79"/>
      <c r="V51" s="210"/>
      <c r="W51" s="210"/>
      <c r="X51" s="210"/>
    </row>
    <row r="52" spans="2:24" x14ac:dyDescent="0.3">
      <c r="B52" s="39" t="s">
        <v>32</v>
      </c>
      <c r="C52" s="184">
        <v>68101.662419882006</v>
      </c>
      <c r="D52" s="185">
        <v>95675.522622860968</v>
      </c>
      <c r="E52" s="186">
        <v>123746.75465528757</v>
      </c>
      <c r="F52" s="138"/>
      <c r="G52" s="187">
        <f>G53*G22</f>
        <v>61488.907190471393</v>
      </c>
      <c r="H52" s="188">
        <f>H53*H22</f>
        <v>83118.805394123003</v>
      </c>
      <c r="I52" s="189">
        <f>I53*I22</f>
        <v>113497.55696581575</v>
      </c>
      <c r="J52" s="138"/>
      <c r="K52" s="184">
        <f>K53*K22</f>
        <v>54995.985064196357</v>
      </c>
      <c r="L52" s="185">
        <f>L53*L22</f>
        <v>72139.462597429709</v>
      </c>
      <c r="M52" s="186">
        <f>M53*M22</f>
        <v>103440.8317157367</v>
      </c>
      <c r="N52" s="138"/>
      <c r="O52" s="184">
        <v>48702.764903668423</v>
      </c>
      <c r="P52" s="185">
        <v>58472.425366826865</v>
      </c>
      <c r="Q52" s="186">
        <v>92327.557592865254</v>
      </c>
      <c r="R52" s="64"/>
      <c r="S52" s="89">
        <f>ROUND(1-(O52/C52),2)</f>
        <v>0.28000000000000003</v>
      </c>
      <c r="T52" s="90">
        <f t="shared" ref="T52:U52" si="82">ROUND(1-(P52/D52),2)</f>
        <v>0.39</v>
      </c>
      <c r="U52" s="91">
        <f t="shared" si="82"/>
        <v>0.25</v>
      </c>
    </row>
    <row r="53" spans="2:24" x14ac:dyDescent="0.3">
      <c r="B53" s="39" t="s">
        <v>46</v>
      </c>
      <c r="C53" s="190">
        <f>C52/C22</f>
        <v>0.70402403709075811</v>
      </c>
      <c r="D53" s="191">
        <f>D52/D22</f>
        <v>0.69552006590166993</v>
      </c>
      <c r="E53" s="192">
        <f>E52/E22</f>
        <v>0.68790181878260792</v>
      </c>
      <c r="F53" s="138"/>
      <c r="G53" s="215">
        <f t="shared" ref="G53:H53" si="83">C53*(1-S53/3)</f>
        <v>0.69698379671985056</v>
      </c>
      <c r="H53" s="214">
        <f t="shared" si="83"/>
        <v>0.69088326546232548</v>
      </c>
      <c r="I53" s="192">
        <f>E53*(1-U53/3)</f>
        <v>0.69248783090782529</v>
      </c>
      <c r="J53" s="193"/>
      <c r="K53" s="190">
        <f>C53*(1-S53*2/3)</f>
        <v>0.68994355634894289</v>
      </c>
      <c r="L53" s="191">
        <v>0.7</v>
      </c>
      <c r="M53" s="192">
        <f>E53*(1-U53*2.5/3)</f>
        <v>0.69936684909565139</v>
      </c>
      <c r="N53" s="193"/>
      <c r="O53" s="190">
        <f>O52/O22</f>
        <v>0.68402506551501729</v>
      </c>
      <c r="P53" s="191">
        <f>P52/P22</f>
        <v>0.68145931754172007</v>
      </c>
      <c r="Q53" s="192">
        <f>Q52/Q22</f>
        <v>0.69990439642898417</v>
      </c>
      <c r="R53" s="64"/>
      <c r="S53" s="89">
        <f>ROUND(1-(O53/C53),2)</f>
        <v>0.03</v>
      </c>
      <c r="T53" s="90">
        <f t="shared" ref="T53:U53" si="84">ROUND(1-(P53/D53),2)</f>
        <v>0.02</v>
      </c>
      <c r="U53" s="91">
        <f t="shared" si="84"/>
        <v>-0.02</v>
      </c>
    </row>
    <row r="54" spans="2:24" x14ac:dyDescent="0.3">
      <c r="B54" s="38" t="s">
        <v>33</v>
      </c>
      <c r="C54" s="217">
        <v>10768.145403227518</v>
      </c>
      <c r="D54" s="218">
        <v>15214.910856074186</v>
      </c>
      <c r="E54" s="219">
        <v>20178.606392326841</v>
      </c>
      <c r="F54" s="138"/>
      <c r="G54" s="181">
        <f t="shared" ref="G54:M54" si="85">G49-SUM(G50:G51)</f>
        <v>10553.322840020641</v>
      </c>
      <c r="H54" s="182">
        <f t="shared" si="85"/>
        <v>14691.498120449192</v>
      </c>
      <c r="I54" s="183">
        <f t="shared" si="85"/>
        <v>19427.407063083087</v>
      </c>
      <c r="J54" s="138"/>
      <c r="K54" s="181">
        <f t="shared" si="85"/>
        <v>10523.417199475358</v>
      </c>
      <c r="L54" s="182">
        <f t="shared" si="85"/>
        <v>14356.203353522924</v>
      </c>
      <c r="M54" s="183">
        <f t="shared" si="85"/>
        <v>18564.205431545884</v>
      </c>
      <c r="N54" s="138"/>
      <c r="O54" s="181">
        <v>10479.847406997027</v>
      </c>
      <c r="P54" s="182">
        <v>14110.559779104056</v>
      </c>
      <c r="Q54" s="183">
        <v>17835.916631297529</v>
      </c>
      <c r="R54" s="30"/>
      <c r="S54" s="92">
        <f t="shared" ref="S54:U54" si="86">1-(O54/C54)</f>
        <v>2.6773226533891359E-2</v>
      </c>
      <c r="T54" s="93">
        <f t="shared" si="86"/>
        <v>7.2583473371402918E-2</v>
      </c>
      <c r="U54" s="94">
        <f t="shared" si="86"/>
        <v>0.11609769849716423</v>
      </c>
      <c r="V54" s="210"/>
      <c r="W54" s="210"/>
      <c r="X54" s="210"/>
    </row>
    <row r="55" spans="2:24" x14ac:dyDescent="0.3">
      <c r="B55" s="38" t="s">
        <v>34</v>
      </c>
      <c r="C55" s="181">
        <v>4063.6676632379476</v>
      </c>
      <c r="D55" s="182">
        <v>5534.5956246720461</v>
      </c>
      <c r="E55" s="183">
        <v>7112.7646076814808</v>
      </c>
      <c r="F55" s="138"/>
      <c r="G55" s="181">
        <f>C55*(1-S55/3)</f>
        <v>3684.3920146690725</v>
      </c>
      <c r="H55" s="182">
        <f>D55*(1-T55/3)</f>
        <v>4685.9576288889994</v>
      </c>
      <c r="I55" s="183">
        <f>E55*(1-U55/3)</f>
        <v>6282.9420701186409</v>
      </c>
      <c r="J55" s="138"/>
      <c r="K55" s="181">
        <f>C55*(1-S55*2/3)</f>
        <v>3305.1163661001974</v>
      </c>
      <c r="L55" s="182">
        <f>D55*(1-T55*2/3)</f>
        <v>3837.3196331059521</v>
      </c>
      <c r="M55" s="183">
        <f>E55*(1-U55*2/3)</f>
        <v>5453.1195325558019</v>
      </c>
      <c r="N55" s="138"/>
      <c r="O55" s="181">
        <v>2913.2549291505675</v>
      </c>
      <c r="P55" s="182">
        <v>2987.4034457544085</v>
      </c>
      <c r="Q55" s="183">
        <v>4589.002282151645</v>
      </c>
      <c r="R55" s="30"/>
      <c r="S55" s="211">
        <f>ROUND(1-(O55/C55),2)</f>
        <v>0.28000000000000003</v>
      </c>
      <c r="T55" s="212">
        <f t="shared" ref="T55:U55" si="87">ROUND(1-(P55/D55),2)</f>
        <v>0.46</v>
      </c>
      <c r="U55" s="213">
        <f t="shared" si="87"/>
        <v>0.35</v>
      </c>
    </row>
    <row r="56" spans="2:24" x14ac:dyDescent="0.3">
      <c r="B56" s="39" t="s">
        <v>35</v>
      </c>
      <c r="C56" s="194">
        <f>SUM(C54:C55)</f>
        <v>14831.813066465465</v>
      </c>
      <c r="D56" s="195">
        <f t="shared" ref="D56:E56" si="88">SUM(D54:D55)</f>
        <v>20749.506480746233</v>
      </c>
      <c r="E56" s="196">
        <f t="shared" si="88"/>
        <v>27291.371000008323</v>
      </c>
      <c r="F56" s="138"/>
      <c r="G56" s="194">
        <f t="shared" ref="G56:I56" si="89">SUM(G54:G55)</f>
        <v>14237.714854689713</v>
      </c>
      <c r="H56" s="195">
        <f t="shared" si="89"/>
        <v>19377.455749338191</v>
      </c>
      <c r="I56" s="196">
        <f t="shared" si="89"/>
        <v>25710.349133201729</v>
      </c>
      <c r="J56" s="138"/>
      <c r="K56" s="194">
        <f t="shared" ref="K56:M56" si="90">SUM(K54:K55)</f>
        <v>13828.533565575555</v>
      </c>
      <c r="L56" s="195">
        <f t="shared" si="90"/>
        <v>18193.522986628876</v>
      </c>
      <c r="M56" s="196">
        <f t="shared" si="90"/>
        <v>24017.324964101688</v>
      </c>
      <c r="N56" s="138"/>
      <c r="O56" s="194">
        <f>SUM(O54:O55)</f>
        <v>13393.102336147595</v>
      </c>
      <c r="P56" s="195">
        <f t="shared" ref="P56:Q56" si="91">SUM(P54:P55)</f>
        <v>17097.963224858464</v>
      </c>
      <c r="Q56" s="196">
        <f t="shared" si="91"/>
        <v>22424.918913449175</v>
      </c>
      <c r="R56" s="64"/>
      <c r="S56" s="84"/>
      <c r="T56" s="66"/>
      <c r="U56" s="85"/>
    </row>
    <row r="57" spans="2:24" x14ac:dyDescent="0.3">
      <c r="B57" s="86" t="s">
        <v>55</v>
      </c>
      <c r="C57" s="197"/>
      <c r="D57" s="198"/>
      <c r="E57" s="199"/>
      <c r="F57" s="138"/>
      <c r="G57" s="200"/>
      <c r="H57" s="198"/>
      <c r="I57" s="199"/>
      <c r="J57" s="138"/>
      <c r="K57" s="200"/>
      <c r="L57" s="198"/>
      <c r="M57" s="199"/>
      <c r="N57" s="138"/>
      <c r="O57" s="200"/>
      <c r="P57" s="198"/>
      <c r="Q57" s="199"/>
      <c r="S57" s="87"/>
      <c r="T57" s="56"/>
      <c r="U57" s="88"/>
    </row>
    <row r="58" spans="2:24" x14ac:dyDescent="0.3">
      <c r="B58" s="38" t="s">
        <v>36</v>
      </c>
      <c r="C58" s="176">
        <f>C54/C$52</f>
        <v>0.15811868639617527</v>
      </c>
      <c r="D58" s="175">
        <f t="shared" ref="D58:E58" si="92">D54/D$52</f>
        <v>0.15902615882276555</v>
      </c>
      <c r="E58" s="177">
        <f t="shared" si="92"/>
        <v>0.16306372194193644</v>
      </c>
      <c r="F58" s="138"/>
      <c r="G58" s="176">
        <f t="shared" ref="G58:I58" si="93">G54/G$52</f>
        <v>0.1716297023677798</v>
      </c>
      <c r="H58" s="175">
        <f t="shared" si="93"/>
        <v>0.17675299892469304</v>
      </c>
      <c r="I58" s="177">
        <f t="shared" si="93"/>
        <v>0.17117026641317412</v>
      </c>
      <c r="J58" s="138"/>
      <c r="K58" s="176">
        <f t="shared" ref="K58:M58" si="94">K54/K$52</f>
        <v>0.19134882641326381</v>
      </c>
      <c r="L58" s="175">
        <f t="shared" si="94"/>
        <v>0.19900624202923337</v>
      </c>
      <c r="M58" s="177">
        <f t="shared" si="94"/>
        <v>0.17946690029099668</v>
      </c>
      <c r="N58" s="138"/>
      <c r="O58" s="176">
        <f t="shared" ref="O58:Q59" si="95">O54/O$52</f>
        <v>0.21517972188489973</v>
      </c>
      <c r="P58" s="175">
        <f t="shared" si="95"/>
        <v>0.24131989891955796</v>
      </c>
      <c r="Q58" s="177">
        <f t="shared" si="95"/>
        <v>0.19318085625039674</v>
      </c>
      <c r="R58" s="68"/>
      <c r="S58" s="74"/>
      <c r="T58" s="73"/>
      <c r="U58" s="75"/>
      <c r="V58" s="108"/>
    </row>
    <row r="59" spans="2:24" x14ac:dyDescent="0.3">
      <c r="B59" s="38" t="s">
        <v>37</v>
      </c>
      <c r="C59" s="176">
        <f t="shared" ref="C59:E59" si="96">C55/C$52</f>
        <v>5.967060889326508E-2</v>
      </c>
      <c r="D59" s="175">
        <f t="shared" si="96"/>
        <v>5.7847560932471925E-2</v>
      </c>
      <c r="E59" s="177">
        <f t="shared" si="96"/>
        <v>5.7478393089944034E-2</v>
      </c>
      <c r="F59" s="138"/>
      <c r="G59" s="176">
        <f t="shared" ref="G59:I59" si="97">G55/G$52</f>
        <v>5.9919621001819058E-2</v>
      </c>
      <c r="H59" s="175">
        <f t="shared" si="97"/>
        <v>5.6376623877950061E-2</v>
      </c>
      <c r="I59" s="177">
        <f t="shared" si="97"/>
        <v>5.5357509342786965E-2</v>
      </c>
      <c r="J59" s="138"/>
      <c r="K59" s="176">
        <f t="shared" ref="K59:M59" si="98">K55/K$52</f>
        <v>6.0097411879106492E-2</v>
      </c>
      <c r="L59" s="175">
        <f t="shared" si="98"/>
        <v>5.3193072070967629E-2</v>
      </c>
      <c r="M59" s="177">
        <f t="shared" si="98"/>
        <v>5.2717282354625597E-2</v>
      </c>
      <c r="N59" s="138"/>
      <c r="O59" s="176">
        <f t="shared" si="95"/>
        <v>5.9817033692293173E-2</v>
      </c>
      <c r="P59" s="175">
        <f t="shared" si="95"/>
        <v>5.1090807795519472E-2</v>
      </c>
      <c r="Q59" s="177">
        <f>Q55/Q$52</f>
        <v>4.9703494837236621E-2</v>
      </c>
      <c r="R59" s="68"/>
      <c r="S59" s="74"/>
      <c r="T59" s="73"/>
      <c r="U59" s="75"/>
      <c r="V59" s="102"/>
    </row>
    <row r="60" spans="2:24" x14ac:dyDescent="0.3">
      <c r="B60" s="38" t="s">
        <v>38</v>
      </c>
      <c r="C60" s="176">
        <f t="shared" ref="C60:E60" si="99">C56/C$52</f>
        <v>0.21778929528944035</v>
      </c>
      <c r="D60" s="175">
        <f t="shared" si="99"/>
        <v>0.21687371975523748</v>
      </c>
      <c r="E60" s="177">
        <f t="shared" si="99"/>
        <v>0.22054211503188048</v>
      </c>
      <c r="F60" s="138"/>
      <c r="G60" s="176">
        <f t="shared" ref="G60:I60" si="100">G56/G$52</f>
        <v>0.23154932336959885</v>
      </c>
      <c r="H60" s="175">
        <f t="shared" si="100"/>
        <v>0.23312962280264307</v>
      </c>
      <c r="I60" s="177">
        <f t="shared" si="100"/>
        <v>0.22652777575596109</v>
      </c>
      <c r="J60" s="138"/>
      <c r="K60" s="176">
        <f t="shared" ref="K60:M60" si="101">K56/K$52</f>
        <v>0.25144623829237028</v>
      </c>
      <c r="L60" s="175">
        <f t="shared" si="101"/>
        <v>0.25219931410020097</v>
      </c>
      <c r="M60" s="177">
        <f t="shared" si="101"/>
        <v>0.23218418264562229</v>
      </c>
      <c r="N60" s="138"/>
      <c r="O60" s="176">
        <f>O56/O$52</f>
        <v>0.27499675557719289</v>
      </c>
      <c r="P60" s="175">
        <f>P56/P$52</f>
        <v>0.29241070671507741</v>
      </c>
      <c r="Q60" s="177">
        <f>Q56/Q$52</f>
        <v>0.24288435108763337</v>
      </c>
      <c r="R60" s="68"/>
      <c r="S60" s="74"/>
      <c r="T60" s="73"/>
      <c r="U60" s="75"/>
      <c r="V60" s="102"/>
    </row>
    <row r="61" spans="2:24" x14ac:dyDescent="0.3">
      <c r="B61" s="38"/>
      <c r="C61" s="176"/>
      <c r="D61" s="175"/>
      <c r="E61" s="177"/>
      <c r="F61" s="138"/>
      <c r="G61" s="176"/>
      <c r="H61" s="175"/>
      <c r="I61" s="177"/>
      <c r="J61" s="138"/>
      <c r="K61" s="176"/>
      <c r="L61" s="175"/>
      <c r="M61" s="177"/>
      <c r="N61" s="138"/>
      <c r="O61" s="176"/>
      <c r="P61" s="175"/>
      <c r="Q61" s="177"/>
      <c r="R61" s="22"/>
      <c r="S61" s="74"/>
      <c r="T61" s="73"/>
      <c r="U61" s="75"/>
    </row>
    <row r="62" spans="2:24" x14ac:dyDescent="0.3">
      <c r="B62" s="39" t="s">
        <v>39</v>
      </c>
      <c r="C62" s="176"/>
      <c r="D62" s="175"/>
      <c r="E62" s="177"/>
      <c r="F62" s="138"/>
      <c r="G62" s="176"/>
      <c r="H62" s="175"/>
      <c r="I62" s="177"/>
      <c r="J62" s="138"/>
      <c r="K62" s="176"/>
      <c r="L62" s="175"/>
      <c r="M62" s="177"/>
      <c r="N62" s="138"/>
      <c r="O62" s="176"/>
      <c r="P62" s="175"/>
      <c r="Q62" s="177"/>
      <c r="R62" s="22"/>
      <c r="S62" s="74"/>
      <c r="T62" s="73"/>
      <c r="U62" s="75"/>
    </row>
    <row r="63" spans="2:24" x14ac:dyDescent="0.3">
      <c r="B63" s="41" t="s">
        <v>51</v>
      </c>
      <c r="C63" s="178">
        <v>3500</v>
      </c>
      <c r="D63" s="179">
        <v>3500</v>
      </c>
      <c r="E63" s="180">
        <v>3000</v>
      </c>
      <c r="F63" s="138"/>
      <c r="G63" s="178">
        <v>3500</v>
      </c>
      <c r="H63" s="201">
        <v>3500</v>
      </c>
      <c r="I63" s="202">
        <v>3000</v>
      </c>
      <c r="J63" s="138"/>
      <c r="K63" s="178">
        <v>3500</v>
      </c>
      <c r="L63" s="201">
        <v>3500</v>
      </c>
      <c r="M63" s="202">
        <v>3000</v>
      </c>
      <c r="N63" s="138"/>
      <c r="O63" s="178">
        <v>3500</v>
      </c>
      <c r="P63" s="201">
        <v>3500</v>
      </c>
      <c r="Q63" s="202">
        <v>3000</v>
      </c>
      <c r="R63" s="31"/>
      <c r="S63" s="77"/>
      <c r="T63" s="80"/>
      <c r="U63" s="81"/>
    </row>
    <row r="64" spans="2:24" x14ac:dyDescent="0.3">
      <c r="B64" s="41"/>
      <c r="C64" s="178"/>
      <c r="D64" s="179"/>
      <c r="E64" s="180"/>
      <c r="F64" s="138"/>
      <c r="G64" s="203"/>
      <c r="H64" s="201"/>
      <c r="I64" s="202"/>
      <c r="J64" s="138"/>
      <c r="K64" s="203"/>
      <c r="L64" s="201"/>
      <c r="M64" s="202"/>
      <c r="N64" s="138"/>
      <c r="O64" s="203"/>
      <c r="P64" s="201"/>
      <c r="Q64" s="202"/>
      <c r="R64" s="32"/>
      <c r="S64" s="82"/>
      <c r="T64" s="80"/>
      <c r="U64" s="81"/>
    </row>
    <row r="65" spans="2:21" ht="14.4" thickBot="1" x14ac:dyDescent="0.35">
      <c r="B65" s="48"/>
      <c r="C65" s="204"/>
      <c r="D65" s="205"/>
      <c r="E65" s="206"/>
      <c r="G65" s="207"/>
      <c r="H65" s="208"/>
      <c r="I65" s="209"/>
      <c r="K65" s="207"/>
      <c r="L65" s="208"/>
      <c r="M65" s="209"/>
      <c r="O65" s="207"/>
      <c r="P65" s="208"/>
      <c r="Q65" s="209"/>
      <c r="R65" s="69"/>
      <c r="S65" s="34"/>
      <c r="T65" s="35"/>
      <c r="U65" s="36"/>
    </row>
    <row r="66" spans="2:21" x14ac:dyDescent="0.3"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</row>
    <row r="67" spans="2:21" s="83" customFormat="1" ht="15.75" hidden="1" customHeight="1" x14ac:dyDescent="0.3">
      <c r="G67" s="99">
        <f>(G68+G54)/G52</f>
        <v>0.20640012354456688</v>
      </c>
      <c r="H67" s="99">
        <f>(H68+H54)/H52</f>
        <v>0.20676493184722758</v>
      </c>
      <c r="I67" s="99">
        <f>(I68+I54)/I52</f>
        <v>0.20937541460768319</v>
      </c>
      <c r="K67" s="99">
        <f>(K68+K54)/K52</f>
        <v>0.19520952166111386</v>
      </c>
      <c r="L67" s="99">
        <f>(L68+L54)/L52</f>
        <v>0.19144472741778082</v>
      </c>
      <c r="M67" s="99">
        <f>(M68+M54)/M52</f>
        <v>0.19454428640281682</v>
      </c>
      <c r="O67" s="99">
        <f>18%</f>
        <v>0.18</v>
      </c>
      <c r="P67" s="99">
        <f>18%</f>
        <v>0.18</v>
      </c>
      <c r="Q67" s="99">
        <f>18%</f>
        <v>0.18</v>
      </c>
    </row>
    <row r="68" spans="2:21" s="83" customFormat="1" ht="15.75" hidden="1" customHeight="1" x14ac:dyDescent="0.3">
      <c r="C68" s="100">
        <f>C55</f>
        <v>4063.6676632379476</v>
      </c>
      <c r="D68" s="100">
        <f>D55</f>
        <v>5534.5956246720461</v>
      </c>
      <c r="E68" s="100">
        <f>E55</f>
        <v>7112.7646076814808</v>
      </c>
      <c r="G68" s="96">
        <f>C68*(1-S68/3)</f>
        <v>2137.9952007130614</v>
      </c>
      <c r="H68" s="96">
        <f>D68*(1-T68/3)</f>
        <v>2494.5560120896239</v>
      </c>
      <c r="I68" s="96">
        <f>E68*(1-U68/3)</f>
        <v>4336.1909835937267</v>
      </c>
      <c r="K68" s="96">
        <f>C68*(1-S68*2/3)</f>
        <v>212.32273818817529</v>
      </c>
      <c r="L68" s="96">
        <f>D68*(1-T68*2/3)</f>
        <v>-545.48360049279859</v>
      </c>
      <c r="M68" s="96">
        <f>E68*(1-U68*2/3)</f>
        <v>1559.6173595059727</v>
      </c>
      <c r="O68" s="96">
        <f>(O52*O67)-O54</f>
        <v>-1713.349724336711</v>
      </c>
      <c r="P68" s="96">
        <f>(P52*P67)-P54</f>
        <v>-3585.5232130752211</v>
      </c>
      <c r="Q68" s="96">
        <f>(Q52*Q67)-Q54</f>
        <v>-1216.9562645817823</v>
      </c>
      <c r="S68" s="97">
        <f t="shared" ref="S68" si="102">1-(O68/C68)</f>
        <v>1.4216264385585868</v>
      </c>
      <c r="T68" s="97">
        <f t="shared" ref="T68" si="103">1-(P68/D68)</f>
        <v>1.6478383347631982</v>
      </c>
      <c r="U68" s="97">
        <f t="shared" ref="U68" si="104">1-(Q68/E68)</f>
        <v>1.17109469126358</v>
      </c>
    </row>
    <row r="69" spans="2:21" ht="6.75" hidden="1" customHeight="1" x14ac:dyDescent="0.3">
      <c r="C69" s="114"/>
    </row>
    <row r="70" spans="2:21" s="98" customFormat="1" ht="15.75" hidden="1" customHeight="1" x14ac:dyDescent="0.3">
      <c r="C70" s="101"/>
      <c r="D70" s="101"/>
      <c r="E70" s="101"/>
      <c r="O70" s="95">
        <f>O55-O68</f>
        <v>4626.6046534872785</v>
      </c>
      <c r="P70" s="95">
        <f>P55-P68</f>
        <v>6572.9266588296296</v>
      </c>
      <c r="Q70" s="95">
        <f>Q55-Q68</f>
        <v>5805.9585467334273</v>
      </c>
    </row>
    <row r="71" spans="2:21" s="103" customFormat="1" ht="15" hidden="1" customHeight="1" x14ac:dyDescent="0.3">
      <c r="C71" s="104">
        <v>1608.9117149671531</v>
      </c>
      <c r="D71" s="104"/>
      <c r="E71" s="104"/>
      <c r="G71" s="223">
        <f>G52*G59</f>
        <v>3684.3920146690725</v>
      </c>
      <c r="H71" s="223">
        <f t="shared" ref="H71:I71" si="105">H52*H59</f>
        <v>4685.9576288889994</v>
      </c>
      <c r="I71" s="223">
        <f t="shared" si="105"/>
        <v>6282.9420701186409</v>
      </c>
      <c r="K71" s="105"/>
      <c r="L71" s="105"/>
      <c r="M71" s="105"/>
      <c r="O71" s="216"/>
      <c r="P71" s="107"/>
      <c r="Q71" s="107"/>
    </row>
    <row r="72" spans="2:21" s="107" customFormat="1" ht="15" hidden="1" customHeight="1" x14ac:dyDescent="0.3">
      <c r="B72" s="107" t="s">
        <v>52</v>
      </c>
      <c r="C72" s="107">
        <v>1801.2291221643932</v>
      </c>
      <c r="D72" s="107">
        <v>1875.3976771363864</v>
      </c>
      <c r="E72" s="107">
        <v>2306.6004641765326</v>
      </c>
      <c r="G72" s="107">
        <f>C71+G17</f>
        <v>1936.6453218798661</v>
      </c>
      <c r="H72" s="107">
        <f>G72+H17</f>
        <v>2026.1944922520479</v>
      </c>
      <c r="I72" s="107">
        <f>H72+I17</f>
        <v>2342.7983654458476</v>
      </c>
      <c r="K72" s="107">
        <f>C71+K17</f>
        <v>2061.9473987325373</v>
      </c>
      <c r="L72" s="107">
        <f>K72+L17</f>
        <v>2161.9794743937173</v>
      </c>
      <c r="M72" s="107">
        <f>L72+M17</f>
        <v>2380.1992056732456</v>
      </c>
      <c r="O72" s="107">
        <v>2619.4706972940521</v>
      </c>
      <c r="P72" s="107">
        <v>3219.5073417190451</v>
      </c>
      <c r="Q72" s="107">
        <v>3216.1420806120404</v>
      </c>
    </row>
    <row r="73" spans="2:21" s="107" customFormat="1" ht="15" hidden="1" customHeight="1" x14ac:dyDescent="0.3">
      <c r="B73" s="107" t="s">
        <v>53</v>
      </c>
      <c r="G73" s="107">
        <f>G72-C72</f>
        <v>135.41619971547289</v>
      </c>
      <c r="H73" s="107">
        <f t="shared" ref="H73:I73" si="106">H72-D72</f>
        <v>150.7968151156615</v>
      </c>
      <c r="I73" s="107">
        <f t="shared" si="106"/>
        <v>36.197901269315025</v>
      </c>
      <c r="K73" s="107">
        <f>K72-C72</f>
        <v>260.71827656814412</v>
      </c>
      <c r="L73" s="107">
        <f t="shared" ref="L73:M73" si="107">L72-D72</f>
        <v>286.58179725733089</v>
      </c>
      <c r="M73" s="107">
        <f t="shared" si="107"/>
        <v>73.598741496713046</v>
      </c>
      <c r="O73" s="107">
        <f>O72-C72</f>
        <v>818.24157512965894</v>
      </c>
      <c r="P73" s="107">
        <f t="shared" ref="P73:Q73" si="108">P72-D72</f>
        <v>1344.1096645826588</v>
      </c>
      <c r="Q73" s="107">
        <f t="shared" si="108"/>
        <v>909.54161643550788</v>
      </c>
    </row>
    <row r="74" spans="2:21" s="107" customFormat="1" ht="15" hidden="1" customHeight="1" x14ac:dyDescent="0.3">
      <c r="B74" s="107" t="s">
        <v>54</v>
      </c>
      <c r="G74" s="107">
        <f>G73*27%</f>
        <v>36.562373923177681</v>
      </c>
      <c r="H74" s="107">
        <f t="shared" ref="H74:I74" si="109">H73*27%</f>
        <v>40.715140081228611</v>
      </c>
      <c r="I74" s="107">
        <f t="shared" si="109"/>
        <v>9.773433342715057</v>
      </c>
      <c r="K74" s="107">
        <f>K73*27%</f>
        <v>70.393934673398917</v>
      </c>
      <c r="L74" s="107">
        <f t="shared" ref="L74" si="110">L73*27%</f>
        <v>77.377085259479344</v>
      </c>
      <c r="M74" s="107">
        <f t="shared" ref="M74" si="111">M73*27%</f>
        <v>19.871660204112523</v>
      </c>
      <c r="O74" s="107">
        <f>O73*27%</f>
        <v>220.92522528500794</v>
      </c>
      <c r="P74" s="107">
        <f t="shared" ref="P74" si="112">P73*27%</f>
        <v>362.9096094373179</v>
      </c>
      <c r="Q74" s="107">
        <f t="shared" ref="Q74" si="113">Q73*27%</f>
        <v>245.57623643758714</v>
      </c>
    </row>
    <row r="75" spans="2:21" hidden="1" x14ac:dyDescent="0.3">
      <c r="C75" s="221">
        <f>C72-C71</f>
        <v>192.31740719724007</v>
      </c>
      <c r="G75" s="220">
        <f>G17-C17</f>
        <v>135.41623908567141</v>
      </c>
      <c r="H75" s="220"/>
      <c r="I75" s="220"/>
      <c r="K75" s="220">
        <f>K17-C17</f>
        <v>260.71831593834298</v>
      </c>
    </row>
  </sheetData>
  <mergeCells count="5">
    <mergeCell ref="C2:E2"/>
    <mergeCell ref="O2:Q2"/>
    <mergeCell ref="G2:I2"/>
    <mergeCell ref="K2:M2"/>
    <mergeCell ref="S2:U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Capital</vt:lpstr>
      <vt:lpstr>With 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2024-05-30T15:39:31Z</dcterms:modified>
</cp:coreProperties>
</file>