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24226"/>
  <mc:AlternateContent xmlns:mc="http://schemas.openxmlformats.org/markup-compatibility/2006">
    <mc:Choice Requires="x15">
      <x15ac:absPath xmlns:x15ac="http://schemas.microsoft.com/office/spreadsheetml/2010/11/ac" url="C:\Users\m&amp;m\Desktop\PAGINA WEB\"/>
    </mc:Choice>
  </mc:AlternateContent>
  <xr:revisionPtr revIDLastSave="0" documentId="8_{CFCCA4C4-E8DF-4117-BE6B-5427208AEA90}" xr6:coauthVersionLast="46" xr6:coauthVersionMax="46" xr10:uidLastSave="{00000000-0000-0000-0000-000000000000}"/>
  <bookViews>
    <workbookView xWindow="-120" yWindow="-120" windowWidth="20730" windowHeight="11160" firstSheet="6" activeTab="6" xr2:uid="{00000000-000D-0000-FFFF-FFFF00000000}"/>
  </bookViews>
  <sheets>
    <sheet name="Identificación" sheetId="10" r:id="rId1"/>
    <sheet name="Respuesta 1" sheetId="13" r:id="rId2"/>
    <sheet name="Respuesta 2" sheetId="14" r:id="rId3"/>
    <sheet name="Respuesta 4" sheetId="17" r:id="rId4"/>
    <sheet name="Respuesta 5" sheetId="18" r:id="rId5"/>
    <sheet name="Respuesta 3" sheetId="22" r:id="rId6"/>
    <sheet name="Citas_IPS_2" sheetId="8" r:id="rId7"/>
    <sheet name="Funciones (50%)" sheetId="11" r:id="rId8"/>
    <sheet name="Datos_paciente" sheetId="9" r:id="rId9"/>
    <sheet name="Tablas dinámicas (50%)" sheetId="12" r:id="rId10"/>
  </sheets>
  <definedNames>
    <definedName name="_xlnm._FilterDatabase" localSheetId="6" hidden="1">Citas_IPS_2!$A$1:$J$268</definedName>
    <definedName name="NativeTimeline_FechaNacimiento">#N/A</definedName>
    <definedName name="SegmentaciónDeDatos_Especialidad">#N/A</definedName>
    <definedName name="SegmentaciónDeDatos_Sexo">#N/A</definedName>
    <definedName name="SegmentaciónDeDatos_TIPO_DE_CONSULTA">#N/A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7" i="11" l="1"/>
  <c r="B15" i="14" l="1"/>
  <c r="B14" i="14"/>
  <c r="B13" i="14"/>
  <c r="G125" i="11" l="1"/>
  <c r="G124" i="11"/>
  <c r="D96" i="11"/>
  <c r="E83" i="11"/>
  <c r="D82" i="11"/>
  <c r="E82" i="11" s="1"/>
  <c r="D83" i="11"/>
  <c r="D84" i="11"/>
  <c r="E84" i="11" s="1"/>
  <c r="D85" i="11"/>
  <c r="E85" i="11" s="1"/>
  <c r="D81" i="11"/>
  <c r="E81" i="11" s="1"/>
  <c r="B81" i="11"/>
  <c r="F81" i="11" s="1"/>
  <c r="B82" i="11"/>
  <c r="F82" i="11" s="1"/>
  <c r="B83" i="11"/>
  <c r="F83" i="11" s="1"/>
  <c r="B84" i="11"/>
  <c r="F84" i="11" s="1"/>
  <c r="B85" i="11"/>
  <c r="F85" i="11" s="1"/>
  <c r="D4" i="14"/>
  <c r="E4" i="14"/>
  <c r="C84" i="11" l="1"/>
  <c r="C83" i="11"/>
  <c r="C81" i="11"/>
  <c r="C82" i="11"/>
  <c r="C85" i="11"/>
  <c r="D5" i="14"/>
  <c r="E5" i="14"/>
  <c r="B114" i="11" l="1"/>
  <c r="E71" i="11"/>
  <c r="D71" i="11"/>
  <c r="C71" i="11"/>
  <c r="A71" i="11"/>
  <c r="C55" i="11"/>
  <c r="C56" i="11"/>
  <c r="C57" i="11"/>
  <c r="C58" i="11"/>
  <c r="C59" i="11"/>
  <c r="C60" i="11"/>
  <c r="C61" i="11"/>
  <c r="C62" i="11"/>
  <c r="C63" i="11"/>
  <c r="C64" i="11"/>
  <c r="C65" i="11"/>
  <c r="C54" i="11"/>
  <c r="D6" i="14"/>
  <c r="E6" i="14"/>
  <c r="C37" i="11" l="1"/>
  <c r="C38" i="11"/>
  <c r="C39" i="11"/>
  <c r="C40" i="11"/>
  <c r="C41" i="11"/>
  <c r="C42" i="11"/>
  <c r="C43" i="11"/>
  <c r="C44" i="11"/>
  <c r="C45" i="11"/>
  <c r="C46" i="11"/>
  <c r="C47" i="11"/>
  <c r="C36" i="11"/>
  <c r="C19" i="11"/>
  <c r="C20" i="11"/>
  <c r="C21" i="11"/>
  <c r="C22" i="11"/>
  <c r="C23" i="11"/>
  <c r="C24" i="11"/>
  <c r="C25" i="11"/>
  <c r="C26" i="11"/>
  <c r="C27" i="11"/>
  <c r="C28" i="11"/>
  <c r="C29" i="11"/>
  <c r="C30" i="11"/>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K235" i="8"/>
  <c r="K236" i="8"/>
  <c r="K237" i="8"/>
  <c r="K238" i="8"/>
  <c r="K239" i="8"/>
  <c r="K240" i="8"/>
  <c r="K241" i="8"/>
  <c r="K242" i="8"/>
  <c r="K243" i="8"/>
  <c r="K244" i="8"/>
  <c r="K245" i="8"/>
  <c r="K246" i="8"/>
  <c r="K247" i="8"/>
  <c r="K248" i="8"/>
  <c r="K249" i="8"/>
  <c r="K250" i="8"/>
  <c r="K251" i="8"/>
  <c r="K252" i="8"/>
  <c r="K253" i="8"/>
  <c r="K254" i="8"/>
  <c r="K255" i="8"/>
  <c r="K256" i="8"/>
  <c r="K257" i="8"/>
  <c r="K258" i="8"/>
  <c r="K259" i="8"/>
  <c r="K260" i="8"/>
  <c r="K261" i="8"/>
  <c r="K262" i="8"/>
  <c r="K263" i="8"/>
  <c r="K264" i="8"/>
  <c r="K265" i="8"/>
  <c r="K266" i="8"/>
  <c r="K267" i="8"/>
  <c r="K268" i="8"/>
  <c r="K2" i="8"/>
  <c r="D7" i="14"/>
  <c r="E7" i="14"/>
  <c r="B8" i="8" l="1"/>
  <c r="E39" i="8"/>
  <c r="D8" i="14"/>
  <c r="E8" i="14"/>
  <c r="B4" i="8" l="1"/>
  <c r="B5" i="8"/>
  <c r="B6" i="8"/>
  <c r="B7"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3" i="8"/>
  <c r="B2" i="8"/>
  <c r="D9" i="14"/>
  <c r="E9" i="14"/>
  <c r="E268" i="8" l="1"/>
  <c r="E267" i="8"/>
  <c r="E266" i="8"/>
  <c r="E265" i="8"/>
  <c r="E264" i="8"/>
  <c r="E263" i="8"/>
  <c r="E262" i="8"/>
  <c r="E261" i="8"/>
  <c r="E260" i="8"/>
  <c r="E259" i="8"/>
  <c r="E258" i="8"/>
  <c r="E257" i="8"/>
  <c r="E256" i="8"/>
  <c r="E255" i="8"/>
  <c r="E254" i="8"/>
  <c r="E253" i="8"/>
  <c r="E252" i="8"/>
  <c r="E251" i="8"/>
  <c r="E250" i="8"/>
  <c r="E249" i="8"/>
  <c r="E248" i="8"/>
  <c r="E247" i="8"/>
  <c r="E246" i="8"/>
  <c r="E245" i="8"/>
  <c r="E244" i="8"/>
  <c r="E243" i="8"/>
  <c r="E242" i="8"/>
  <c r="E241" i="8"/>
  <c r="E240" i="8"/>
  <c r="E239" i="8"/>
  <c r="E238" i="8"/>
  <c r="E237" i="8"/>
  <c r="E236" i="8"/>
  <c r="E235" i="8"/>
  <c r="E234" i="8"/>
  <c r="E233" i="8"/>
  <c r="E232" i="8"/>
  <c r="E231" i="8"/>
  <c r="E230" i="8"/>
  <c r="E229" i="8"/>
  <c r="E228" i="8"/>
  <c r="E227" i="8"/>
  <c r="E226" i="8"/>
  <c r="E225" i="8"/>
  <c r="E224" i="8"/>
  <c r="E223" i="8"/>
  <c r="E222" i="8"/>
  <c r="E221" i="8"/>
  <c r="E220" i="8"/>
  <c r="E219" i="8"/>
  <c r="E218" i="8"/>
  <c r="E217" i="8"/>
  <c r="E216" i="8"/>
  <c r="E215" i="8"/>
  <c r="E214" i="8"/>
  <c r="E213" i="8"/>
  <c r="E212" i="8"/>
  <c r="E211" i="8"/>
  <c r="E210" i="8"/>
  <c r="E209" i="8"/>
  <c r="E208" i="8"/>
  <c r="E207" i="8"/>
  <c r="E206" i="8"/>
  <c r="E205" i="8"/>
  <c r="E204" i="8"/>
  <c r="E203" i="8"/>
  <c r="E202" i="8"/>
  <c r="E201" i="8"/>
  <c r="E200" i="8"/>
  <c r="E199" i="8"/>
  <c r="E198" i="8"/>
  <c r="E197" i="8"/>
  <c r="E196" i="8"/>
  <c r="E195" i="8"/>
  <c r="E194" i="8"/>
  <c r="E193" i="8"/>
  <c r="E192" i="8"/>
  <c r="E191" i="8"/>
  <c r="E190" i="8"/>
  <c r="E189" i="8"/>
  <c r="E188" i="8"/>
  <c r="E187" i="8"/>
  <c r="E186" i="8"/>
  <c r="E185" i="8"/>
  <c r="E184" i="8"/>
  <c r="E183" i="8"/>
  <c r="E182" i="8"/>
  <c r="E181" i="8"/>
  <c r="E180" i="8"/>
  <c r="E179" i="8"/>
  <c r="E178" i="8"/>
  <c r="E177" i="8"/>
  <c r="E176" i="8"/>
  <c r="E175" i="8"/>
  <c r="E174" i="8"/>
  <c r="E173" i="8"/>
  <c r="E172" i="8"/>
  <c r="E171" i="8"/>
  <c r="E170" i="8"/>
  <c r="E169" i="8"/>
  <c r="E168" i="8"/>
  <c r="E167" i="8"/>
  <c r="E166" i="8"/>
  <c r="E165" i="8"/>
  <c r="E164" i="8"/>
  <c r="E163" i="8"/>
  <c r="E162" i="8"/>
  <c r="E161" i="8"/>
  <c r="E160" i="8"/>
  <c r="E159" i="8"/>
  <c r="E158" i="8"/>
  <c r="E157" i="8"/>
  <c r="E156"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E129" i="8"/>
  <c r="E128" i="8"/>
  <c r="E127" i="8"/>
  <c r="E126" i="8"/>
  <c r="E125" i="8"/>
  <c r="E124" i="8"/>
  <c r="E123" i="8"/>
  <c r="E122" i="8"/>
  <c r="E121" i="8"/>
  <c r="E120" i="8"/>
  <c r="E119" i="8"/>
  <c r="E118" i="8"/>
  <c r="E117" i="8"/>
  <c r="E116" i="8"/>
  <c r="E115" i="8"/>
  <c r="E114" i="8"/>
  <c r="E113" i="8"/>
  <c r="E112" i="8"/>
  <c r="E111" i="8"/>
  <c r="E110" i="8"/>
  <c r="E109" i="8"/>
  <c r="E108" i="8"/>
  <c r="E107" i="8"/>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J52" i="8"/>
  <c r="E51" i="8"/>
  <c r="E50" i="8"/>
  <c r="E49" i="8"/>
  <c r="E48" i="8"/>
  <c r="E47" i="8"/>
  <c r="E46" i="8"/>
  <c r="E45" i="8"/>
  <c r="E44" i="8"/>
  <c r="E43" i="8"/>
  <c r="E42" i="8"/>
  <c r="E41" i="8"/>
  <c r="E40" i="8"/>
  <c r="J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E2" i="8"/>
  <c r="E10" i="14"/>
  <c r="D10" i="14"/>
  <c r="L2" i="8" l="1"/>
  <c r="J2" i="8"/>
  <c r="L3" i="8"/>
  <c r="J5" i="8"/>
  <c r="L5" i="8"/>
  <c r="J17" i="8"/>
  <c r="D37" i="11" s="1"/>
  <c r="L17" i="8"/>
  <c r="J25" i="8"/>
  <c r="L25" i="8"/>
  <c r="J37" i="8"/>
  <c r="L37" i="8"/>
  <c r="J49" i="8"/>
  <c r="L49" i="8"/>
  <c r="J61" i="8"/>
  <c r="L61" i="8"/>
  <c r="J73" i="8"/>
  <c r="L73" i="8"/>
  <c r="J85" i="8"/>
  <c r="L85" i="8"/>
  <c r="J89" i="8"/>
  <c r="L89" i="8"/>
  <c r="J105" i="8"/>
  <c r="L105" i="8"/>
  <c r="J117" i="8"/>
  <c r="L117" i="8"/>
  <c r="J129" i="8"/>
  <c r="L129" i="8"/>
  <c r="J137" i="8"/>
  <c r="L137" i="8"/>
  <c r="J149" i="8"/>
  <c r="L149" i="8"/>
  <c r="J161" i="8"/>
  <c r="L161" i="8"/>
  <c r="J165" i="8"/>
  <c r="L165" i="8"/>
  <c r="J177" i="8"/>
  <c r="L177" i="8"/>
  <c r="J189" i="8"/>
  <c r="L189" i="8"/>
  <c r="J201" i="8"/>
  <c r="L201" i="8"/>
  <c r="J209" i="8"/>
  <c r="L209" i="8"/>
  <c r="J217" i="8"/>
  <c r="L217" i="8"/>
  <c r="J225" i="8"/>
  <c r="L225" i="8"/>
  <c r="J233" i="8"/>
  <c r="L233" i="8"/>
  <c r="J241" i="8"/>
  <c r="L241" i="8"/>
  <c r="J249" i="8"/>
  <c r="L249" i="8"/>
  <c r="J265" i="8"/>
  <c r="L265" i="8"/>
  <c r="J14" i="8"/>
  <c r="L14" i="8"/>
  <c r="J22" i="8"/>
  <c r="L22" i="8"/>
  <c r="J34" i="8"/>
  <c r="L34" i="8"/>
  <c r="J42" i="8"/>
  <c r="L42" i="8"/>
  <c r="J50" i="8"/>
  <c r="L50" i="8"/>
  <c r="J58" i="8"/>
  <c r="L58" i="8"/>
  <c r="J62" i="8"/>
  <c r="L62" i="8"/>
  <c r="J70" i="8"/>
  <c r="L70" i="8"/>
  <c r="J78" i="8"/>
  <c r="L78" i="8"/>
  <c r="J82" i="8"/>
  <c r="L82" i="8"/>
  <c r="J90" i="8"/>
  <c r="L90" i="8"/>
  <c r="J98" i="8"/>
  <c r="D56" i="11" s="1"/>
  <c r="L98" i="8"/>
  <c r="J106" i="8"/>
  <c r="L106" i="8"/>
  <c r="J110" i="8"/>
  <c r="L110" i="8"/>
  <c r="J118" i="8"/>
  <c r="L118" i="8"/>
  <c r="J122" i="8"/>
  <c r="L122" i="8"/>
  <c r="J126" i="8"/>
  <c r="L126" i="8"/>
  <c r="J130" i="8"/>
  <c r="L130" i="8"/>
  <c r="J134" i="8"/>
  <c r="L134" i="8"/>
  <c r="J138" i="8"/>
  <c r="L138" i="8"/>
  <c r="J142" i="8"/>
  <c r="L142" i="8"/>
  <c r="J146" i="8"/>
  <c r="L146" i="8"/>
  <c r="J150" i="8"/>
  <c r="L150" i="8"/>
  <c r="J154" i="8"/>
  <c r="L154" i="8"/>
  <c r="J158" i="8"/>
  <c r="L158" i="8"/>
  <c r="J162" i="8"/>
  <c r="L162" i="8"/>
  <c r="J166" i="8"/>
  <c r="L166" i="8"/>
  <c r="J170" i="8"/>
  <c r="D38" i="11" s="1"/>
  <c r="L170" i="8"/>
  <c r="J174" i="8"/>
  <c r="L174" i="8"/>
  <c r="J178" i="8"/>
  <c r="L178" i="8"/>
  <c r="J182" i="8"/>
  <c r="L182" i="8"/>
  <c r="J186" i="8"/>
  <c r="D64" i="11" s="1"/>
  <c r="L186" i="8"/>
  <c r="J190" i="8"/>
  <c r="L190" i="8"/>
  <c r="J194" i="8"/>
  <c r="L194" i="8"/>
  <c r="J198" i="8"/>
  <c r="L198" i="8"/>
  <c r="J202" i="8"/>
  <c r="L202" i="8"/>
  <c r="J206" i="8"/>
  <c r="L206" i="8"/>
  <c r="J210" i="8"/>
  <c r="L210" i="8"/>
  <c r="J214" i="8"/>
  <c r="L214" i="8"/>
  <c r="J218" i="8"/>
  <c r="L218" i="8"/>
  <c r="J222" i="8"/>
  <c r="L222" i="8"/>
  <c r="J226" i="8"/>
  <c r="L226" i="8"/>
  <c r="J230" i="8"/>
  <c r="L230" i="8"/>
  <c r="J234" i="8"/>
  <c r="L234" i="8"/>
  <c r="J238" i="8"/>
  <c r="L238" i="8"/>
  <c r="J242" i="8"/>
  <c r="L242" i="8"/>
  <c r="J246" i="8"/>
  <c r="L246" i="8"/>
  <c r="J250" i="8"/>
  <c r="L250" i="8"/>
  <c r="J254" i="8"/>
  <c r="L254" i="8"/>
  <c r="J258" i="8"/>
  <c r="L258" i="8"/>
  <c r="J262" i="8"/>
  <c r="L262" i="8"/>
  <c r="J266" i="8"/>
  <c r="L266" i="8"/>
  <c r="J13" i="8"/>
  <c r="B96" i="11" s="1"/>
  <c r="F96" i="11" s="1"/>
  <c r="L13" i="8"/>
  <c r="J29" i="8"/>
  <c r="L29" i="8"/>
  <c r="J45" i="8"/>
  <c r="L45" i="8"/>
  <c r="L39" i="8"/>
  <c r="J57" i="8"/>
  <c r="L57" i="8"/>
  <c r="J77" i="8"/>
  <c r="L77" i="8"/>
  <c r="J93" i="8"/>
  <c r="L93" i="8"/>
  <c r="J109" i="8"/>
  <c r="L109" i="8"/>
  <c r="J121" i="8"/>
  <c r="L121" i="8"/>
  <c r="J133" i="8"/>
  <c r="L133" i="8"/>
  <c r="J145" i="8"/>
  <c r="L145" i="8"/>
  <c r="J157" i="8"/>
  <c r="L157" i="8"/>
  <c r="J173" i="8"/>
  <c r="L173" i="8"/>
  <c r="J185" i="8"/>
  <c r="L185" i="8"/>
  <c r="J197" i="8"/>
  <c r="L197" i="8"/>
  <c r="J213" i="8"/>
  <c r="L213" i="8"/>
  <c r="J261" i="8"/>
  <c r="L261" i="8"/>
  <c r="J6" i="8"/>
  <c r="L6" i="8"/>
  <c r="J18" i="8"/>
  <c r="L18" i="8"/>
  <c r="J26" i="8"/>
  <c r="L26" i="8"/>
  <c r="J38" i="8"/>
  <c r="L38" i="8"/>
  <c r="J46" i="8"/>
  <c r="L46" i="8"/>
  <c r="J54" i="8"/>
  <c r="L54" i="8"/>
  <c r="J66" i="8"/>
  <c r="L66" i="8"/>
  <c r="J74" i="8"/>
  <c r="L74" i="8"/>
  <c r="J86" i="8"/>
  <c r="L86" i="8"/>
  <c r="J94" i="8"/>
  <c r="L94" i="8"/>
  <c r="J102" i="8"/>
  <c r="L102" i="8"/>
  <c r="J114" i="8"/>
  <c r="L114" i="8"/>
  <c r="J3" i="8"/>
  <c r="J7" i="8"/>
  <c r="L7" i="8"/>
  <c r="J11" i="8"/>
  <c r="D45" i="11" s="1"/>
  <c r="L11" i="8"/>
  <c r="J15" i="8"/>
  <c r="L15" i="8"/>
  <c r="J19" i="8"/>
  <c r="L19" i="8"/>
  <c r="J23" i="8"/>
  <c r="L23" i="8"/>
  <c r="J27" i="8"/>
  <c r="L27" i="8"/>
  <c r="J31" i="8"/>
  <c r="L31" i="8"/>
  <c r="J35" i="8"/>
  <c r="L35" i="8"/>
  <c r="J43" i="8"/>
  <c r="L43" i="8"/>
  <c r="J47" i="8"/>
  <c r="L47" i="8"/>
  <c r="J51" i="8"/>
  <c r="L51" i="8"/>
  <c r="J55" i="8"/>
  <c r="D40" i="11" s="1"/>
  <c r="L55" i="8"/>
  <c r="J59" i="8"/>
  <c r="L59" i="8"/>
  <c r="J63" i="8"/>
  <c r="L63" i="8"/>
  <c r="J67" i="8"/>
  <c r="L67" i="8"/>
  <c r="J71" i="8"/>
  <c r="L71" i="8"/>
  <c r="J75" i="8"/>
  <c r="L75" i="8"/>
  <c r="J79" i="8"/>
  <c r="L79" i="8"/>
  <c r="J83" i="8"/>
  <c r="L83" i="8"/>
  <c r="J87" i="8"/>
  <c r="L87" i="8"/>
  <c r="J91" i="8"/>
  <c r="L91" i="8"/>
  <c r="J95" i="8"/>
  <c r="L95" i="8"/>
  <c r="J99" i="8"/>
  <c r="L99" i="8"/>
  <c r="J103" i="8"/>
  <c r="L103" i="8"/>
  <c r="J107" i="8"/>
  <c r="L107" i="8"/>
  <c r="J111" i="8"/>
  <c r="L111" i="8"/>
  <c r="J115" i="8"/>
  <c r="L115" i="8"/>
  <c r="J119" i="8"/>
  <c r="L119" i="8"/>
  <c r="J123" i="8"/>
  <c r="L123" i="8"/>
  <c r="J127" i="8"/>
  <c r="L127" i="8"/>
  <c r="J131" i="8"/>
  <c r="L131" i="8"/>
  <c r="J135" i="8"/>
  <c r="L135" i="8"/>
  <c r="J139" i="8"/>
  <c r="L139" i="8"/>
  <c r="J143" i="8"/>
  <c r="L143" i="8"/>
  <c r="J147" i="8"/>
  <c r="L147" i="8"/>
  <c r="J151" i="8"/>
  <c r="L151" i="8"/>
  <c r="J155" i="8"/>
  <c r="L155" i="8"/>
  <c r="J159" i="8"/>
  <c r="L159" i="8"/>
  <c r="J163" i="8"/>
  <c r="L163" i="8"/>
  <c r="J167" i="8"/>
  <c r="L167" i="8"/>
  <c r="J171" i="8"/>
  <c r="L171" i="8"/>
  <c r="J175" i="8"/>
  <c r="L175" i="8"/>
  <c r="J179" i="8"/>
  <c r="L179" i="8"/>
  <c r="J183" i="8"/>
  <c r="L183" i="8"/>
  <c r="J187" i="8"/>
  <c r="L187" i="8"/>
  <c r="J191" i="8"/>
  <c r="L191" i="8"/>
  <c r="J195" i="8"/>
  <c r="L195" i="8"/>
  <c r="J199" i="8"/>
  <c r="L199" i="8"/>
  <c r="J203" i="8"/>
  <c r="L203" i="8"/>
  <c r="J207" i="8"/>
  <c r="L207" i="8"/>
  <c r="J211" i="8"/>
  <c r="L211" i="8"/>
  <c r="J215" i="8"/>
  <c r="L215" i="8"/>
  <c r="J219" i="8"/>
  <c r="L219" i="8"/>
  <c r="J223" i="8"/>
  <c r="L223" i="8"/>
  <c r="J227" i="8"/>
  <c r="L227" i="8"/>
  <c r="J231" i="8"/>
  <c r="L231" i="8"/>
  <c r="J235" i="8"/>
  <c r="L235" i="8"/>
  <c r="J239" i="8"/>
  <c r="L239" i="8"/>
  <c r="J243" i="8"/>
  <c r="L243" i="8"/>
  <c r="J247" i="8"/>
  <c r="L247" i="8"/>
  <c r="J251" i="8"/>
  <c r="L251" i="8"/>
  <c r="J255" i="8"/>
  <c r="L255" i="8"/>
  <c r="J259" i="8"/>
  <c r="L259" i="8"/>
  <c r="J263" i="8"/>
  <c r="L263" i="8"/>
  <c r="J267" i="8"/>
  <c r="L267" i="8"/>
  <c r="J9" i="8"/>
  <c r="L9" i="8"/>
  <c r="J21" i="8"/>
  <c r="L21" i="8"/>
  <c r="J33" i="8"/>
  <c r="L33" i="8"/>
  <c r="J41" i="8"/>
  <c r="L41" i="8"/>
  <c r="J53" i="8"/>
  <c r="L52" i="8"/>
  <c r="L53" i="8"/>
  <c r="J65" i="8"/>
  <c r="L65" i="8"/>
  <c r="J69" i="8"/>
  <c r="L69" i="8"/>
  <c r="J81" i="8"/>
  <c r="L81" i="8"/>
  <c r="J97" i="8"/>
  <c r="L97" i="8"/>
  <c r="J101" i="8"/>
  <c r="L101" i="8"/>
  <c r="J113" i="8"/>
  <c r="L113" i="8"/>
  <c r="J125" i="8"/>
  <c r="L125" i="8"/>
  <c r="J141" i="8"/>
  <c r="L141" i="8"/>
  <c r="J153" i="8"/>
  <c r="L153" i="8"/>
  <c r="J169" i="8"/>
  <c r="L169" i="8"/>
  <c r="J181" i="8"/>
  <c r="L181" i="8"/>
  <c r="J193" i="8"/>
  <c r="L193" i="8"/>
  <c r="J205" i="8"/>
  <c r="L205" i="8"/>
  <c r="J221" i="8"/>
  <c r="L221" i="8"/>
  <c r="J229" i="8"/>
  <c r="L229" i="8"/>
  <c r="J237" i="8"/>
  <c r="L237" i="8"/>
  <c r="J245" i="8"/>
  <c r="L245" i="8"/>
  <c r="J253" i="8"/>
  <c r="L253" i="8"/>
  <c r="J257" i="8"/>
  <c r="L257" i="8"/>
  <c r="J10" i="8"/>
  <c r="L10" i="8"/>
  <c r="J30" i="8"/>
  <c r="L30" i="8"/>
  <c r="L4" i="8"/>
  <c r="J8" i="8"/>
  <c r="L8" i="8"/>
  <c r="J12" i="8"/>
  <c r="L12" i="8"/>
  <c r="J16" i="8"/>
  <c r="L16" i="8"/>
  <c r="J20" i="8"/>
  <c r="L20" i="8"/>
  <c r="J24" i="8"/>
  <c r="L24" i="8"/>
  <c r="J28" i="8"/>
  <c r="L28" i="8"/>
  <c r="J32" i="8"/>
  <c r="L32" i="8"/>
  <c r="J36" i="8"/>
  <c r="L36" i="8"/>
  <c r="J40" i="8"/>
  <c r="L40" i="8"/>
  <c r="J44" i="8"/>
  <c r="L44" i="8"/>
  <c r="J48" i="8"/>
  <c r="L48" i="8"/>
  <c r="J56" i="8"/>
  <c r="L56" i="8"/>
  <c r="J60" i="8"/>
  <c r="L60" i="8"/>
  <c r="J64" i="8"/>
  <c r="L64" i="8"/>
  <c r="J68" i="8"/>
  <c r="L68" i="8"/>
  <c r="J72" i="8"/>
  <c r="L72" i="8"/>
  <c r="J76" i="8"/>
  <c r="L76" i="8"/>
  <c r="J80" i="8"/>
  <c r="L80" i="8"/>
  <c r="J84" i="8"/>
  <c r="L84" i="8"/>
  <c r="J88" i="8"/>
  <c r="L88" i="8"/>
  <c r="J92" i="8"/>
  <c r="L92" i="8"/>
  <c r="J96" i="8"/>
  <c r="L96" i="8"/>
  <c r="J100" i="8"/>
  <c r="L100" i="8"/>
  <c r="J104" i="8"/>
  <c r="L104" i="8"/>
  <c r="J108" i="8"/>
  <c r="L108" i="8"/>
  <c r="J112" i="8"/>
  <c r="L112" i="8"/>
  <c r="J116" i="8"/>
  <c r="L116" i="8"/>
  <c r="J120" i="8"/>
  <c r="D43" i="11" s="1"/>
  <c r="L120" i="8"/>
  <c r="J124" i="8"/>
  <c r="L124" i="8"/>
  <c r="J128" i="8"/>
  <c r="L128" i="8"/>
  <c r="J132" i="8"/>
  <c r="L132" i="8"/>
  <c r="J136" i="8"/>
  <c r="L136" i="8"/>
  <c r="J140" i="8"/>
  <c r="L140" i="8"/>
  <c r="J144" i="8"/>
  <c r="L144" i="8"/>
  <c r="J148" i="8"/>
  <c r="L148" i="8"/>
  <c r="J152" i="8"/>
  <c r="L152" i="8"/>
  <c r="J156" i="8"/>
  <c r="L156" i="8"/>
  <c r="J160" i="8"/>
  <c r="L160" i="8"/>
  <c r="J164" i="8"/>
  <c r="L164" i="8"/>
  <c r="J168" i="8"/>
  <c r="L168" i="8"/>
  <c r="J172" i="8"/>
  <c r="L172" i="8"/>
  <c r="J176" i="8"/>
  <c r="L176" i="8"/>
  <c r="J180" i="8"/>
  <c r="L180" i="8"/>
  <c r="J184" i="8"/>
  <c r="L184" i="8"/>
  <c r="J188" i="8"/>
  <c r="L188" i="8"/>
  <c r="J192" i="8"/>
  <c r="L192" i="8"/>
  <c r="J196" i="8"/>
  <c r="L196" i="8"/>
  <c r="J200" i="8"/>
  <c r="L200" i="8"/>
  <c r="J204" i="8"/>
  <c r="L204" i="8"/>
  <c r="J208" i="8"/>
  <c r="L208" i="8"/>
  <c r="J212" i="8"/>
  <c r="L212" i="8"/>
  <c r="J216" i="8"/>
  <c r="D36" i="11" s="1"/>
  <c r="L216" i="8"/>
  <c r="J220" i="8"/>
  <c r="L220" i="8"/>
  <c r="J224" i="8"/>
  <c r="L224" i="8"/>
  <c r="J228" i="8"/>
  <c r="L228" i="8"/>
  <c r="J232" i="8"/>
  <c r="L232" i="8"/>
  <c r="J236" i="8"/>
  <c r="L236" i="8"/>
  <c r="J240" i="8"/>
  <c r="L240" i="8"/>
  <c r="J244" i="8"/>
  <c r="L244" i="8"/>
  <c r="J248" i="8"/>
  <c r="L248" i="8"/>
  <c r="J252" i="8"/>
  <c r="L252" i="8"/>
  <c r="J256" i="8"/>
  <c r="L256" i="8"/>
  <c r="J260" i="8"/>
  <c r="L260" i="8"/>
  <c r="J264" i="8"/>
  <c r="L264" i="8"/>
  <c r="J268" i="8"/>
  <c r="L268" i="8"/>
  <c r="B71" i="11"/>
  <c r="J4" i="8"/>
  <c r="D42" i="11"/>
  <c r="D46" i="11"/>
  <c r="D39" i="11"/>
  <c r="D47" i="11" l="1"/>
  <c r="D55" i="11"/>
  <c r="D44" i="11"/>
  <c r="D63" i="11"/>
  <c r="D58" i="11"/>
  <c r="D57" i="11"/>
  <c r="D59" i="11"/>
  <c r="D41" i="11"/>
  <c r="D60" i="11"/>
  <c r="D24" i="11"/>
  <c r="D20" i="11"/>
  <c r="D25" i="11"/>
  <c r="D92" i="11"/>
  <c r="E92" i="11" s="1"/>
  <c r="D93" i="11"/>
  <c r="E93" i="11" s="1"/>
  <c r="B94" i="11"/>
  <c r="C94" i="11" s="1"/>
  <c r="C96" i="11"/>
  <c r="D54" i="11"/>
  <c r="D23" i="11"/>
  <c r="B95" i="11"/>
  <c r="C95" i="11" s="1"/>
  <c r="D62" i="11"/>
  <c r="D28" i="11"/>
  <c r="D65" i="11"/>
  <c r="D22" i="11"/>
  <c r="D94" i="11"/>
  <c r="E94" i="11" s="1"/>
  <c r="D21" i="11"/>
  <c r="B93" i="11"/>
  <c r="C93" i="11" s="1"/>
  <c r="D29" i="11"/>
  <c r="D95" i="11"/>
  <c r="E95" i="11" s="1"/>
  <c r="D27" i="11"/>
  <c r="D26" i="11"/>
  <c r="D61" i="11"/>
  <c r="D30" i="11"/>
  <c r="D19" i="11"/>
  <c r="E96" i="11"/>
  <c r="B92" i="11"/>
  <c r="C92" i="11" s="1"/>
  <c r="F95" i="11" l="1"/>
  <c r="F93" i="11"/>
  <c r="F94" i="11"/>
  <c r="F92" i="11"/>
</calcChain>
</file>

<file path=xl/sharedStrings.xml><?xml version="1.0" encoding="utf-8"?>
<sst xmlns="http://schemas.openxmlformats.org/spreadsheetml/2006/main" count="2621" uniqueCount="757">
  <si>
    <t>CC</t>
  </si>
  <si>
    <t>F</t>
  </si>
  <si>
    <t>GRAJALES</t>
  </si>
  <si>
    <t>M</t>
  </si>
  <si>
    <t>ROJAS</t>
  </si>
  <si>
    <t>FERNANDEZ</t>
  </si>
  <si>
    <t>URIBE</t>
  </si>
  <si>
    <t>ALVAREZ</t>
  </si>
  <si>
    <t>HERNANDEZ</t>
  </si>
  <si>
    <t>ESTRADA</t>
  </si>
  <si>
    <t>BERRIO</t>
  </si>
  <si>
    <t>HURTADO</t>
  </si>
  <si>
    <t>GAVIRIA</t>
  </si>
  <si>
    <t>BEDOYA</t>
  </si>
  <si>
    <t>PEREZ</t>
  </si>
  <si>
    <t>SERNA</t>
  </si>
  <si>
    <t>Identificacion</t>
  </si>
  <si>
    <t>Edad</t>
  </si>
  <si>
    <t>Sexo</t>
  </si>
  <si>
    <t>TIPO DE CONSULTA</t>
  </si>
  <si>
    <t>FechaNacimiento</t>
  </si>
  <si>
    <t>Especialidad</t>
  </si>
  <si>
    <t>pago por consulta</t>
  </si>
  <si>
    <t>SANCHEZ</t>
  </si>
  <si>
    <t>SALDARRIAGA</t>
  </si>
  <si>
    <t>RC</t>
  </si>
  <si>
    <t>CONSULTA DE URGENCIAS, POR MEDICINA ESPECIALIZADA</t>
  </si>
  <si>
    <t>Cirugia General</t>
  </si>
  <si>
    <t>GIRALDO</t>
  </si>
  <si>
    <t>CONSULTA DE CONTROL O DE SEGUIMIENTO POR MEDICINA ESPECIALIZADA</t>
  </si>
  <si>
    <t>ARROYAVE</t>
  </si>
  <si>
    <t>ARREDONDO</t>
  </si>
  <si>
    <t>Pediatria</t>
  </si>
  <si>
    <t>PULGARIN</t>
  </si>
  <si>
    <t>GOMEZ</t>
  </si>
  <si>
    <t>CONSULTA DE URGENCIAS, POR MEDICINA GENERAL</t>
  </si>
  <si>
    <t>Medicina General</t>
  </si>
  <si>
    <t>OCHOA</t>
  </si>
  <si>
    <t>LONDO?O</t>
  </si>
  <si>
    <t>DUARTE</t>
  </si>
  <si>
    <t>BURGOS</t>
  </si>
  <si>
    <t>VELEZ</t>
  </si>
  <si>
    <t>ORTIZ</t>
  </si>
  <si>
    <t>TOBON</t>
  </si>
  <si>
    <t>DAVID</t>
  </si>
  <si>
    <t>CONSULTA DE PRIMERA VEZ POR MEDICINA ESPECIALIZADA (322)</t>
  </si>
  <si>
    <t>Anestesiologia</t>
  </si>
  <si>
    <t>CIRO</t>
  </si>
  <si>
    <t>PARRA</t>
  </si>
  <si>
    <t>CALLE</t>
  </si>
  <si>
    <t>Otorrinolaringologia</t>
  </si>
  <si>
    <t>SARABIA</t>
  </si>
  <si>
    <t>Urologia</t>
  </si>
  <si>
    <t>GIL</t>
  </si>
  <si>
    <t>YARCE</t>
  </si>
  <si>
    <t>INTERCONSULTA POR MEDICINA ESPECIALIZADA</t>
  </si>
  <si>
    <t>1000643576</t>
  </si>
  <si>
    <t>RUIZ</t>
  </si>
  <si>
    <t>1000870382</t>
  </si>
  <si>
    <t>ZAPATA</t>
  </si>
  <si>
    <t>SIERRA</t>
  </si>
  <si>
    <t>Ortopedia Y Traumatologia</t>
  </si>
  <si>
    <t>HENAO</t>
  </si>
  <si>
    <t>ARBOLEDA</t>
  </si>
  <si>
    <t>1000870623</t>
  </si>
  <si>
    <t>1001233324</t>
  </si>
  <si>
    <t>AGUDELO</t>
  </si>
  <si>
    <t>CASTA?O</t>
  </si>
  <si>
    <t>10014118002</t>
  </si>
  <si>
    <t>MARTINEZ</t>
  </si>
  <si>
    <t>1007241768</t>
  </si>
  <si>
    <t>OCAMPO</t>
  </si>
  <si>
    <t>1011395503</t>
  </si>
  <si>
    <t>ARANGO</t>
  </si>
  <si>
    <t>LOPEZ</t>
  </si>
  <si>
    <t>1013339036</t>
  </si>
  <si>
    <t>CORRALES</t>
  </si>
  <si>
    <t>BECERRA</t>
  </si>
  <si>
    <t>1017165337</t>
  </si>
  <si>
    <t>VACA</t>
  </si>
  <si>
    <t>URREGO</t>
  </si>
  <si>
    <t>MS</t>
  </si>
  <si>
    <t>1017922551</t>
  </si>
  <si>
    <t>FRANCO</t>
  </si>
  <si>
    <t>DURANGO</t>
  </si>
  <si>
    <t>1017927569</t>
  </si>
  <si>
    <t>VILLADA</t>
  </si>
  <si>
    <t>1017930531</t>
  </si>
  <si>
    <t>1017931473</t>
  </si>
  <si>
    <t>MONTOYA</t>
  </si>
  <si>
    <t>1017931537</t>
  </si>
  <si>
    <t>QUINTERO</t>
  </si>
  <si>
    <t>MONSALVE</t>
  </si>
  <si>
    <t>ESPINOSA</t>
  </si>
  <si>
    <t>HIGUITA</t>
  </si>
  <si>
    <t>1018224344</t>
  </si>
  <si>
    <t>RENDON</t>
  </si>
  <si>
    <t>1018234151</t>
  </si>
  <si>
    <t>METAUTE</t>
  </si>
  <si>
    <t>SUAREZ</t>
  </si>
  <si>
    <t>1020108733</t>
  </si>
  <si>
    <t>1020115721</t>
  </si>
  <si>
    <t>1023623787</t>
  </si>
  <si>
    <t>CASTA?EDA</t>
  </si>
  <si>
    <t>CARDONA</t>
  </si>
  <si>
    <t>1023624963</t>
  </si>
  <si>
    <t>1023626245</t>
  </si>
  <si>
    <t>BONILLA</t>
  </si>
  <si>
    <t>SALCEDO</t>
  </si>
  <si>
    <t>1023626859</t>
  </si>
  <si>
    <t>MEJIA</t>
  </si>
  <si>
    <t>1023630084</t>
  </si>
  <si>
    <t>RESTREPO</t>
  </si>
  <si>
    <t>VILLA</t>
  </si>
  <si>
    <t>1023630516</t>
  </si>
  <si>
    <t>NAVARRO</t>
  </si>
  <si>
    <t>1023630606</t>
  </si>
  <si>
    <t>1023630955</t>
  </si>
  <si>
    <t>DIAZ</t>
  </si>
  <si>
    <t>VASQUEZ</t>
  </si>
  <si>
    <t>1023631446</t>
  </si>
  <si>
    <t>TAMAYO</t>
  </si>
  <si>
    <t>1023631790</t>
  </si>
  <si>
    <t>LOAIZA</t>
  </si>
  <si>
    <t>1023631993</t>
  </si>
  <si>
    <t>TRUJILLO</t>
  </si>
  <si>
    <t>1023632127</t>
  </si>
  <si>
    <t>1023632536</t>
  </si>
  <si>
    <t>1023634629</t>
  </si>
  <si>
    <t>Dermatologia</t>
  </si>
  <si>
    <t>GALVIS</t>
  </si>
  <si>
    <t>1025645327</t>
  </si>
  <si>
    <t>MORENO</t>
  </si>
  <si>
    <t>1025651768</t>
  </si>
  <si>
    <t>FERREIRA</t>
  </si>
  <si>
    <t>1025652562</t>
  </si>
  <si>
    <t>PECERRA</t>
  </si>
  <si>
    <t>1027741152</t>
  </si>
  <si>
    <t>MAYA</t>
  </si>
  <si>
    <t>1035222726</t>
  </si>
  <si>
    <t>JARAMILLO</t>
  </si>
  <si>
    <t>1035975503</t>
  </si>
  <si>
    <t>Cirugia Pediatrica</t>
  </si>
  <si>
    <t>1128281539</t>
  </si>
  <si>
    <t>AREIZA</t>
  </si>
  <si>
    <t>SALAZAR</t>
  </si>
  <si>
    <t>1128450476</t>
  </si>
  <si>
    <t>SISQUIARCO</t>
  </si>
  <si>
    <t>GRISALES</t>
  </si>
  <si>
    <t>1130704293</t>
  </si>
  <si>
    <t>MORALES</t>
  </si>
  <si>
    <t>12690261</t>
  </si>
  <si>
    <t>CARMONA</t>
  </si>
  <si>
    <t>153394</t>
  </si>
  <si>
    <t>HINCAPIE</t>
  </si>
  <si>
    <t>GRANDA</t>
  </si>
  <si>
    <t>15610573</t>
  </si>
  <si>
    <t>VELASQUEZ</t>
  </si>
  <si>
    <t>21283786</t>
  </si>
  <si>
    <t>OSORIO</t>
  </si>
  <si>
    <t>21298028</t>
  </si>
  <si>
    <t>BOTERO</t>
  </si>
  <si>
    <t>ARIAS</t>
  </si>
  <si>
    <t>21303599</t>
  </si>
  <si>
    <t>21314918</t>
  </si>
  <si>
    <t>OQUENDO</t>
  </si>
  <si>
    <t>21317025</t>
  </si>
  <si>
    <t>TORRES</t>
  </si>
  <si>
    <t>RODRIGUEZ</t>
  </si>
  <si>
    <t>21335095</t>
  </si>
  <si>
    <t>NEFROLOGIA PEDIATRICA</t>
  </si>
  <si>
    <t>21341133</t>
  </si>
  <si>
    <t>ZABALA OK06</t>
  </si>
  <si>
    <t>CALLEJAS</t>
  </si>
  <si>
    <t>21351904</t>
  </si>
  <si>
    <t>OLAYA</t>
  </si>
  <si>
    <t>LORA</t>
  </si>
  <si>
    <t>21362165</t>
  </si>
  <si>
    <t>PELAEZ</t>
  </si>
  <si>
    <t>21379031</t>
  </si>
  <si>
    <t>21393866</t>
  </si>
  <si>
    <t>21409124</t>
  </si>
  <si>
    <t>CHARRIS</t>
  </si>
  <si>
    <t>21409221</t>
  </si>
  <si>
    <t>AMAYA</t>
  </si>
  <si>
    <t>21413200</t>
  </si>
  <si>
    <t>ALCARAZ</t>
  </si>
  <si>
    <t>21439591</t>
  </si>
  <si>
    <t>Cardiovascular</t>
  </si>
  <si>
    <t>MARIN</t>
  </si>
  <si>
    <t>FLOREZ</t>
  </si>
  <si>
    <t>21446814</t>
  </si>
  <si>
    <t>JIMENEZ</t>
  </si>
  <si>
    <t>21467511</t>
  </si>
  <si>
    <t>SOSA</t>
  </si>
  <si>
    <t>MARQUEZ</t>
  </si>
  <si>
    <t>21535241</t>
  </si>
  <si>
    <t>DUQUE</t>
  </si>
  <si>
    <t>PINEDA</t>
  </si>
  <si>
    <t>21535726</t>
  </si>
  <si>
    <t>AGUIRRE</t>
  </si>
  <si>
    <t>21538062</t>
  </si>
  <si>
    <t>21598438</t>
  </si>
  <si>
    <t>21605515</t>
  </si>
  <si>
    <t>CAMPO</t>
  </si>
  <si>
    <t>21649294</t>
  </si>
  <si>
    <t>TAMANIS</t>
  </si>
  <si>
    <t>21652970</t>
  </si>
  <si>
    <t>VALENCIA</t>
  </si>
  <si>
    <t>21724247</t>
  </si>
  <si>
    <t>21733171</t>
  </si>
  <si>
    <t>CASTRILLON</t>
  </si>
  <si>
    <t>CAMACHO</t>
  </si>
  <si>
    <t>21768278</t>
  </si>
  <si>
    <t>YEPEZ</t>
  </si>
  <si>
    <t>21773556</t>
  </si>
  <si>
    <t>21804958</t>
  </si>
  <si>
    <t>MU?OZ</t>
  </si>
  <si>
    <t>GUARIN</t>
  </si>
  <si>
    <t>21834829</t>
  </si>
  <si>
    <t>PETE</t>
  </si>
  <si>
    <t>21835798</t>
  </si>
  <si>
    <t>BETANCUR</t>
  </si>
  <si>
    <t>NIETO</t>
  </si>
  <si>
    <t>21995444</t>
  </si>
  <si>
    <t>BURITICA</t>
  </si>
  <si>
    <t>22098708</t>
  </si>
  <si>
    <t>22101619</t>
  </si>
  <si>
    <t>VALLE</t>
  </si>
  <si>
    <t>SEPULVEDA</t>
  </si>
  <si>
    <t>24469356</t>
  </si>
  <si>
    <t>CIFUENTES</t>
  </si>
  <si>
    <t>MONCADA</t>
  </si>
  <si>
    <t>24832607</t>
  </si>
  <si>
    <t>NI?O</t>
  </si>
  <si>
    <t>CHACON</t>
  </si>
  <si>
    <t>26923896</t>
  </si>
  <si>
    <t>27152884</t>
  </si>
  <si>
    <t>27796730</t>
  </si>
  <si>
    <t>SALAZAAR</t>
  </si>
  <si>
    <t>28017390</t>
  </si>
  <si>
    <t>PATI?O</t>
  </si>
  <si>
    <t>LENIS</t>
  </si>
  <si>
    <t>29276866</t>
  </si>
  <si>
    <t>ARISTIZABAL</t>
  </si>
  <si>
    <t>29531835</t>
  </si>
  <si>
    <t>RAMIREZ</t>
  </si>
  <si>
    <t>30224633</t>
  </si>
  <si>
    <t>30239769</t>
  </si>
  <si>
    <t>CHAVARRIAGA</t>
  </si>
  <si>
    <t>30357114</t>
  </si>
  <si>
    <t>30553307</t>
  </si>
  <si>
    <t>30654532</t>
  </si>
  <si>
    <t>RUIDIAZ</t>
  </si>
  <si>
    <t>CAMARGO</t>
  </si>
  <si>
    <t>31992484</t>
  </si>
  <si>
    <t>ALCALDE</t>
  </si>
  <si>
    <t>32018067</t>
  </si>
  <si>
    <t>HOYOS</t>
  </si>
  <si>
    <t>32075654</t>
  </si>
  <si>
    <t>32109063</t>
  </si>
  <si>
    <t>SEGURO</t>
  </si>
  <si>
    <t>TOBIAS</t>
  </si>
  <si>
    <t>32308024</t>
  </si>
  <si>
    <t>32342918</t>
  </si>
  <si>
    <t>32345625</t>
  </si>
  <si>
    <t>MOLINA</t>
  </si>
  <si>
    <t>PASSOS</t>
  </si>
  <si>
    <t>32399710</t>
  </si>
  <si>
    <t>32400993</t>
  </si>
  <si>
    <t>32408770</t>
  </si>
  <si>
    <t>32413487</t>
  </si>
  <si>
    <t>Nefrologia</t>
  </si>
  <si>
    <t>32444884</t>
  </si>
  <si>
    <t>Cirugia Plastica Maxilofacial</t>
  </si>
  <si>
    <t>QUIROZ</t>
  </si>
  <si>
    <t>32455615</t>
  </si>
  <si>
    <t>32457173</t>
  </si>
  <si>
    <t>RIOS</t>
  </si>
  <si>
    <t>32461460</t>
  </si>
  <si>
    <t>VIANA</t>
  </si>
  <si>
    <t>USUGA</t>
  </si>
  <si>
    <t>32486543</t>
  </si>
  <si>
    <t>ESPINAL</t>
  </si>
  <si>
    <t>32488384</t>
  </si>
  <si>
    <t>32520569</t>
  </si>
  <si>
    <t>33038259</t>
  </si>
  <si>
    <t>MESA</t>
  </si>
  <si>
    <t>3304902</t>
  </si>
  <si>
    <t>Oftalmologia</t>
  </si>
  <si>
    <t>URUETA</t>
  </si>
  <si>
    <t>33060729</t>
  </si>
  <si>
    <t>3306558</t>
  </si>
  <si>
    <t>MERCHAN</t>
  </si>
  <si>
    <t>33088914</t>
  </si>
  <si>
    <t>DE HOYOS</t>
  </si>
  <si>
    <t>33132883</t>
  </si>
  <si>
    <t>BORJA</t>
  </si>
  <si>
    <t>33287713</t>
  </si>
  <si>
    <t>BOHORQUEZ</t>
  </si>
  <si>
    <t>GARCIA</t>
  </si>
  <si>
    <t>TI</t>
  </si>
  <si>
    <t>3331174</t>
  </si>
  <si>
    <t>3331552</t>
  </si>
  <si>
    <t>3341032</t>
  </si>
  <si>
    <t>3345797</t>
  </si>
  <si>
    <t>CORREA</t>
  </si>
  <si>
    <t>3358914</t>
  </si>
  <si>
    <t>3372470</t>
  </si>
  <si>
    <t>OSPINA</t>
  </si>
  <si>
    <t>33987437</t>
  </si>
  <si>
    <t>ERAZO</t>
  </si>
  <si>
    <t>3471812</t>
  </si>
  <si>
    <t>Neurocirugia</t>
  </si>
  <si>
    <t>MENA</t>
  </si>
  <si>
    <t>34969847</t>
  </si>
  <si>
    <t>34969890</t>
  </si>
  <si>
    <t>FLORES</t>
  </si>
  <si>
    <t>ALZATE</t>
  </si>
  <si>
    <t>35154665</t>
  </si>
  <si>
    <t>35204465</t>
  </si>
  <si>
    <t>ORLAS</t>
  </si>
  <si>
    <t>35292341</t>
  </si>
  <si>
    <t>35352268</t>
  </si>
  <si>
    <t>MAZO</t>
  </si>
  <si>
    <t>35379111</t>
  </si>
  <si>
    <t>BENJUMEA</t>
  </si>
  <si>
    <t>CORTES</t>
  </si>
  <si>
    <t>35420173</t>
  </si>
  <si>
    <t>ATEHORTUA</t>
  </si>
  <si>
    <t>MENESES</t>
  </si>
  <si>
    <t>35420546</t>
  </si>
  <si>
    <t>3620687</t>
  </si>
  <si>
    <t>ORTEGA</t>
  </si>
  <si>
    <t>3658718</t>
  </si>
  <si>
    <t>BILBAO</t>
  </si>
  <si>
    <t>CORDOBA</t>
  </si>
  <si>
    <t>36931969</t>
  </si>
  <si>
    <t>36940045</t>
  </si>
  <si>
    <t>37192805</t>
  </si>
  <si>
    <t>DELGADO</t>
  </si>
  <si>
    <t>37281727</t>
  </si>
  <si>
    <t>GONZALEZ</t>
  </si>
  <si>
    <t>37375500</t>
  </si>
  <si>
    <t>CATA?O</t>
  </si>
  <si>
    <t>37526646</t>
  </si>
  <si>
    <t>CARDENAS</t>
  </si>
  <si>
    <t>37576130</t>
  </si>
  <si>
    <t>39204619</t>
  </si>
  <si>
    <t>GOEZ</t>
  </si>
  <si>
    <t>39204640</t>
  </si>
  <si>
    <t>39350663</t>
  </si>
  <si>
    <t>39381077</t>
  </si>
  <si>
    <t>39412464</t>
  </si>
  <si>
    <t>40093434</t>
  </si>
  <si>
    <t>40093932</t>
  </si>
  <si>
    <t>POSADA</t>
  </si>
  <si>
    <t>AYALA</t>
  </si>
  <si>
    <t>40281021</t>
  </si>
  <si>
    <t>40282224</t>
  </si>
  <si>
    <t>40455579</t>
  </si>
  <si>
    <t>HERRERA</t>
  </si>
  <si>
    <t>42871658</t>
  </si>
  <si>
    <t>42987180</t>
  </si>
  <si>
    <t>43003354</t>
  </si>
  <si>
    <t>ECHEVERRI</t>
  </si>
  <si>
    <t>43005915</t>
  </si>
  <si>
    <t>VAHOS</t>
  </si>
  <si>
    <t>43029617</t>
  </si>
  <si>
    <t>UPEGUI</t>
  </si>
  <si>
    <t>43045194</t>
  </si>
  <si>
    <t>BAENA</t>
  </si>
  <si>
    <t>43056162</t>
  </si>
  <si>
    <t>43086138</t>
  </si>
  <si>
    <t>43098242</t>
  </si>
  <si>
    <t>ASPRILLA</t>
  </si>
  <si>
    <t>43200018</t>
  </si>
  <si>
    <t>43263564</t>
  </si>
  <si>
    <t>43524513</t>
  </si>
  <si>
    <t>43525285</t>
  </si>
  <si>
    <t>43553223</t>
  </si>
  <si>
    <t>PALACIOS</t>
  </si>
  <si>
    <t>43567683</t>
  </si>
  <si>
    <t>CUADRADO</t>
  </si>
  <si>
    <t>VALDES</t>
  </si>
  <si>
    <t>43570595</t>
  </si>
  <si>
    <t>SERRANO</t>
  </si>
  <si>
    <t>43575491</t>
  </si>
  <si>
    <t>CUBIDES</t>
  </si>
  <si>
    <t>43591418</t>
  </si>
  <si>
    <t>RAMOS</t>
  </si>
  <si>
    <t>43748759</t>
  </si>
  <si>
    <t>GALLEGO</t>
  </si>
  <si>
    <t>43794374</t>
  </si>
  <si>
    <t>43811601</t>
  </si>
  <si>
    <t>43837362</t>
  </si>
  <si>
    <t>FIGUEROA</t>
  </si>
  <si>
    <t>4462053</t>
  </si>
  <si>
    <t>4592937</t>
  </si>
  <si>
    <t>4792999</t>
  </si>
  <si>
    <t>503863</t>
  </si>
  <si>
    <t>537681</t>
  </si>
  <si>
    <t>ESCOBAR</t>
  </si>
  <si>
    <t>552744</t>
  </si>
  <si>
    <t>GUTIERREZ</t>
  </si>
  <si>
    <t>553366</t>
  </si>
  <si>
    <t>661597</t>
  </si>
  <si>
    <t>6876618</t>
  </si>
  <si>
    <t>691686</t>
  </si>
  <si>
    <t>RENTERIA</t>
  </si>
  <si>
    <t>SANABRIA</t>
  </si>
  <si>
    <t>70050882</t>
  </si>
  <si>
    <t>ZULUAGA</t>
  </si>
  <si>
    <t>DE MARIN</t>
  </si>
  <si>
    <t>70056256</t>
  </si>
  <si>
    <t>70080078</t>
  </si>
  <si>
    <t>70097147</t>
  </si>
  <si>
    <t>701535</t>
  </si>
  <si>
    <t>70564571</t>
  </si>
  <si>
    <t>CADAVID</t>
  </si>
  <si>
    <t>70877125</t>
  </si>
  <si>
    <t>ORREGO</t>
  </si>
  <si>
    <t>BENITEZ</t>
  </si>
  <si>
    <t>71589330</t>
  </si>
  <si>
    <t>71595452</t>
  </si>
  <si>
    <t>71639297</t>
  </si>
  <si>
    <t>71696519</t>
  </si>
  <si>
    <t>71699183</t>
  </si>
  <si>
    <t>71722499</t>
  </si>
  <si>
    <t>71944312</t>
  </si>
  <si>
    <t>8213548</t>
  </si>
  <si>
    <t>90071258377</t>
  </si>
  <si>
    <t>JULIO</t>
  </si>
  <si>
    <t>90080859340</t>
  </si>
  <si>
    <t>90092871656</t>
  </si>
  <si>
    <t>91091204687</t>
  </si>
  <si>
    <t>Medicina Interna</t>
  </si>
  <si>
    <t>92062526299</t>
  </si>
  <si>
    <t>93092432619</t>
  </si>
  <si>
    <t>ARICAPA</t>
  </si>
  <si>
    <t>93092601003</t>
  </si>
  <si>
    <t>CASTRO</t>
  </si>
  <si>
    <t>93111700387</t>
  </si>
  <si>
    <t>94090124824</t>
  </si>
  <si>
    <t>94100927556</t>
  </si>
  <si>
    <t>94112314185</t>
  </si>
  <si>
    <t>CABEZAS</t>
  </si>
  <si>
    <t>CEFERINO</t>
  </si>
  <si>
    <t>95011322140</t>
  </si>
  <si>
    <t>95020216183</t>
  </si>
  <si>
    <t>95030623150</t>
  </si>
  <si>
    <t>RAVE</t>
  </si>
  <si>
    <t>95050514898</t>
  </si>
  <si>
    <t>ARAQUE</t>
  </si>
  <si>
    <t>95050921698</t>
  </si>
  <si>
    <t>95053023240</t>
  </si>
  <si>
    <t>95071318762</t>
  </si>
  <si>
    <t>95071520707</t>
  </si>
  <si>
    <t>95100517982</t>
  </si>
  <si>
    <t>96010418639</t>
  </si>
  <si>
    <t>96021616912</t>
  </si>
  <si>
    <t>IBARRA</t>
  </si>
  <si>
    <t>96040417564</t>
  </si>
  <si>
    <t>NARVAEZ</t>
  </si>
  <si>
    <t>96060716282</t>
  </si>
  <si>
    <t>96062115960</t>
  </si>
  <si>
    <t>BERMUDEZ</t>
  </si>
  <si>
    <t>96110204768</t>
  </si>
  <si>
    <t>TRIVI?O</t>
  </si>
  <si>
    <t>96121813790</t>
  </si>
  <si>
    <t>97011313411</t>
  </si>
  <si>
    <t>PIEDRAHITA</t>
  </si>
  <si>
    <t>97012609772</t>
  </si>
  <si>
    <t>OSSA</t>
  </si>
  <si>
    <t>97031309291</t>
  </si>
  <si>
    <t>97041613835</t>
  </si>
  <si>
    <t>MORA</t>
  </si>
  <si>
    <t>97042420976</t>
  </si>
  <si>
    <t>97050207742</t>
  </si>
  <si>
    <t>CORPA</t>
  </si>
  <si>
    <t>98012757549</t>
  </si>
  <si>
    <t>98020260874</t>
  </si>
  <si>
    <t>BLANDON</t>
  </si>
  <si>
    <t>YANES</t>
  </si>
  <si>
    <t>98031252245</t>
  </si>
  <si>
    <t>98031454085</t>
  </si>
  <si>
    <t>OLARTE</t>
  </si>
  <si>
    <t>98032262279</t>
  </si>
  <si>
    <t>98042560405</t>
  </si>
  <si>
    <t>98073054508</t>
  </si>
  <si>
    <t>QUINTANA</t>
  </si>
  <si>
    <t>98101503267</t>
  </si>
  <si>
    <t>BUSTAMANTE</t>
  </si>
  <si>
    <t>98102166990</t>
  </si>
  <si>
    <t>98102355270</t>
  </si>
  <si>
    <t>98112709185</t>
  </si>
  <si>
    <t>MOSQUERA</t>
  </si>
  <si>
    <t>98564683</t>
  </si>
  <si>
    <t>99050902656</t>
  </si>
  <si>
    <t>99070602764</t>
  </si>
  <si>
    <t>99072610586</t>
  </si>
  <si>
    <t>99082403864</t>
  </si>
  <si>
    <t>ARISMENDI</t>
  </si>
  <si>
    <t>99092009315</t>
  </si>
  <si>
    <t>Primer Apellido</t>
  </si>
  <si>
    <t>Segundo Apellido</t>
  </si>
  <si>
    <t>Tipo Identificacion</t>
  </si>
  <si>
    <t>1000643564</t>
  </si>
  <si>
    <t>1000643565</t>
  </si>
  <si>
    <t>1000643566</t>
  </si>
  <si>
    <t>1000643567</t>
  </si>
  <si>
    <t>1000643568</t>
  </si>
  <si>
    <t>1000643569</t>
  </si>
  <si>
    <t>1000643570</t>
  </si>
  <si>
    <t>1000643571</t>
  </si>
  <si>
    <t>1000643572</t>
  </si>
  <si>
    <t>1000643573</t>
  </si>
  <si>
    <t>1000643574</t>
  </si>
  <si>
    <t>1000643575</t>
  </si>
  <si>
    <t xml:space="preserve">VALENTINA </t>
  </si>
  <si>
    <t xml:space="preserve">SANTIAGO </t>
  </si>
  <si>
    <t>MARIA ISABEL</t>
  </si>
  <si>
    <t xml:space="preserve">JOHNATAN </t>
  </si>
  <si>
    <t>JULIAN ANDRES</t>
  </si>
  <si>
    <t xml:space="preserve">SAMUEL </t>
  </si>
  <si>
    <t xml:space="preserve">SEBASTIAN </t>
  </si>
  <si>
    <t>DAVID ALEJANDRO</t>
  </si>
  <si>
    <t>MIGUEL ANGEL</t>
  </si>
  <si>
    <t xml:space="preserve">MANUELA </t>
  </si>
  <si>
    <t xml:space="preserve">SUSANA </t>
  </si>
  <si>
    <t xml:space="preserve">MARIANA </t>
  </si>
  <si>
    <t>MARIA DEL MAR</t>
  </si>
  <si>
    <t xml:space="preserve">ELIZABETH </t>
  </si>
  <si>
    <t xml:space="preserve">JULIANA </t>
  </si>
  <si>
    <t>MARIA ISABELA</t>
  </si>
  <si>
    <t xml:space="preserve">XIEMENA </t>
  </si>
  <si>
    <t xml:space="preserve">JACOBO </t>
  </si>
  <si>
    <t xml:space="preserve">JJEFFRY </t>
  </si>
  <si>
    <t>WENDY YADALY</t>
  </si>
  <si>
    <t>CRISTIAN DAVID</t>
  </si>
  <si>
    <t>HIJO DE CINDY VANESSA</t>
  </si>
  <si>
    <t>YULLY DANIELA</t>
  </si>
  <si>
    <t xml:space="preserve">ESTEFANIA </t>
  </si>
  <si>
    <t>WILMER DARNEY</t>
  </si>
  <si>
    <t>DANIEL GIOVANNY</t>
  </si>
  <si>
    <t>LAURA ISABEL</t>
  </si>
  <si>
    <t>MARTIN EDUARDO</t>
  </si>
  <si>
    <t xml:space="preserve">TOMAS </t>
  </si>
  <si>
    <t xml:space="preserve">NATALIA </t>
  </si>
  <si>
    <t>JUAN FELIPE</t>
  </si>
  <si>
    <t>VICTOR MANUEL</t>
  </si>
  <si>
    <t>JHONNY ALEXANDER</t>
  </si>
  <si>
    <t>DEINY MANUELA</t>
  </si>
  <si>
    <t>DIANA ANGEL</t>
  </si>
  <si>
    <t xml:space="preserve">VANESA </t>
  </si>
  <si>
    <t xml:space="preserve">EMMANUEL </t>
  </si>
  <si>
    <t xml:space="preserve">EVELIN </t>
  </si>
  <si>
    <t xml:space="preserve">JESSICA </t>
  </si>
  <si>
    <t xml:space="preserve">ISABELLA </t>
  </si>
  <si>
    <t xml:space="preserve">DAVID </t>
  </si>
  <si>
    <t>BLANCA XIMENA</t>
  </si>
  <si>
    <t>XIOMARA PAULINA</t>
  </si>
  <si>
    <t xml:space="preserve">SARA </t>
  </si>
  <si>
    <t>MAYRA ALEJANDRA</t>
  </si>
  <si>
    <t>AIDITH YANDIRIA</t>
  </si>
  <si>
    <t xml:space="preserve">JERONIMO </t>
  </si>
  <si>
    <t xml:space="preserve">MANUEL </t>
  </si>
  <si>
    <t xml:space="preserve">ISABEL </t>
  </si>
  <si>
    <t>JUAN CAMILO</t>
  </si>
  <si>
    <t>KEVIN ANDRES</t>
  </si>
  <si>
    <t>JOSE MIGUEL</t>
  </si>
  <si>
    <t>MARIA SALOME</t>
  </si>
  <si>
    <t>MARIA CAMILA</t>
  </si>
  <si>
    <t>KARLA MIRETH</t>
  </si>
  <si>
    <t xml:space="preserve">STEFANY </t>
  </si>
  <si>
    <t xml:space="preserve">VALERIA </t>
  </si>
  <si>
    <t xml:space="preserve">ISABELA </t>
  </si>
  <si>
    <t>YESSICA (HIJO - HIJO</t>
  </si>
  <si>
    <t xml:space="preserve">XIOMARA </t>
  </si>
  <si>
    <t>ANA ETELVINA</t>
  </si>
  <si>
    <t>JUAN MANUEL</t>
  </si>
  <si>
    <t>ALEXANDRA PAOLA</t>
  </si>
  <si>
    <t>LUIS MIGUEL</t>
  </si>
  <si>
    <t>JUAN JOSE</t>
  </si>
  <si>
    <t xml:space="preserve">JUAN </t>
  </si>
  <si>
    <t xml:space="preserve">ANDERSON </t>
  </si>
  <si>
    <t xml:space="preserve">MATEO </t>
  </si>
  <si>
    <t xml:space="preserve">VERONICA </t>
  </si>
  <si>
    <t xml:space="preserve">YHORINDEL </t>
  </si>
  <si>
    <t xml:space="preserve">NICOLLE </t>
  </si>
  <si>
    <t xml:space="preserve">ALEXIS </t>
  </si>
  <si>
    <t xml:space="preserve">ANDRES </t>
  </si>
  <si>
    <t>JUAN PABLO</t>
  </si>
  <si>
    <t>LAURA VALENTINA</t>
  </si>
  <si>
    <t xml:space="preserve">MIGUEL </t>
  </si>
  <si>
    <t xml:space="preserve">GERALDI </t>
  </si>
  <si>
    <t>LEIDY VANESSA</t>
  </si>
  <si>
    <t xml:space="preserve">SAMARA </t>
  </si>
  <si>
    <t xml:space="preserve">DIEGO </t>
  </si>
  <si>
    <t xml:space="preserve">SOFIA </t>
  </si>
  <si>
    <t>ESTEBAN XXXXXXX</t>
  </si>
  <si>
    <t>MARIA PAULA</t>
  </si>
  <si>
    <t xml:space="preserve">JACOB </t>
  </si>
  <si>
    <t xml:space="preserve">YEISON </t>
  </si>
  <si>
    <t>DANNA NIKOLE</t>
  </si>
  <si>
    <t>SARA INES</t>
  </si>
  <si>
    <t>DIEGO ALEJANDRO</t>
  </si>
  <si>
    <t xml:space="preserve">NICOLAS </t>
  </si>
  <si>
    <t>MANUEL ESTEBAN</t>
  </si>
  <si>
    <t>JOSE DAVID</t>
  </si>
  <si>
    <t>WILMER YOSMAN</t>
  </si>
  <si>
    <t>MARIA CATALINA</t>
  </si>
  <si>
    <t>ANGEL MIGUEL</t>
  </si>
  <si>
    <t>JORGE EDUARDO</t>
  </si>
  <si>
    <t xml:space="preserve">DANIEL </t>
  </si>
  <si>
    <t>LAURA SOFIA</t>
  </si>
  <si>
    <t>LUIS MATEO</t>
  </si>
  <si>
    <t xml:space="preserve">VANESSA </t>
  </si>
  <si>
    <t xml:space="preserve">DEIBY </t>
  </si>
  <si>
    <t>LUISA FERNANDA</t>
  </si>
  <si>
    <t xml:space="preserve">DARWIN </t>
  </si>
  <si>
    <t>KEVIN JHOAN</t>
  </si>
  <si>
    <t xml:space="preserve">JOSUE </t>
  </si>
  <si>
    <t>DANIEL AARON</t>
  </si>
  <si>
    <t>ANA SOFIA</t>
  </si>
  <si>
    <t>DANIEL ALEJANDRO</t>
  </si>
  <si>
    <t>JOSE ALEJANDRO</t>
  </si>
  <si>
    <t>JOSE SEBASTIAN</t>
  </si>
  <si>
    <t xml:space="preserve">SAMANTA </t>
  </si>
  <si>
    <t xml:space="preserve">VALERY </t>
  </si>
  <si>
    <t>HIJO DE YINETH DAMIANA</t>
  </si>
  <si>
    <t xml:space="preserve">MARINA </t>
  </si>
  <si>
    <t>MAIRA ALEJANDRA</t>
  </si>
  <si>
    <t>JUAN DAVID</t>
  </si>
  <si>
    <t>MARIA JOSE</t>
  </si>
  <si>
    <t xml:space="preserve">JHOAN </t>
  </si>
  <si>
    <t>CAROL VALERIA</t>
  </si>
  <si>
    <t xml:space="preserve">ALEJANDRO </t>
  </si>
  <si>
    <t>HIJA DE RONNY YADIRA</t>
  </si>
  <si>
    <t xml:space="preserve">ALICIA </t>
  </si>
  <si>
    <t xml:space="preserve">ISMAEL </t>
  </si>
  <si>
    <t xml:space="preserve">HUMBERTO </t>
  </si>
  <si>
    <t>CARLOS ENRIQUE</t>
  </si>
  <si>
    <t>JUAN ANGEL</t>
  </si>
  <si>
    <t xml:space="preserve">EDELMIRA </t>
  </si>
  <si>
    <t>JOHAN ALEXIS</t>
  </si>
  <si>
    <t>MARIA PAULINA</t>
  </si>
  <si>
    <t>LUIS ESTEBAN</t>
  </si>
  <si>
    <t xml:space="preserve">DAHIANA </t>
  </si>
  <si>
    <t xml:space="preserve">YESID </t>
  </si>
  <si>
    <t>JUAN SEBASTIAN</t>
  </si>
  <si>
    <t>JORGE ANDRES</t>
  </si>
  <si>
    <t>LUIS FELIPE</t>
  </si>
  <si>
    <t xml:space="preserve">JHONATAN </t>
  </si>
  <si>
    <t>ASLY DAHIANA</t>
  </si>
  <si>
    <t>DANIEL ALEXANDER</t>
  </si>
  <si>
    <t xml:space="preserve">CELENI </t>
  </si>
  <si>
    <t xml:space="preserve">PAULINA </t>
  </si>
  <si>
    <t xml:space="preserve">SIMON </t>
  </si>
  <si>
    <t>JONATAN ARLEY</t>
  </si>
  <si>
    <t xml:space="preserve">CAROLINA </t>
  </si>
  <si>
    <t>EVELYN ANDREA</t>
  </si>
  <si>
    <t>JUNIOR ANDRES</t>
  </si>
  <si>
    <t xml:space="preserve">KEITH </t>
  </si>
  <si>
    <t>JOHAN STIVENSON</t>
  </si>
  <si>
    <t xml:space="preserve">ESTEBAN </t>
  </si>
  <si>
    <t>Nombre</t>
  </si>
  <si>
    <t>Neurologia</t>
  </si>
  <si>
    <t>Tablas dinámicas</t>
  </si>
  <si>
    <r>
      <rPr>
        <b/>
        <sz val="11"/>
        <color theme="1"/>
        <rFont val="Calibri"/>
        <family val="2"/>
        <scheme val="minor"/>
      </rPr>
      <t>1.</t>
    </r>
    <r>
      <rPr>
        <sz val="11"/>
        <color theme="1"/>
        <rFont val="Calibri"/>
        <family val="2"/>
        <scheme val="minor"/>
      </rPr>
      <t xml:space="preserve"> Elaborar la tabla de la distribución de frecuencias para una de las variables que incluya las columnas (No. y %)</t>
    </r>
  </si>
  <si>
    <r>
      <rPr>
        <b/>
        <sz val="11"/>
        <color theme="1"/>
        <rFont val="Calibri"/>
        <family val="2"/>
        <scheme val="minor"/>
      </rPr>
      <t>2.</t>
    </r>
    <r>
      <rPr>
        <sz val="11"/>
        <color theme="1"/>
        <rFont val="Calibri"/>
        <family val="2"/>
        <scheme val="minor"/>
      </rPr>
      <t xml:space="preserve"> Elaborar la tabla de la distribución de frecuencias que incluya las columnas (No. o frecuencia absoluta, Frecuencia relativa o %, Frecuencia absoluta acumulada, Frecuencia relativa acumulada, valor mínimo,promedio y desviación estandar)</t>
    </r>
  </si>
  <si>
    <t>Funciones</t>
  </si>
  <si>
    <t>De acuerdo con lo anterior en parejas deben dar solución a los siguientes interrogantes</t>
  </si>
  <si>
    <t>Total</t>
  </si>
  <si>
    <t>Femenino</t>
  </si>
  <si>
    <t>Masculino</t>
  </si>
  <si>
    <t>No</t>
  </si>
  <si>
    <t>%</t>
  </si>
  <si>
    <r>
      <rPr>
        <b/>
        <sz val="11"/>
        <color theme="1"/>
        <rFont val="Calibri"/>
        <family val="2"/>
        <scheme val="minor"/>
      </rPr>
      <t>8. D</t>
    </r>
    <r>
      <rPr>
        <sz val="11"/>
        <color theme="1"/>
        <rFont val="Calibri"/>
        <family val="2"/>
        <scheme val="minor"/>
      </rPr>
      <t>ebe formular y responder una pregunta que se pueda resolver con una función si anidada de mínimo 3 anidamientos que incluya a su vez funciones Y y funciones O combinadas. La función debe aplicarse en una nueva columna</t>
    </r>
  </si>
  <si>
    <t>Realizar el siguiente taller en parejas y compartirlo en una carpeta en google drive entre el 22  y el 29 de abril con la cuenta de correo: carlos.tangarife@udea.edu.co</t>
  </si>
  <si>
    <t>Nombre de los integrantes:</t>
  </si>
  <si>
    <t>1.</t>
  </si>
  <si>
    <t>i</t>
  </si>
  <si>
    <t>n</t>
  </si>
  <si>
    <t>m</t>
  </si>
  <si>
    <t xml:space="preserve">Productoria </t>
  </si>
  <si>
    <t>En la hoja de Citas_IPS_2  Ud. encuentra los datos de las consultas en una IPS del País y se requiere generar un resumen de los datos para contribuir al proceso de análisis</t>
  </si>
  <si>
    <r>
      <rPr>
        <b/>
        <sz val="11"/>
        <color theme="1"/>
        <rFont val="Calibri"/>
        <family val="2"/>
        <scheme val="minor"/>
      </rPr>
      <t>1.</t>
    </r>
    <r>
      <rPr>
        <sz val="11"/>
        <color theme="1"/>
        <rFont val="Calibri"/>
        <family val="2"/>
        <scheme val="minor"/>
      </rPr>
      <t xml:space="preserve"> En la hoja de Citas_IPS_2 debe incluir el nombre completo del pacienteen una sola celda y en mayúscula inicial</t>
    </r>
  </si>
  <si>
    <r>
      <rPr>
        <b/>
        <sz val="11"/>
        <color theme="1"/>
        <rFont val="Calibri"/>
        <family val="2"/>
        <scheme val="minor"/>
      </rPr>
      <t>2.</t>
    </r>
    <r>
      <rPr>
        <sz val="11"/>
        <color theme="1"/>
        <rFont val="Calibri"/>
        <family val="2"/>
        <scheme val="minor"/>
      </rPr>
      <t xml:space="preserve"> En la hoja de Citas_IPS_2 se debe crear una variable denominada descuento la cual tendrá como base el costo de la consulta, en esta variable Ud. deberá indicar el valor del descuento para cada paciente según las siguientes condiciones:</t>
    </r>
  </si>
  <si>
    <t>-Si el paciente es Mujer y es menor de 18 años el descuento es del 5% sobre el valor de la consulta.</t>
  </si>
  <si>
    <r>
      <rPr>
        <b/>
        <sz val="11"/>
        <color theme="1"/>
        <rFont val="Calibri"/>
        <family val="2"/>
        <scheme val="minor"/>
      </rPr>
      <t>3.</t>
    </r>
    <r>
      <rPr>
        <sz val="11"/>
        <color theme="1"/>
        <rFont val="Calibri"/>
        <family val="2"/>
        <scheme val="minor"/>
      </rPr>
      <t xml:space="preserve"> Realice mediante funciones un cuadro en donde se pueda visualizar el numero consultas por mes y el promedio de los descuentos por mes. El mes se debe visualizar: ENERO, FEBRERO, …. por lo tanto debe crear una nueva columna denominada "Nombre mes", la cual le asigne a cada valor el nombre del mes correspondiente mediante una función SI.</t>
    </r>
  </si>
  <si>
    <t>4. Realice el cuadro donde se pueda seleccionar en una celda la especialidad que se desee (Debe consultar como realizar una lista desplegable) y se pueda analizar el numero de consultas por mes para la especialidad seleccionada y el total de los descuentos para la especialidad seleccionada</t>
  </si>
  <si>
    <r>
      <rPr>
        <b/>
        <sz val="11"/>
        <color theme="1"/>
        <rFont val="Calibri"/>
        <family val="2"/>
        <scheme val="minor"/>
      </rPr>
      <t xml:space="preserve">5. </t>
    </r>
    <r>
      <rPr>
        <sz val="11"/>
        <color theme="1"/>
        <rFont val="Calibri"/>
        <family val="2"/>
        <scheme val="minor"/>
      </rPr>
      <t>En una tabla realice el mismo resumen anterior por tipo de consulta</t>
    </r>
  </si>
  <si>
    <r>
      <rPr>
        <b/>
        <sz val="11"/>
        <color theme="1"/>
        <rFont val="Calibri"/>
        <family val="2"/>
        <scheme val="minor"/>
      </rPr>
      <t xml:space="preserve">6. </t>
    </r>
    <r>
      <rPr>
        <sz val="11"/>
        <color theme="1"/>
        <rFont val="Calibri"/>
        <family val="2"/>
        <scheme val="minor"/>
      </rPr>
      <t>Realice una opción de búsqueda en donde se pueda ingresar en una celda el numero de identificación, y después ingresarlo muestre en las celdas siguientes el año de la consulta,  la edad, el nombre completo del paciente y la especialidad y el tipo de consulta.</t>
    </r>
  </si>
  <si>
    <r>
      <rPr>
        <b/>
        <sz val="10"/>
        <rFont val="Arial"/>
        <family val="2"/>
      </rPr>
      <t>10.</t>
    </r>
    <r>
      <rPr>
        <sz val="11"/>
        <color theme="1"/>
        <rFont val="Calibri"/>
        <family val="2"/>
        <scheme val="minor"/>
      </rPr>
      <t xml:space="preserve"> Debe elaborar un gráfico de dispersión con dos variables cuantitativas y un gráfico de barras para una variable cualitativa.</t>
    </r>
  </si>
  <si>
    <t>-Si el paciente es Mujer y su edad esta entre 18 y 34 años, el descuento es del 10% sobre el valor de la consulta.</t>
  </si>
  <si>
    <t>Para los demás no se tiene descuento</t>
  </si>
  <si>
    <t>-Si el paciente es Hombre y es mayor de 65 años el descuento es del 30% sobre el valor de la consulta.</t>
  </si>
  <si>
    <t>-Si el paciente es Mujer y es mayor de 62 años el descuento es del 50% sobre el valor de la consulta.</t>
  </si>
  <si>
    <r>
      <rPr>
        <b/>
        <sz val="11"/>
        <color theme="1"/>
        <rFont val="Calibri"/>
        <family val="2"/>
        <scheme val="minor"/>
      </rPr>
      <t>3.</t>
    </r>
    <r>
      <rPr>
        <sz val="11"/>
        <color theme="1"/>
        <rFont val="Calibri"/>
        <family val="2"/>
        <scheme val="minor"/>
      </rPr>
      <t xml:space="preserve"> Obtener el consultas según sexo y de acuerdo con el costo si es mayor 200000 calcular un valor de subsidio equivalente 25% del costo y si es menor o igual a 200000 el descuento es igual al 5% del costo. Además debe obtener el porcentaje del descuento para cada sexo.</t>
    </r>
  </si>
  <si>
    <r>
      <rPr>
        <b/>
        <sz val="11"/>
        <color theme="1"/>
        <rFont val="Calibri"/>
        <family val="2"/>
        <scheme val="minor"/>
      </rPr>
      <t>4.</t>
    </r>
    <r>
      <rPr>
        <sz val="11"/>
        <color theme="1"/>
        <rFont val="Calibri"/>
        <family val="2"/>
        <scheme val="minor"/>
      </rPr>
      <t xml:space="preserve"> Obtener el total de consultas por cuatrimestre según zona de nacimiento y que se pueda ver por cada sexo por separado. Para responder esta pregunta debe tener presente que debe crear un elemento calculado.</t>
    </r>
  </si>
  <si>
    <r>
      <rPr>
        <b/>
        <sz val="11"/>
        <color theme="1"/>
        <rFont val="Calibri"/>
        <family val="2"/>
        <scheme val="minor"/>
      </rPr>
      <t>5.</t>
    </r>
    <r>
      <rPr>
        <sz val="11"/>
        <color theme="1"/>
        <rFont val="Calibri"/>
        <family val="2"/>
        <scheme val="minor"/>
      </rPr>
      <t xml:space="preserve"> Obtener según mes de nacimiento el total de consultas y segmentar los datos de la tabla y elaborar una escala de tiempo según la fecha.  Para este ítem usted debe consultar el siguiente video (https://tinyurl.com/y28fr9os) y otro material que usted considere pertinente en youtube, libros o Internet.</t>
    </r>
  </si>
  <si>
    <r>
      <rPr>
        <b/>
        <sz val="10"/>
        <rFont val="Arial"/>
        <family val="2"/>
      </rPr>
      <t>9.</t>
    </r>
    <r>
      <rPr>
        <sz val="10"/>
        <rFont val="Arial"/>
        <family val="2"/>
      </rPr>
      <t xml:space="preserve"> Desarrolle la siguiente productoría, donde el valor de:  n es el número de la cedula del estudiante y  m=9.  para este ejercicio debe consultar la función producto.</t>
    </r>
  </si>
  <si>
    <r>
      <rPr>
        <b/>
        <sz val="11"/>
        <color theme="1"/>
        <rFont val="Calibri"/>
        <family val="2"/>
        <scheme val="minor"/>
      </rPr>
      <t xml:space="preserve">7. </t>
    </r>
    <r>
      <rPr>
        <sz val="11"/>
        <color theme="1"/>
        <rFont val="Calibri"/>
        <family val="2"/>
        <scheme val="minor"/>
      </rPr>
      <t>Por medio de funciones complete las siguientes tablas en la primera identifique el valor del total de consultas y en la segunda el valor total de los pagos, es importante que la formula permita copiarse de una fila a otra.</t>
    </r>
  </si>
  <si>
    <t>nombre</t>
  </si>
  <si>
    <t>descuento</t>
  </si>
  <si>
    <t>Maribel Hoyos Montes</t>
  </si>
  <si>
    <t>Nombre Mes</t>
  </si>
  <si>
    <t>promedio descuentos</t>
  </si>
  <si>
    <t># Consultas</t>
  </si>
  <si>
    <t>Promedio Mes</t>
  </si>
  <si>
    <t>#Numero Mes</t>
  </si>
  <si>
    <t>Enero</t>
  </si>
  <si>
    <t>Febrero</t>
  </si>
  <si>
    <t>Marzo</t>
  </si>
  <si>
    <t>Abril</t>
  </si>
  <si>
    <t>Mayo</t>
  </si>
  <si>
    <t>Junio</t>
  </si>
  <si>
    <t>Julio</t>
  </si>
  <si>
    <t>Agosto</t>
  </si>
  <si>
    <t>Septiembre</t>
  </si>
  <si>
    <t>Octubre</t>
  </si>
  <si>
    <t>Noviembre</t>
  </si>
  <si>
    <t>Diciembre</t>
  </si>
  <si>
    <t>Mes</t>
  </si>
  <si>
    <t>ESPECIALIDAD</t>
  </si>
  <si>
    <t>Total Descuentos</t>
  </si>
  <si>
    <t># CEDULA</t>
  </si>
  <si>
    <t>AÑO CONSULTA</t>
  </si>
  <si>
    <t>EDAD</t>
  </si>
  <si>
    <t>NOMBRE</t>
  </si>
  <si>
    <t>Aplicar un descuento del 30% si es una mujer con edad mayor al promedio de edades de las mujeres o aplicar un descuento del 20% si es un hombre con edad menor a la edad promedio de los hombres..</t>
  </si>
  <si>
    <t>Descuento por Genero y Edad promedio</t>
  </si>
  <si>
    <t>SEXO</t>
  </si>
  <si>
    <t>CUENTA</t>
  </si>
  <si>
    <t>Etiquetas de fila</t>
  </si>
  <si>
    <t>(en blanco)</t>
  </si>
  <si>
    <t>Total general</t>
  </si>
  <si>
    <t>Cuenta de TIPO DE CONSULTA</t>
  </si>
  <si>
    <t>Cuenta de TIPO DE CONSULTA2</t>
  </si>
  <si>
    <t>Cuenta de Sexo</t>
  </si>
  <si>
    <t>Cuenta de Sexo2</t>
  </si>
  <si>
    <t>FRECUENCIA ABSOLUTA</t>
  </si>
  <si>
    <t>FRECUENCIA RELATIVA</t>
  </si>
  <si>
    <t>1. Elaborar la tabla de la distribución de frecuencias para una de las variables que incluya las columnas (No. y %)</t>
  </si>
  <si>
    <t>2. Elaborar la tabla de la distribución de frecuencias que incluya las columnas (No. o frecuencia absoluta, Frecuencia relativa o %, Frecuencia absoluta acumulada, Frecuencia relativa acumulada, valor mínimo,promedio y desviación estandar)</t>
  </si>
  <si>
    <t>Valor minimo</t>
  </si>
  <si>
    <t>Promedio</t>
  </si>
  <si>
    <t>Desviacion estandar</t>
  </si>
  <si>
    <t>4. Obtener el total de consultas por cuatrimestre según zona de nacimiento y que se pueda ver por cada sexo por separado. Para responder esta pregunta debe tener presente que debe crear un elemento calculado.</t>
  </si>
  <si>
    <t>Etiquetas de columna</t>
  </si>
  <si>
    <t>5. Obtener según mes de nacimiento el total de consultas y segmentar los datos de la tabla y elaborar una escala de tiempo según la fecha.  Para este ítem usted debe consultar el siguiente video (https://tinyurl.com/y28fr9os) y otro material que usted considere pertinente en youtube, libros o Internet.</t>
  </si>
  <si>
    <t>Cuenta de Mes</t>
  </si>
  <si>
    <t>Suma de Descuento por Genero y Edad promedio</t>
  </si>
  <si>
    <t>Total Suma de Descuento por Genero y Edad promedio</t>
  </si>
  <si>
    <t>Total Suma de Descuento por Genero y Edad promedio2</t>
  </si>
  <si>
    <t>Suma de Descuento por Genero y Edad promedio2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</si>
</sst>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164" formatCode="_(* #,##0.00_);_(* \(#,##0.00\);_(* &quot;-&quot;??_);_(@_)"/>
    <numFmt numFmtId="165" formatCode="_ * #,##0_)\ _$_ ;_ * \(#,##0\)\ _$_ ;_ * &quot;-&quot;??_)\ _$_ ;_ @_ "/>
    <numFmt numFmtId="166" formatCode="0.0%"/>
    <numFmt numFmtId="167" formatCode="&quot;$&quot;\ #,##0"/>
  </numFmts>
  <fonts count="9" x14ac:knownFonts="1">
    <font>
      <sz val="11"/>
      <color theme="1"/>
      <name val="Calibri"/>
      <family val="2"/>
      <scheme val="minor"/>
    </font>
    <font>
      <sz val="10"/>
      <name val="Arial"/>
      <family val="2"/>
    </font>
    <font>
      <sz val="11"/>
      <color theme="1"/>
      <name val="Calibri"/>
      <family val="2"/>
      <scheme val="minor"/>
    </font>
    <font>
      <b/>
      <sz val="10"/>
      <name val="Arial"/>
      <family val="2"/>
    </font>
    <font>
      <u/>
      <sz val="10"/>
      <name val="Arial"/>
      <family val="2"/>
    </font>
    <font>
      <b/>
      <sz val="20"/>
      <color theme="1"/>
      <name val="Calibri"/>
      <family val="2"/>
      <scheme val="minor"/>
    </font>
    <font>
      <b/>
      <sz val="11"/>
      <color theme="1"/>
      <name val="Calibri"/>
      <family val="2"/>
      <scheme val="minor"/>
    </font>
    <font>
      <sz val="8"/>
      <name val="Calibri"/>
      <family val="2"/>
      <scheme val="minor"/>
    </font>
    <font>
      <b/>
      <sz val="1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theme="3"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164" fontId="2" fillId="0" borderId="0" applyFont="0" applyFill="0" applyBorder="0" applyAlignment="0" applyProtection="0"/>
    <xf numFmtId="41" fontId="2" fillId="0" borderId="0" applyFont="0" applyFill="0" applyBorder="0" applyAlignment="0" applyProtection="0"/>
    <xf numFmtId="9" fontId="2" fillId="0" borderId="0" applyFont="0" applyFill="0" applyBorder="0" applyAlignment="0" applyProtection="0"/>
  </cellStyleXfs>
  <cellXfs count="101">
    <xf numFmtId="0" fontId="0" fillId="0" borderId="0" xfId="0"/>
    <xf numFmtId="0" fontId="0" fillId="0" borderId="0" xfId="0" applyFill="1"/>
    <xf numFmtId="0" fontId="3" fillId="0" borderId="1" xfId="0" quotePrefix="1" applyNumberFormat="1" applyFont="1" applyBorder="1" applyAlignment="1">
      <alignment horizontal="center"/>
    </xf>
    <xf numFmtId="0" fontId="3" fillId="0" borderId="1" xfId="0" applyNumberFormat="1" applyFont="1" applyBorder="1" applyAlignment="1">
      <alignment horizontal="center"/>
    </xf>
    <xf numFmtId="0" fontId="3" fillId="0" borderId="1" xfId="0" applyFont="1" applyBorder="1" applyAlignment="1">
      <alignment horizontal="center"/>
    </xf>
    <xf numFmtId="0" fontId="1" fillId="0" borderId="1" xfId="0" quotePrefix="1" applyNumberFormat="1" applyFont="1" applyBorder="1"/>
    <xf numFmtId="0" fontId="1" fillId="0" borderId="1" xfId="0" applyFont="1" applyBorder="1"/>
    <xf numFmtId="14" fontId="1" fillId="0" borderId="1" xfId="0" applyNumberFormat="1" applyFont="1" applyBorder="1"/>
    <xf numFmtId="1" fontId="1" fillId="0" borderId="1" xfId="0" quotePrefix="1" applyNumberFormat="1" applyFont="1" applyBorder="1"/>
    <xf numFmtId="0" fontId="3" fillId="0" borderId="1" xfId="0" quotePrefix="1" applyNumberFormat="1" applyFont="1" applyFill="1" applyBorder="1" applyAlignment="1">
      <alignment horizontal="center" wrapText="1"/>
    </xf>
    <xf numFmtId="0" fontId="1" fillId="0" borderId="1" xfId="0" quotePrefix="1" applyNumberFormat="1" applyFont="1" applyFill="1" applyBorder="1" applyAlignment="1">
      <alignment wrapText="1"/>
    </xf>
    <xf numFmtId="0" fontId="4" fillId="0" borderId="1" xfId="0" applyNumberFormat="1" applyFont="1" applyFill="1" applyBorder="1" applyAlignment="1">
      <alignment wrapText="1"/>
    </xf>
    <xf numFmtId="0" fontId="4" fillId="0" borderId="1" xfId="0" quotePrefix="1" applyNumberFormat="1" applyFont="1" applyFill="1" applyBorder="1" applyAlignment="1">
      <alignment wrapText="1"/>
    </xf>
    <xf numFmtId="0" fontId="1" fillId="0" borderId="1" xfId="0" applyNumberFormat="1" applyFont="1" applyFill="1" applyBorder="1" applyAlignment="1">
      <alignment wrapText="1"/>
    </xf>
    <xf numFmtId="0" fontId="0" fillId="0" borderId="0" xfId="0" quotePrefix="1"/>
    <xf numFmtId="0" fontId="0" fillId="0" borderId="0" xfId="0" applyBorder="1"/>
    <xf numFmtId="0" fontId="0" fillId="0" borderId="0" xfId="0" applyAlignment="1">
      <alignment horizontal="left"/>
    </xf>
    <xf numFmtId="0" fontId="6" fillId="0" borderId="1" xfId="0" applyFont="1" applyBorder="1" applyAlignment="1">
      <alignment horizontal="center"/>
    </xf>
    <xf numFmtId="0" fontId="0" fillId="0" borderId="1" xfId="0" applyBorder="1"/>
    <xf numFmtId="0" fontId="6" fillId="2" borderId="1" xfId="0" applyFont="1" applyFill="1" applyBorder="1" applyAlignment="1">
      <alignment horizontal="center" vertical="center" wrapText="1"/>
    </xf>
    <xf numFmtId="0" fontId="6" fillId="2" borderId="1" xfId="0" applyFont="1" applyFill="1" applyBorder="1"/>
    <xf numFmtId="0" fontId="6" fillId="0" borderId="0" xfId="0" applyFont="1" applyFill="1" applyBorder="1" applyAlignment="1">
      <alignment horizontal="center" vertical="center" wrapText="1"/>
    </xf>
    <xf numFmtId="0" fontId="0" fillId="0" borderId="0" xfId="0" applyAlignment="1">
      <alignment horizontal="right"/>
    </xf>
    <xf numFmtId="0" fontId="6" fillId="0" borderId="7" xfId="0" applyFont="1" applyBorder="1" applyAlignment="1">
      <alignment horizontal="center" vertical="center" wrapText="1"/>
    </xf>
    <xf numFmtId="0" fontId="1" fillId="0" borderId="0" xfId="0" applyFont="1"/>
    <xf numFmtId="0" fontId="3" fillId="0" borderId="3" xfId="0" applyFont="1" applyBorder="1" applyAlignment="1">
      <alignment horizontal="center"/>
    </xf>
    <xf numFmtId="165" fontId="1" fillId="0" borderId="3" xfId="1" applyNumberFormat="1" applyFont="1" applyBorder="1"/>
    <xf numFmtId="1" fontId="0" fillId="0" borderId="1" xfId="0" applyNumberFormat="1" applyBorder="1"/>
    <xf numFmtId="0" fontId="0" fillId="0" borderId="0" xfId="0" applyAlignment="1">
      <alignment horizontal="left" vertical="center" wrapText="1"/>
    </xf>
    <xf numFmtId="0" fontId="0" fillId="0" borderId="0" xfId="0" applyAlignment="1">
      <alignment horizontal="left" wrapText="1"/>
    </xf>
    <xf numFmtId="0" fontId="1" fillId="0" borderId="0" xfId="0" applyNumberFormat="1" applyFont="1" applyFill="1" applyBorder="1"/>
    <xf numFmtId="0" fontId="8" fillId="0" borderId="7" xfId="0" applyFont="1" applyBorder="1" applyAlignment="1">
      <alignment horizontal="center" vertical="center" wrapText="1"/>
    </xf>
    <xf numFmtId="0" fontId="8" fillId="0" borderId="1" xfId="0" applyFont="1" applyBorder="1" applyAlignment="1">
      <alignment horizont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3" xfId="0" applyFont="1" applyBorder="1" applyAlignment="1">
      <alignment horizontal="center"/>
    </xf>
    <xf numFmtId="0" fontId="6" fillId="0" borderId="4" xfId="0" applyFont="1" applyBorder="1" applyAlignment="1">
      <alignment horizontal="center"/>
    </xf>
    <xf numFmtId="0" fontId="6" fillId="0" borderId="5" xfId="0" applyFont="1" applyBorder="1" applyAlignment="1">
      <alignment horizontal="center"/>
    </xf>
    <xf numFmtId="0" fontId="0" fillId="0" borderId="0" xfId="0" applyAlignment="1">
      <alignment horizontal="left" vertical="center" wrapText="1"/>
    </xf>
    <xf numFmtId="0" fontId="0" fillId="0" borderId="0" xfId="0" applyAlignment="1">
      <alignment horizontal="left"/>
    </xf>
    <xf numFmtId="0" fontId="0" fillId="0" borderId="1" xfId="0" applyBorder="1" applyAlignment="1">
      <alignment horizontal="left" wrapText="1"/>
    </xf>
    <xf numFmtId="0" fontId="6" fillId="0" borderId="1" xfId="0" applyFont="1" applyBorder="1" applyAlignment="1">
      <alignment horizontal="left" wrapText="1"/>
    </xf>
    <xf numFmtId="0" fontId="6" fillId="0" borderId="1" xfId="0" applyFont="1" applyBorder="1"/>
    <xf numFmtId="0" fontId="6" fillId="0" borderId="7" xfId="0" applyFont="1" applyBorder="1"/>
    <xf numFmtId="0" fontId="6" fillId="0" borderId="8" xfId="0" applyFont="1" applyBorder="1" applyAlignment="1">
      <alignment horizontal="left" vertical="center" wrapText="1"/>
    </xf>
    <xf numFmtId="0" fontId="0" fillId="0" borderId="9" xfId="0" applyBorder="1" applyAlignment="1">
      <alignment horizontal="left" vertical="center" wrapText="1"/>
    </xf>
    <xf numFmtId="0" fontId="6" fillId="0" borderId="8" xfId="0" applyFont="1" applyBorder="1"/>
    <xf numFmtId="0" fontId="0" fillId="0" borderId="8" xfId="0" applyBorder="1" applyAlignment="1">
      <alignment horizontal="center"/>
    </xf>
    <xf numFmtId="0" fontId="0" fillId="0" borderId="0" xfId="0" applyAlignment="1">
      <alignment horizontal="left"/>
    </xf>
    <xf numFmtId="0" fontId="0" fillId="0" borderId="0" xfId="0" applyAlignment="1">
      <alignment horizontal="left" wrapText="1"/>
    </xf>
    <xf numFmtId="0" fontId="0" fillId="0" borderId="10" xfId="0" applyBorder="1" applyAlignment="1"/>
    <xf numFmtId="0" fontId="0" fillId="0" borderId="2" xfId="0" applyBorder="1" applyAlignment="1">
      <alignment horizontal="left" vertical="center" wrapText="1"/>
    </xf>
    <xf numFmtId="0" fontId="0" fillId="0" borderId="5" xfId="0" applyBorder="1"/>
    <xf numFmtId="0" fontId="0" fillId="0" borderId="11" xfId="0" applyBorder="1" applyAlignment="1">
      <alignment horizontal="left" vertical="center" wrapText="1"/>
    </xf>
    <xf numFmtId="0" fontId="0" fillId="0" borderId="12" xfId="0" applyBorder="1"/>
    <xf numFmtId="0" fontId="0" fillId="0" borderId="13" xfId="0" applyBorder="1"/>
    <xf numFmtId="14" fontId="0" fillId="0" borderId="14" xfId="0" applyNumberFormat="1" applyBorder="1" applyAlignment="1">
      <alignment horizontal="left" vertical="center" wrapText="1"/>
    </xf>
    <xf numFmtId="0" fontId="0" fillId="0" borderId="15" xfId="0" applyBorder="1"/>
    <xf numFmtId="0" fontId="0" fillId="0" borderId="16" xfId="0" applyBorder="1"/>
    <xf numFmtId="0" fontId="6" fillId="0" borderId="0" xfId="0" applyFont="1"/>
    <xf numFmtId="166" fontId="6" fillId="0" borderId="1" xfId="3" applyNumberFormat="1" applyFont="1" applyBorder="1" applyAlignment="1">
      <alignment horizontal="center"/>
    </xf>
    <xf numFmtId="0" fontId="3" fillId="0" borderId="11" xfId="0" applyFont="1" applyBorder="1" applyAlignment="1">
      <alignment horizontal="center"/>
    </xf>
    <xf numFmtId="0" fontId="0" fillId="0" borderId="13" xfId="0" applyBorder="1" applyAlignment="1">
      <alignment horizontal="right"/>
    </xf>
    <xf numFmtId="0" fontId="3" fillId="0" borderId="14" xfId="0" applyFont="1" applyBorder="1" applyAlignment="1">
      <alignment horizontal="center"/>
    </xf>
    <xf numFmtId="0" fontId="0" fillId="0" borderId="16" xfId="0" applyBorder="1" applyAlignment="1">
      <alignment horizontal="right"/>
    </xf>
    <xf numFmtId="0" fontId="3" fillId="0" borderId="11" xfId="0" applyFont="1" applyBorder="1" applyAlignment="1">
      <alignment horizontal="center" vertical="center"/>
    </xf>
    <xf numFmtId="0" fontId="3" fillId="0" borderId="17" xfId="0" applyFont="1" applyBorder="1"/>
    <xf numFmtId="41" fontId="0" fillId="0" borderId="18" xfId="2" applyFont="1" applyBorder="1" applyAlignment="1">
      <alignment wrapText="1"/>
    </xf>
    <xf numFmtId="0" fontId="0" fillId="0" borderId="19" xfId="0" applyBorder="1"/>
    <xf numFmtId="0" fontId="0" fillId="0" borderId="20" xfId="0" applyBorder="1"/>
    <xf numFmtId="0" fontId="3" fillId="0" borderId="0" xfId="0" quotePrefix="1" applyNumberFormat="1" applyFont="1" applyFill="1" applyBorder="1" applyAlignment="1">
      <alignment horizontal="center" wrapText="1"/>
    </xf>
    <xf numFmtId="165" fontId="0" fillId="0" borderId="1" xfId="0" applyNumberFormat="1" applyBorder="1"/>
    <xf numFmtId="0" fontId="0" fillId="0" borderId="0" xfId="0" pivotButton="1"/>
    <xf numFmtId="0" fontId="0" fillId="0" borderId="0" xfId="0" applyNumberFormat="1"/>
    <xf numFmtId="10" fontId="0" fillId="0" borderId="0" xfId="0" applyNumberFormat="1"/>
    <xf numFmtId="0" fontId="0" fillId="0" borderId="0" xfId="0" applyAlignment="1">
      <alignment wrapText="1"/>
    </xf>
    <xf numFmtId="0" fontId="0" fillId="5" borderId="1" xfId="0" applyFill="1" applyBorder="1"/>
    <xf numFmtId="2" fontId="0" fillId="0" borderId="1" xfId="0" applyNumberFormat="1" applyBorder="1"/>
    <xf numFmtId="0" fontId="0" fillId="5" borderId="1" xfId="0" applyFill="1" applyBorder="1" applyAlignment="1">
      <alignment horizontal="center" wrapText="1"/>
    </xf>
    <xf numFmtId="1" fontId="0" fillId="0" borderId="1" xfId="0" applyNumberFormat="1" applyBorder="1" applyAlignment="1">
      <alignment horizontal="left"/>
    </xf>
    <xf numFmtId="0" fontId="0" fillId="0" borderId="1" xfId="0" applyNumberFormat="1" applyBorder="1"/>
    <xf numFmtId="10" fontId="0" fillId="0" borderId="1" xfId="0" applyNumberFormat="1" applyBorder="1"/>
    <xf numFmtId="1" fontId="0" fillId="5" borderId="1" xfId="0" applyNumberFormat="1" applyFill="1" applyBorder="1" applyAlignment="1">
      <alignment horizontal="left"/>
    </xf>
    <xf numFmtId="0" fontId="0" fillId="5" borderId="1" xfId="0" applyNumberFormat="1" applyFill="1" applyBorder="1"/>
    <xf numFmtId="10" fontId="0" fillId="5" borderId="1" xfId="0" applyNumberFormat="1" applyFill="1" applyBorder="1"/>
    <xf numFmtId="0" fontId="0" fillId="0" borderId="0" xfId="0" applyAlignment="1">
      <alignment horizontal="left" indent="1"/>
    </xf>
    <xf numFmtId="167" fontId="0" fillId="0" borderId="0" xfId="0" applyNumberFormat="1"/>
    <xf numFmtId="167" fontId="0" fillId="0" borderId="0" xfId="0" applyNumberFormat="1" applyAlignment="1">
      <alignment wrapText="1"/>
    </xf>
    <xf numFmtId="0" fontId="0" fillId="0" borderId="0" xfId="0" applyAlignment="1">
      <alignment horizontal="center" vertical="top" wrapText="1"/>
    </xf>
    <xf numFmtId="0" fontId="0" fillId="0" borderId="1" xfId="0" applyBorder="1" applyAlignment="1">
      <alignment horizontal="left"/>
    </xf>
    <xf numFmtId="0" fontId="0" fillId="0" borderId="0" xfId="0" applyAlignment="1">
      <alignment horizontal="left"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0" fillId="0" borderId="0" xfId="0" applyAlignment="1">
      <alignment horizontal="left" vertical="center" wrapText="1"/>
    </xf>
    <xf numFmtId="0" fontId="5" fillId="0" borderId="0" xfId="0" applyFont="1" applyAlignment="1">
      <alignment horizontal="center"/>
    </xf>
    <xf numFmtId="0" fontId="0" fillId="0" borderId="0" xfId="0" applyAlignment="1">
      <alignment horizontal="left"/>
    </xf>
    <xf numFmtId="0" fontId="0" fillId="4" borderId="0" xfId="0" applyFill="1" applyAlignment="1">
      <alignment horizontal="left" vertical="center" wrapText="1"/>
    </xf>
    <xf numFmtId="0" fontId="0" fillId="0" borderId="0" xfId="0" applyFill="1" applyAlignment="1">
      <alignment horizontal="left" wrapText="1"/>
    </xf>
    <xf numFmtId="0" fontId="0" fillId="3" borderId="0" xfId="0" applyFill="1" applyAlignment="1">
      <alignment horizontal="left"/>
    </xf>
  </cellXfs>
  <cellStyles count="4">
    <cellStyle name="Millares" xfId="1" builtinId="3"/>
    <cellStyle name="Millares [0]" xfId="2" builtinId="6"/>
    <cellStyle name="Normal" xfId="0" builtinId="0"/>
    <cellStyle name="Porcentaje" xfId="3" builtinId="5"/>
  </cellStyles>
  <dxfs count="36">
    <dxf>
      <numFmt numFmtId="167" formatCode="&quot;$&quot;\ #,##0"/>
    </dxf>
    <dxf>
      <alignment wrapText="1"/>
    </dxf>
    <dxf>
      <numFmt numFmtId="167" formatCode="&quot;$&quot;\ #,##0"/>
    </dxf>
    <dxf>
      <numFmt numFmtId="167" formatCode="&quot;$&quot;\ #,##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4" formatCode="0.00%"/>
    </dxf>
    <dxf>
      <numFmt numFmtId="167" formatCode="&quot;$&quot;\ #,##0"/>
    </dxf>
    <dxf>
      <alignment wrapText="1"/>
    </dxf>
    <dxf>
      <alignment wrapText="1"/>
    </dxf>
    <dxf>
      <alignment wrapText="1"/>
    </dxf>
    <dxf>
      <alignment wrapText="1"/>
    </dxf>
    <dxf>
      <alignment wrapText="1"/>
    </dxf>
    <dxf>
      <fill>
        <patternFill patternType="solid">
          <bgColor theme="3" tint="0.79998168889431442"/>
        </patternFill>
      </fill>
    </dxf>
    <dxf>
      <fill>
        <patternFill patternType="solid">
          <bgColor theme="3" tint="0.79998168889431442"/>
        </patternFill>
      </fill>
    </dxf>
    <dxf>
      <fill>
        <patternFill>
          <bgColor theme="3" tint="0.79998168889431442"/>
        </patternFill>
      </fill>
    </dxf>
    <dxf>
      <fill>
        <patternFill>
          <bgColor theme="3"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4"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GRAFICO</a:t>
            </a:r>
            <a:r>
              <a:rPr lang="es-CO" baseline="0"/>
              <a:t> DISPERSION (PAGO - DESCUENTOS)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Citas_IPS_2!$I$2:$I$268</c:f>
              <c:numCache>
                <c:formatCode>_ * #,##0_)\ _$_ ;_ * \(#,##0\)\ _$_ ;_ * "-"??_)\ _$_ ;_ @_ </c:formatCode>
                <c:ptCount val="267"/>
                <c:pt idx="0">
                  <c:v>32927</c:v>
                </c:pt>
                <c:pt idx="1">
                  <c:v>48602</c:v>
                </c:pt>
                <c:pt idx="2">
                  <c:v>46232</c:v>
                </c:pt>
                <c:pt idx="3">
                  <c:v>24550</c:v>
                </c:pt>
                <c:pt idx="4">
                  <c:v>28497</c:v>
                </c:pt>
                <c:pt idx="5">
                  <c:v>16646</c:v>
                </c:pt>
                <c:pt idx="6">
                  <c:v>22305</c:v>
                </c:pt>
                <c:pt idx="7">
                  <c:v>45267</c:v>
                </c:pt>
                <c:pt idx="8">
                  <c:v>26538</c:v>
                </c:pt>
                <c:pt idx="9">
                  <c:v>18595</c:v>
                </c:pt>
                <c:pt idx="10">
                  <c:v>57236</c:v>
                </c:pt>
                <c:pt idx="11">
                  <c:v>25327</c:v>
                </c:pt>
                <c:pt idx="12">
                  <c:v>16772</c:v>
                </c:pt>
                <c:pt idx="13">
                  <c:v>48602</c:v>
                </c:pt>
                <c:pt idx="14">
                  <c:v>60619</c:v>
                </c:pt>
                <c:pt idx="15">
                  <c:v>83587</c:v>
                </c:pt>
                <c:pt idx="16">
                  <c:v>42940</c:v>
                </c:pt>
                <c:pt idx="17">
                  <c:v>49607</c:v>
                </c:pt>
                <c:pt idx="18">
                  <c:v>30610</c:v>
                </c:pt>
                <c:pt idx="19">
                  <c:v>38089</c:v>
                </c:pt>
                <c:pt idx="20">
                  <c:v>33263</c:v>
                </c:pt>
                <c:pt idx="21">
                  <c:v>44733</c:v>
                </c:pt>
                <c:pt idx="22">
                  <c:v>62995</c:v>
                </c:pt>
                <c:pt idx="23">
                  <c:v>51998</c:v>
                </c:pt>
                <c:pt idx="24">
                  <c:v>18470</c:v>
                </c:pt>
                <c:pt idx="25">
                  <c:v>64579</c:v>
                </c:pt>
                <c:pt idx="26">
                  <c:v>23689</c:v>
                </c:pt>
                <c:pt idx="27">
                  <c:v>73687</c:v>
                </c:pt>
                <c:pt idx="28">
                  <c:v>42877</c:v>
                </c:pt>
                <c:pt idx="29">
                  <c:v>86755</c:v>
                </c:pt>
                <c:pt idx="30">
                  <c:v>49533</c:v>
                </c:pt>
                <c:pt idx="31">
                  <c:v>23535</c:v>
                </c:pt>
                <c:pt idx="32">
                  <c:v>45624</c:v>
                </c:pt>
                <c:pt idx="33">
                  <c:v>93487</c:v>
                </c:pt>
                <c:pt idx="34">
                  <c:v>50153</c:v>
                </c:pt>
                <c:pt idx="35">
                  <c:v>95071</c:v>
                </c:pt>
                <c:pt idx="36">
                  <c:v>68935</c:v>
                </c:pt>
                <c:pt idx="37">
                  <c:v>17656</c:v>
                </c:pt>
                <c:pt idx="38">
                  <c:v>23284</c:v>
                </c:pt>
                <c:pt idx="39">
                  <c:v>85963</c:v>
                </c:pt>
                <c:pt idx="40">
                  <c:v>89131</c:v>
                </c:pt>
                <c:pt idx="41">
                  <c:v>49144</c:v>
                </c:pt>
                <c:pt idx="42">
                  <c:v>31640</c:v>
                </c:pt>
                <c:pt idx="43">
                  <c:v>48602</c:v>
                </c:pt>
                <c:pt idx="44">
                  <c:v>21159</c:v>
                </c:pt>
                <c:pt idx="45">
                  <c:v>33811</c:v>
                </c:pt>
                <c:pt idx="46">
                  <c:v>86359</c:v>
                </c:pt>
                <c:pt idx="47">
                  <c:v>31650</c:v>
                </c:pt>
                <c:pt idx="48">
                  <c:v>16870</c:v>
                </c:pt>
                <c:pt idx="49">
                  <c:v>20471</c:v>
                </c:pt>
                <c:pt idx="50">
                  <c:v>49208</c:v>
                </c:pt>
                <c:pt idx="51">
                  <c:v>85567</c:v>
                </c:pt>
                <c:pt idx="52">
                  <c:v>37188</c:v>
                </c:pt>
                <c:pt idx="53">
                  <c:v>37028</c:v>
                </c:pt>
                <c:pt idx="54">
                  <c:v>54120</c:v>
                </c:pt>
                <c:pt idx="55">
                  <c:v>32959</c:v>
                </c:pt>
                <c:pt idx="56">
                  <c:v>41181</c:v>
                </c:pt>
                <c:pt idx="57">
                  <c:v>21843</c:v>
                </c:pt>
                <c:pt idx="58">
                  <c:v>43353</c:v>
                </c:pt>
                <c:pt idx="59">
                  <c:v>38217</c:v>
                </c:pt>
                <c:pt idx="60">
                  <c:v>72895</c:v>
                </c:pt>
                <c:pt idx="61">
                  <c:v>25959</c:v>
                </c:pt>
                <c:pt idx="62">
                  <c:v>59431</c:v>
                </c:pt>
                <c:pt idx="63">
                  <c:v>50166</c:v>
                </c:pt>
                <c:pt idx="64">
                  <c:v>37665</c:v>
                </c:pt>
                <c:pt idx="65">
                  <c:v>36963</c:v>
                </c:pt>
                <c:pt idx="66">
                  <c:v>51365</c:v>
                </c:pt>
                <c:pt idx="67">
                  <c:v>25863</c:v>
                </c:pt>
                <c:pt idx="68">
                  <c:v>21885</c:v>
                </c:pt>
                <c:pt idx="69">
                  <c:v>73291</c:v>
                </c:pt>
                <c:pt idx="70">
                  <c:v>50682</c:v>
                </c:pt>
                <c:pt idx="71">
                  <c:v>91507</c:v>
                </c:pt>
                <c:pt idx="72">
                  <c:v>51961</c:v>
                </c:pt>
                <c:pt idx="73">
                  <c:v>54120</c:v>
                </c:pt>
                <c:pt idx="74">
                  <c:v>80815</c:v>
                </c:pt>
                <c:pt idx="75">
                  <c:v>56274</c:v>
                </c:pt>
                <c:pt idx="76">
                  <c:v>64183</c:v>
                </c:pt>
                <c:pt idx="77">
                  <c:v>88735</c:v>
                </c:pt>
                <c:pt idx="78">
                  <c:v>40822</c:v>
                </c:pt>
                <c:pt idx="79">
                  <c:v>41191</c:v>
                </c:pt>
                <c:pt idx="80">
                  <c:v>78835</c:v>
                </c:pt>
                <c:pt idx="81">
                  <c:v>94675</c:v>
                </c:pt>
                <c:pt idx="82">
                  <c:v>83191</c:v>
                </c:pt>
                <c:pt idx="83">
                  <c:v>19008</c:v>
                </c:pt>
                <c:pt idx="84">
                  <c:v>95863</c:v>
                </c:pt>
                <c:pt idx="85">
                  <c:v>93091</c:v>
                </c:pt>
                <c:pt idx="86">
                  <c:v>46345</c:v>
                </c:pt>
                <c:pt idx="87">
                  <c:v>82399</c:v>
                </c:pt>
                <c:pt idx="88">
                  <c:v>15243</c:v>
                </c:pt>
                <c:pt idx="89">
                  <c:v>91111</c:v>
                </c:pt>
                <c:pt idx="90">
                  <c:v>97051</c:v>
                </c:pt>
                <c:pt idx="91">
                  <c:v>28742</c:v>
                </c:pt>
                <c:pt idx="92">
                  <c:v>61411</c:v>
                </c:pt>
                <c:pt idx="93">
                  <c:v>50325</c:v>
                </c:pt>
                <c:pt idx="94">
                  <c:v>90319</c:v>
                </c:pt>
                <c:pt idx="95">
                  <c:v>76855</c:v>
                </c:pt>
                <c:pt idx="96">
                  <c:v>63787</c:v>
                </c:pt>
                <c:pt idx="97">
                  <c:v>79231</c:v>
                </c:pt>
                <c:pt idx="98">
                  <c:v>40413</c:v>
                </c:pt>
                <c:pt idx="99">
                  <c:v>57782</c:v>
                </c:pt>
                <c:pt idx="100">
                  <c:v>53700</c:v>
                </c:pt>
                <c:pt idx="101">
                  <c:v>32239</c:v>
                </c:pt>
                <c:pt idx="102">
                  <c:v>45881</c:v>
                </c:pt>
                <c:pt idx="103">
                  <c:v>90715</c:v>
                </c:pt>
                <c:pt idx="104">
                  <c:v>55230</c:v>
                </c:pt>
                <c:pt idx="105">
                  <c:v>46959</c:v>
                </c:pt>
                <c:pt idx="106">
                  <c:v>68143</c:v>
                </c:pt>
                <c:pt idx="107">
                  <c:v>67351</c:v>
                </c:pt>
                <c:pt idx="108">
                  <c:v>77647</c:v>
                </c:pt>
                <c:pt idx="109">
                  <c:v>18576</c:v>
                </c:pt>
                <c:pt idx="110">
                  <c:v>50359</c:v>
                </c:pt>
                <c:pt idx="111">
                  <c:v>92695</c:v>
                </c:pt>
                <c:pt idx="112">
                  <c:v>77251</c:v>
                </c:pt>
                <c:pt idx="113">
                  <c:v>20193</c:v>
                </c:pt>
                <c:pt idx="114">
                  <c:v>41813</c:v>
                </c:pt>
                <c:pt idx="115">
                  <c:v>17045</c:v>
                </c:pt>
                <c:pt idx="116">
                  <c:v>32226</c:v>
                </c:pt>
                <c:pt idx="117">
                  <c:v>16441</c:v>
                </c:pt>
                <c:pt idx="118">
                  <c:v>50461</c:v>
                </c:pt>
                <c:pt idx="119">
                  <c:v>35795</c:v>
                </c:pt>
                <c:pt idx="120">
                  <c:v>70915</c:v>
                </c:pt>
                <c:pt idx="121">
                  <c:v>62203</c:v>
                </c:pt>
                <c:pt idx="122">
                  <c:v>87547</c:v>
                </c:pt>
                <c:pt idx="123">
                  <c:v>35317</c:v>
                </c:pt>
                <c:pt idx="124">
                  <c:v>70519</c:v>
                </c:pt>
                <c:pt idx="125">
                  <c:v>23262</c:v>
                </c:pt>
                <c:pt idx="126">
                  <c:v>59827</c:v>
                </c:pt>
                <c:pt idx="127">
                  <c:v>35449</c:v>
                </c:pt>
                <c:pt idx="128">
                  <c:v>66955</c:v>
                </c:pt>
                <c:pt idx="129">
                  <c:v>21583</c:v>
                </c:pt>
                <c:pt idx="130">
                  <c:v>27670</c:v>
                </c:pt>
                <c:pt idx="131">
                  <c:v>19929</c:v>
                </c:pt>
                <c:pt idx="132">
                  <c:v>19724</c:v>
                </c:pt>
                <c:pt idx="133">
                  <c:v>54120</c:v>
                </c:pt>
                <c:pt idx="134">
                  <c:v>45431</c:v>
                </c:pt>
                <c:pt idx="135">
                  <c:v>16477</c:v>
                </c:pt>
                <c:pt idx="136">
                  <c:v>93883</c:v>
                </c:pt>
                <c:pt idx="137">
                  <c:v>75667</c:v>
                </c:pt>
                <c:pt idx="138">
                  <c:v>87943</c:v>
                </c:pt>
                <c:pt idx="139">
                  <c:v>37667</c:v>
                </c:pt>
                <c:pt idx="140">
                  <c:v>89527</c:v>
                </c:pt>
                <c:pt idx="141">
                  <c:v>50973</c:v>
                </c:pt>
                <c:pt idx="142">
                  <c:v>72103</c:v>
                </c:pt>
                <c:pt idx="143">
                  <c:v>63391</c:v>
                </c:pt>
                <c:pt idx="144">
                  <c:v>48602</c:v>
                </c:pt>
                <c:pt idx="145">
                  <c:v>46316</c:v>
                </c:pt>
                <c:pt idx="146">
                  <c:v>23727</c:v>
                </c:pt>
                <c:pt idx="147">
                  <c:v>23191</c:v>
                </c:pt>
                <c:pt idx="148">
                  <c:v>45557</c:v>
                </c:pt>
                <c:pt idx="149">
                  <c:v>96655</c:v>
                </c:pt>
                <c:pt idx="150">
                  <c:v>17167</c:v>
                </c:pt>
                <c:pt idx="151">
                  <c:v>34994</c:v>
                </c:pt>
                <c:pt idx="152">
                  <c:v>70123</c:v>
                </c:pt>
                <c:pt idx="153">
                  <c:v>24814</c:v>
                </c:pt>
                <c:pt idx="154">
                  <c:v>19558</c:v>
                </c:pt>
                <c:pt idx="155">
                  <c:v>92299</c:v>
                </c:pt>
                <c:pt idx="156">
                  <c:v>50846</c:v>
                </c:pt>
                <c:pt idx="157">
                  <c:v>43554</c:v>
                </c:pt>
                <c:pt idx="158">
                  <c:v>25396</c:v>
                </c:pt>
                <c:pt idx="159">
                  <c:v>33797</c:v>
                </c:pt>
                <c:pt idx="160">
                  <c:v>19415</c:v>
                </c:pt>
                <c:pt idx="161">
                  <c:v>74479</c:v>
                </c:pt>
                <c:pt idx="162">
                  <c:v>52144</c:v>
                </c:pt>
                <c:pt idx="163">
                  <c:v>53957</c:v>
                </c:pt>
                <c:pt idx="164">
                  <c:v>51511</c:v>
                </c:pt>
                <c:pt idx="165">
                  <c:v>41555</c:v>
                </c:pt>
                <c:pt idx="166">
                  <c:v>95467</c:v>
                </c:pt>
                <c:pt idx="167">
                  <c:v>69331</c:v>
                </c:pt>
                <c:pt idx="168">
                  <c:v>21952</c:v>
                </c:pt>
                <c:pt idx="169">
                  <c:v>83983</c:v>
                </c:pt>
                <c:pt idx="170">
                  <c:v>82003</c:v>
                </c:pt>
                <c:pt idx="171">
                  <c:v>88339</c:v>
                </c:pt>
                <c:pt idx="172">
                  <c:v>97447</c:v>
                </c:pt>
                <c:pt idx="173">
                  <c:v>20693</c:v>
                </c:pt>
                <c:pt idx="174">
                  <c:v>98635</c:v>
                </c:pt>
                <c:pt idx="175">
                  <c:v>26974</c:v>
                </c:pt>
                <c:pt idx="176">
                  <c:v>96259</c:v>
                </c:pt>
                <c:pt idx="177">
                  <c:v>55008</c:v>
                </c:pt>
                <c:pt idx="178">
                  <c:v>55008</c:v>
                </c:pt>
                <c:pt idx="179">
                  <c:v>64975</c:v>
                </c:pt>
                <c:pt idx="180">
                  <c:v>29088</c:v>
                </c:pt>
                <c:pt idx="181">
                  <c:v>62599</c:v>
                </c:pt>
                <c:pt idx="182">
                  <c:v>78439</c:v>
                </c:pt>
                <c:pt idx="183">
                  <c:v>74875</c:v>
                </c:pt>
                <c:pt idx="184">
                  <c:v>58087</c:v>
                </c:pt>
                <c:pt idx="185">
                  <c:v>50821</c:v>
                </c:pt>
                <c:pt idx="186">
                  <c:v>47890</c:v>
                </c:pt>
                <c:pt idx="187">
                  <c:v>37348</c:v>
                </c:pt>
                <c:pt idx="188">
                  <c:v>32274</c:v>
                </c:pt>
                <c:pt idx="189">
                  <c:v>34517</c:v>
                </c:pt>
                <c:pt idx="190">
                  <c:v>84775</c:v>
                </c:pt>
                <c:pt idx="191">
                  <c:v>87151</c:v>
                </c:pt>
                <c:pt idx="192">
                  <c:v>76459</c:v>
                </c:pt>
                <c:pt idx="193">
                  <c:v>48602</c:v>
                </c:pt>
                <c:pt idx="194">
                  <c:v>37376</c:v>
                </c:pt>
                <c:pt idx="195">
                  <c:v>47139</c:v>
                </c:pt>
                <c:pt idx="196">
                  <c:v>17716</c:v>
                </c:pt>
                <c:pt idx="197">
                  <c:v>45527</c:v>
                </c:pt>
                <c:pt idx="198">
                  <c:v>44392</c:v>
                </c:pt>
                <c:pt idx="199">
                  <c:v>32511</c:v>
                </c:pt>
                <c:pt idx="200">
                  <c:v>61807</c:v>
                </c:pt>
                <c:pt idx="201">
                  <c:v>39092</c:v>
                </c:pt>
                <c:pt idx="202">
                  <c:v>71707</c:v>
                </c:pt>
                <c:pt idx="203">
                  <c:v>60223</c:v>
                </c:pt>
                <c:pt idx="204">
                  <c:v>80419</c:v>
                </c:pt>
                <c:pt idx="205">
                  <c:v>94279</c:v>
                </c:pt>
                <c:pt idx="206">
                  <c:v>20509</c:v>
                </c:pt>
                <c:pt idx="207">
                  <c:v>78043</c:v>
                </c:pt>
                <c:pt idx="208">
                  <c:v>84379</c:v>
                </c:pt>
                <c:pt idx="209">
                  <c:v>27944</c:v>
                </c:pt>
                <c:pt idx="210">
                  <c:v>80023</c:v>
                </c:pt>
                <c:pt idx="211">
                  <c:v>61015</c:v>
                </c:pt>
                <c:pt idx="212">
                  <c:v>85171</c:v>
                </c:pt>
                <c:pt idx="213">
                  <c:v>98239</c:v>
                </c:pt>
                <c:pt idx="214">
                  <c:v>76063</c:v>
                </c:pt>
                <c:pt idx="215">
                  <c:v>82795</c:v>
                </c:pt>
                <c:pt idx="216">
                  <c:v>91903</c:v>
                </c:pt>
                <c:pt idx="217">
                  <c:v>33802</c:v>
                </c:pt>
                <c:pt idx="218">
                  <c:v>81607</c:v>
                </c:pt>
                <c:pt idx="219">
                  <c:v>19795</c:v>
                </c:pt>
                <c:pt idx="220">
                  <c:v>79627</c:v>
                </c:pt>
                <c:pt idx="221">
                  <c:v>45066</c:v>
                </c:pt>
                <c:pt idx="222">
                  <c:v>43347</c:v>
                </c:pt>
                <c:pt idx="223">
                  <c:v>54120</c:v>
                </c:pt>
                <c:pt idx="224">
                  <c:v>43481</c:v>
                </c:pt>
                <c:pt idx="225">
                  <c:v>48636</c:v>
                </c:pt>
                <c:pt idx="226">
                  <c:v>54120</c:v>
                </c:pt>
                <c:pt idx="227">
                  <c:v>15850</c:v>
                </c:pt>
                <c:pt idx="228">
                  <c:v>44608</c:v>
                </c:pt>
                <c:pt idx="229">
                  <c:v>30496</c:v>
                </c:pt>
                <c:pt idx="230">
                  <c:v>30840</c:v>
                </c:pt>
                <c:pt idx="231">
                  <c:v>33361</c:v>
                </c:pt>
                <c:pt idx="232">
                  <c:v>42873</c:v>
                </c:pt>
                <c:pt idx="233">
                  <c:v>25622</c:v>
                </c:pt>
                <c:pt idx="234">
                  <c:v>57397</c:v>
                </c:pt>
                <c:pt idx="235">
                  <c:v>43159</c:v>
                </c:pt>
                <c:pt idx="236">
                  <c:v>53211</c:v>
                </c:pt>
                <c:pt idx="237">
                  <c:v>17293</c:v>
                </c:pt>
                <c:pt idx="238">
                  <c:v>25622</c:v>
                </c:pt>
                <c:pt idx="239">
                  <c:v>25622</c:v>
                </c:pt>
                <c:pt idx="240">
                  <c:v>19710</c:v>
                </c:pt>
                <c:pt idx="241">
                  <c:v>25622</c:v>
                </c:pt>
                <c:pt idx="242">
                  <c:v>25622</c:v>
                </c:pt>
                <c:pt idx="243">
                  <c:v>22261</c:v>
                </c:pt>
                <c:pt idx="244">
                  <c:v>48602</c:v>
                </c:pt>
                <c:pt idx="245">
                  <c:v>25622</c:v>
                </c:pt>
                <c:pt idx="246">
                  <c:v>25622</c:v>
                </c:pt>
                <c:pt idx="247">
                  <c:v>55307</c:v>
                </c:pt>
                <c:pt idx="248">
                  <c:v>47311</c:v>
                </c:pt>
                <c:pt idx="249">
                  <c:v>72499</c:v>
                </c:pt>
                <c:pt idx="250">
                  <c:v>25622</c:v>
                </c:pt>
                <c:pt idx="251">
                  <c:v>58618</c:v>
                </c:pt>
                <c:pt idx="252">
                  <c:v>25622</c:v>
                </c:pt>
                <c:pt idx="253">
                  <c:v>25622</c:v>
                </c:pt>
                <c:pt idx="254">
                  <c:v>41599</c:v>
                </c:pt>
                <c:pt idx="255">
                  <c:v>39341</c:v>
                </c:pt>
                <c:pt idx="256">
                  <c:v>55792</c:v>
                </c:pt>
                <c:pt idx="257">
                  <c:v>55792</c:v>
                </c:pt>
                <c:pt idx="258">
                  <c:v>55792</c:v>
                </c:pt>
                <c:pt idx="259">
                  <c:v>71311</c:v>
                </c:pt>
                <c:pt idx="260">
                  <c:v>44193</c:v>
                </c:pt>
                <c:pt idx="261">
                  <c:v>50334</c:v>
                </c:pt>
                <c:pt idx="262">
                  <c:v>67747</c:v>
                </c:pt>
                <c:pt idx="263">
                  <c:v>81211</c:v>
                </c:pt>
                <c:pt idx="264">
                  <c:v>25622</c:v>
                </c:pt>
                <c:pt idx="265">
                  <c:v>19806</c:v>
                </c:pt>
                <c:pt idx="266">
                  <c:v>20677</c:v>
                </c:pt>
              </c:numCache>
            </c:numRef>
          </c:xVal>
          <c:yVal>
            <c:numRef>
              <c:f>Citas_IPS_2!$J$2:$J$268</c:f>
              <c:numCache>
                <c:formatCode>0</c:formatCode>
                <c:ptCount val="267"/>
                <c:pt idx="0">
                  <c:v>31280.65</c:v>
                </c:pt>
                <c:pt idx="1">
                  <c:v>48602</c:v>
                </c:pt>
                <c:pt idx="2">
                  <c:v>43920.4</c:v>
                </c:pt>
                <c:pt idx="3">
                  <c:v>24550</c:v>
                </c:pt>
                <c:pt idx="4">
                  <c:v>28497</c:v>
                </c:pt>
                <c:pt idx="5">
                  <c:v>16646</c:v>
                </c:pt>
                <c:pt idx="6">
                  <c:v>22305</c:v>
                </c:pt>
                <c:pt idx="7">
                  <c:v>45267</c:v>
                </c:pt>
                <c:pt idx="8">
                  <c:v>26538</c:v>
                </c:pt>
                <c:pt idx="9">
                  <c:v>17665.25</c:v>
                </c:pt>
                <c:pt idx="10">
                  <c:v>57236</c:v>
                </c:pt>
                <c:pt idx="11">
                  <c:v>24060.65</c:v>
                </c:pt>
                <c:pt idx="12">
                  <c:v>15933.4</c:v>
                </c:pt>
                <c:pt idx="13">
                  <c:v>46171.9</c:v>
                </c:pt>
                <c:pt idx="14">
                  <c:v>57588.05</c:v>
                </c:pt>
                <c:pt idx="15">
                  <c:v>79407.649999999994</c:v>
                </c:pt>
                <c:pt idx="16">
                  <c:v>40793</c:v>
                </c:pt>
                <c:pt idx="17">
                  <c:v>47126.65</c:v>
                </c:pt>
                <c:pt idx="18">
                  <c:v>30610</c:v>
                </c:pt>
                <c:pt idx="19">
                  <c:v>38089</c:v>
                </c:pt>
                <c:pt idx="20">
                  <c:v>31599.85</c:v>
                </c:pt>
                <c:pt idx="21">
                  <c:v>44733</c:v>
                </c:pt>
                <c:pt idx="22">
                  <c:v>62995</c:v>
                </c:pt>
                <c:pt idx="23">
                  <c:v>49398.1</c:v>
                </c:pt>
                <c:pt idx="24">
                  <c:v>17546.5</c:v>
                </c:pt>
                <c:pt idx="25">
                  <c:v>64579</c:v>
                </c:pt>
                <c:pt idx="26">
                  <c:v>23689</c:v>
                </c:pt>
                <c:pt idx="27">
                  <c:v>70002.649999999994</c:v>
                </c:pt>
                <c:pt idx="28">
                  <c:v>42877</c:v>
                </c:pt>
                <c:pt idx="29">
                  <c:v>86755</c:v>
                </c:pt>
                <c:pt idx="30">
                  <c:v>47056.35</c:v>
                </c:pt>
                <c:pt idx="31">
                  <c:v>23535</c:v>
                </c:pt>
                <c:pt idx="32">
                  <c:v>45624</c:v>
                </c:pt>
                <c:pt idx="33">
                  <c:v>93487</c:v>
                </c:pt>
                <c:pt idx="34">
                  <c:v>47645.35</c:v>
                </c:pt>
                <c:pt idx="35">
                  <c:v>90317.45</c:v>
                </c:pt>
                <c:pt idx="36">
                  <c:v>65488.25</c:v>
                </c:pt>
                <c:pt idx="37">
                  <c:v>17656</c:v>
                </c:pt>
                <c:pt idx="38">
                  <c:v>22119.8</c:v>
                </c:pt>
                <c:pt idx="39">
                  <c:v>81664.850000000006</c:v>
                </c:pt>
                <c:pt idx="40">
                  <c:v>84674.45</c:v>
                </c:pt>
                <c:pt idx="41">
                  <c:v>46686.8</c:v>
                </c:pt>
                <c:pt idx="42">
                  <c:v>30058</c:v>
                </c:pt>
                <c:pt idx="43">
                  <c:v>48602</c:v>
                </c:pt>
                <c:pt idx="44">
                  <c:v>20101.05</c:v>
                </c:pt>
                <c:pt idx="45">
                  <c:v>32120.45</c:v>
                </c:pt>
                <c:pt idx="46">
                  <c:v>86359</c:v>
                </c:pt>
                <c:pt idx="47">
                  <c:v>30067.5</c:v>
                </c:pt>
                <c:pt idx="48">
                  <c:v>16026.5</c:v>
                </c:pt>
                <c:pt idx="49">
                  <c:v>20471</c:v>
                </c:pt>
                <c:pt idx="50">
                  <c:v>46747.6</c:v>
                </c:pt>
                <c:pt idx="51">
                  <c:v>81288.649999999994</c:v>
                </c:pt>
                <c:pt idx="52">
                  <c:v>37188</c:v>
                </c:pt>
                <c:pt idx="53">
                  <c:v>37028</c:v>
                </c:pt>
                <c:pt idx="54">
                  <c:v>51414</c:v>
                </c:pt>
                <c:pt idx="55">
                  <c:v>32959</c:v>
                </c:pt>
                <c:pt idx="56">
                  <c:v>39121.949999999997</c:v>
                </c:pt>
                <c:pt idx="57">
                  <c:v>21843</c:v>
                </c:pt>
                <c:pt idx="58">
                  <c:v>43353</c:v>
                </c:pt>
                <c:pt idx="59">
                  <c:v>38217</c:v>
                </c:pt>
                <c:pt idx="60">
                  <c:v>69250.25</c:v>
                </c:pt>
                <c:pt idx="61">
                  <c:v>25959</c:v>
                </c:pt>
                <c:pt idx="62">
                  <c:v>56459.45</c:v>
                </c:pt>
                <c:pt idx="63">
                  <c:v>47657.7</c:v>
                </c:pt>
                <c:pt idx="64">
                  <c:v>35781.75</c:v>
                </c:pt>
                <c:pt idx="65">
                  <c:v>35114.85</c:v>
                </c:pt>
                <c:pt idx="66">
                  <c:v>48796.75</c:v>
                </c:pt>
                <c:pt idx="67">
                  <c:v>24569.85</c:v>
                </c:pt>
                <c:pt idx="68">
                  <c:v>20790.75</c:v>
                </c:pt>
                <c:pt idx="69">
                  <c:v>69626.45</c:v>
                </c:pt>
                <c:pt idx="70">
                  <c:v>48147.9</c:v>
                </c:pt>
                <c:pt idx="71">
                  <c:v>91507</c:v>
                </c:pt>
                <c:pt idx="72">
                  <c:v>49362.95</c:v>
                </c:pt>
                <c:pt idx="73">
                  <c:v>51414</c:v>
                </c:pt>
                <c:pt idx="74">
                  <c:v>80815</c:v>
                </c:pt>
                <c:pt idx="75">
                  <c:v>53460.3</c:v>
                </c:pt>
                <c:pt idx="76">
                  <c:v>60973.85</c:v>
                </c:pt>
                <c:pt idx="77">
                  <c:v>84298.25</c:v>
                </c:pt>
                <c:pt idx="78">
                  <c:v>40822</c:v>
                </c:pt>
                <c:pt idx="79">
                  <c:v>41191</c:v>
                </c:pt>
                <c:pt idx="80">
                  <c:v>78835</c:v>
                </c:pt>
                <c:pt idx="81">
                  <c:v>94675</c:v>
                </c:pt>
                <c:pt idx="82">
                  <c:v>83191</c:v>
                </c:pt>
                <c:pt idx="83">
                  <c:v>18057.599999999999</c:v>
                </c:pt>
                <c:pt idx="84">
                  <c:v>91069.85</c:v>
                </c:pt>
                <c:pt idx="85">
                  <c:v>93091</c:v>
                </c:pt>
                <c:pt idx="86">
                  <c:v>44027.75</c:v>
                </c:pt>
                <c:pt idx="87">
                  <c:v>78279.05</c:v>
                </c:pt>
                <c:pt idx="88">
                  <c:v>15243</c:v>
                </c:pt>
                <c:pt idx="89">
                  <c:v>91111</c:v>
                </c:pt>
                <c:pt idx="90">
                  <c:v>92198.45</c:v>
                </c:pt>
                <c:pt idx="91">
                  <c:v>28742</c:v>
                </c:pt>
                <c:pt idx="92">
                  <c:v>61411</c:v>
                </c:pt>
                <c:pt idx="93">
                  <c:v>50325</c:v>
                </c:pt>
                <c:pt idx="94">
                  <c:v>90319</c:v>
                </c:pt>
                <c:pt idx="95">
                  <c:v>76855</c:v>
                </c:pt>
                <c:pt idx="96">
                  <c:v>63787</c:v>
                </c:pt>
                <c:pt idx="97">
                  <c:v>79231</c:v>
                </c:pt>
                <c:pt idx="98">
                  <c:v>38392.35</c:v>
                </c:pt>
                <c:pt idx="99">
                  <c:v>57782</c:v>
                </c:pt>
                <c:pt idx="100">
                  <c:v>51015</c:v>
                </c:pt>
                <c:pt idx="101">
                  <c:v>32239</c:v>
                </c:pt>
                <c:pt idx="102">
                  <c:v>43586.95</c:v>
                </c:pt>
                <c:pt idx="103">
                  <c:v>90715</c:v>
                </c:pt>
                <c:pt idx="104">
                  <c:v>55230</c:v>
                </c:pt>
                <c:pt idx="105">
                  <c:v>44611.05</c:v>
                </c:pt>
                <c:pt idx="106">
                  <c:v>68143</c:v>
                </c:pt>
                <c:pt idx="107">
                  <c:v>67351</c:v>
                </c:pt>
                <c:pt idx="108">
                  <c:v>73764.649999999994</c:v>
                </c:pt>
                <c:pt idx="109">
                  <c:v>17647.2</c:v>
                </c:pt>
                <c:pt idx="110">
                  <c:v>50359</c:v>
                </c:pt>
                <c:pt idx="111">
                  <c:v>92695</c:v>
                </c:pt>
                <c:pt idx="112">
                  <c:v>73388.45</c:v>
                </c:pt>
                <c:pt idx="113">
                  <c:v>19183.349999999999</c:v>
                </c:pt>
                <c:pt idx="114">
                  <c:v>41813</c:v>
                </c:pt>
                <c:pt idx="115">
                  <c:v>16192.75</c:v>
                </c:pt>
                <c:pt idx="116">
                  <c:v>30614.7</c:v>
                </c:pt>
                <c:pt idx="117">
                  <c:v>16441</c:v>
                </c:pt>
                <c:pt idx="118">
                  <c:v>47937.95</c:v>
                </c:pt>
                <c:pt idx="119">
                  <c:v>35795</c:v>
                </c:pt>
                <c:pt idx="120">
                  <c:v>67369.25</c:v>
                </c:pt>
                <c:pt idx="121">
                  <c:v>59092.85</c:v>
                </c:pt>
                <c:pt idx="122">
                  <c:v>87547</c:v>
                </c:pt>
                <c:pt idx="123">
                  <c:v>33551.15</c:v>
                </c:pt>
                <c:pt idx="124">
                  <c:v>66993.05</c:v>
                </c:pt>
                <c:pt idx="125">
                  <c:v>23262</c:v>
                </c:pt>
                <c:pt idx="126">
                  <c:v>59827</c:v>
                </c:pt>
                <c:pt idx="127">
                  <c:v>35449</c:v>
                </c:pt>
                <c:pt idx="128">
                  <c:v>66955</c:v>
                </c:pt>
                <c:pt idx="129">
                  <c:v>21583</c:v>
                </c:pt>
                <c:pt idx="130">
                  <c:v>27670</c:v>
                </c:pt>
                <c:pt idx="131">
                  <c:v>19929</c:v>
                </c:pt>
                <c:pt idx="132">
                  <c:v>19724</c:v>
                </c:pt>
                <c:pt idx="133">
                  <c:v>51414</c:v>
                </c:pt>
                <c:pt idx="134">
                  <c:v>45431</c:v>
                </c:pt>
                <c:pt idx="135">
                  <c:v>16477</c:v>
                </c:pt>
                <c:pt idx="136">
                  <c:v>93883</c:v>
                </c:pt>
                <c:pt idx="137">
                  <c:v>75667</c:v>
                </c:pt>
                <c:pt idx="138">
                  <c:v>87943</c:v>
                </c:pt>
                <c:pt idx="139">
                  <c:v>37667</c:v>
                </c:pt>
                <c:pt idx="140">
                  <c:v>85050.65</c:v>
                </c:pt>
                <c:pt idx="141">
                  <c:v>48424.35</c:v>
                </c:pt>
                <c:pt idx="142">
                  <c:v>72103</c:v>
                </c:pt>
                <c:pt idx="143">
                  <c:v>60221.45</c:v>
                </c:pt>
                <c:pt idx="144">
                  <c:v>46171.9</c:v>
                </c:pt>
                <c:pt idx="145">
                  <c:v>46316</c:v>
                </c:pt>
                <c:pt idx="146">
                  <c:v>22540.65</c:v>
                </c:pt>
                <c:pt idx="147">
                  <c:v>23191</c:v>
                </c:pt>
                <c:pt idx="148">
                  <c:v>43279.15</c:v>
                </c:pt>
                <c:pt idx="149">
                  <c:v>96655</c:v>
                </c:pt>
                <c:pt idx="150">
                  <c:v>16308.65</c:v>
                </c:pt>
                <c:pt idx="151">
                  <c:v>33244.300000000003</c:v>
                </c:pt>
                <c:pt idx="152">
                  <c:v>70123</c:v>
                </c:pt>
                <c:pt idx="153">
                  <c:v>24814</c:v>
                </c:pt>
                <c:pt idx="154">
                  <c:v>19558</c:v>
                </c:pt>
                <c:pt idx="155">
                  <c:v>92299</c:v>
                </c:pt>
                <c:pt idx="156">
                  <c:v>50846</c:v>
                </c:pt>
                <c:pt idx="157">
                  <c:v>41376.300000000003</c:v>
                </c:pt>
                <c:pt idx="158">
                  <c:v>25396</c:v>
                </c:pt>
                <c:pt idx="159">
                  <c:v>33797</c:v>
                </c:pt>
                <c:pt idx="160">
                  <c:v>19415</c:v>
                </c:pt>
                <c:pt idx="161">
                  <c:v>70755.05</c:v>
                </c:pt>
                <c:pt idx="162">
                  <c:v>49536.800000000003</c:v>
                </c:pt>
                <c:pt idx="163">
                  <c:v>53957</c:v>
                </c:pt>
                <c:pt idx="164">
                  <c:v>51511</c:v>
                </c:pt>
                <c:pt idx="165">
                  <c:v>39477.25</c:v>
                </c:pt>
                <c:pt idx="166">
                  <c:v>90693.65</c:v>
                </c:pt>
                <c:pt idx="167">
                  <c:v>65864.45</c:v>
                </c:pt>
                <c:pt idx="168">
                  <c:v>21952</c:v>
                </c:pt>
                <c:pt idx="169">
                  <c:v>79783.850000000006</c:v>
                </c:pt>
                <c:pt idx="170">
                  <c:v>82003</c:v>
                </c:pt>
                <c:pt idx="171">
                  <c:v>83922.05</c:v>
                </c:pt>
                <c:pt idx="172">
                  <c:v>97447</c:v>
                </c:pt>
                <c:pt idx="173">
                  <c:v>20693</c:v>
                </c:pt>
                <c:pt idx="174">
                  <c:v>98635</c:v>
                </c:pt>
                <c:pt idx="175">
                  <c:v>26974</c:v>
                </c:pt>
                <c:pt idx="176">
                  <c:v>96259</c:v>
                </c:pt>
                <c:pt idx="177">
                  <c:v>52257.599999999999</c:v>
                </c:pt>
                <c:pt idx="178">
                  <c:v>52257.599999999999</c:v>
                </c:pt>
                <c:pt idx="179">
                  <c:v>64975</c:v>
                </c:pt>
                <c:pt idx="180">
                  <c:v>29088</c:v>
                </c:pt>
                <c:pt idx="181">
                  <c:v>59469.05</c:v>
                </c:pt>
                <c:pt idx="182">
                  <c:v>78439</c:v>
                </c:pt>
                <c:pt idx="183">
                  <c:v>71131.25</c:v>
                </c:pt>
                <c:pt idx="184">
                  <c:v>55182.65</c:v>
                </c:pt>
                <c:pt idx="185">
                  <c:v>48279.95</c:v>
                </c:pt>
                <c:pt idx="186">
                  <c:v>47890</c:v>
                </c:pt>
                <c:pt idx="187">
                  <c:v>37348</c:v>
                </c:pt>
                <c:pt idx="188">
                  <c:v>30660.3</c:v>
                </c:pt>
                <c:pt idx="189">
                  <c:v>32791.15</c:v>
                </c:pt>
                <c:pt idx="190">
                  <c:v>80536.25</c:v>
                </c:pt>
                <c:pt idx="191">
                  <c:v>87151</c:v>
                </c:pt>
                <c:pt idx="192">
                  <c:v>76459</c:v>
                </c:pt>
                <c:pt idx="193">
                  <c:v>48602</c:v>
                </c:pt>
                <c:pt idx="194">
                  <c:v>35507.199999999997</c:v>
                </c:pt>
                <c:pt idx="195">
                  <c:v>47139</c:v>
                </c:pt>
                <c:pt idx="196">
                  <c:v>16830.2</c:v>
                </c:pt>
                <c:pt idx="197">
                  <c:v>45527</c:v>
                </c:pt>
                <c:pt idx="198">
                  <c:v>44392</c:v>
                </c:pt>
                <c:pt idx="199">
                  <c:v>32511</c:v>
                </c:pt>
                <c:pt idx="200">
                  <c:v>61807</c:v>
                </c:pt>
                <c:pt idx="201">
                  <c:v>37137.4</c:v>
                </c:pt>
                <c:pt idx="202">
                  <c:v>68121.649999999994</c:v>
                </c:pt>
                <c:pt idx="203">
                  <c:v>57211.85</c:v>
                </c:pt>
                <c:pt idx="204">
                  <c:v>80419</c:v>
                </c:pt>
                <c:pt idx="205">
                  <c:v>89565.05</c:v>
                </c:pt>
                <c:pt idx="206">
                  <c:v>20509</c:v>
                </c:pt>
                <c:pt idx="207">
                  <c:v>78043</c:v>
                </c:pt>
                <c:pt idx="208">
                  <c:v>80160.05</c:v>
                </c:pt>
                <c:pt idx="209">
                  <c:v>27944</c:v>
                </c:pt>
                <c:pt idx="210">
                  <c:v>80023</c:v>
                </c:pt>
                <c:pt idx="211">
                  <c:v>57964.25</c:v>
                </c:pt>
                <c:pt idx="212">
                  <c:v>80912.45</c:v>
                </c:pt>
                <c:pt idx="213">
                  <c:v>98239</c:v>
                </c:pt>
                <c:pt idx="214">
                  <c:v>76063</c:v>
                </c:pt>
                <c:pt idx="215">
                  <c:v>82795</c:v>
                </c:pt>
                <c:pt idx="216">
                  <c:v>91903</c:v>
                </c:pt>
                <c:pt idx="217">
                  <c:v>32111.9</c:v>
                </c:pt>
                <c:pt idx="218">
                  <c:v>77526.649999999994</c:v>
                </c:pt>
                <c:pt idx="219">
                  <c:v>18805.25</c:v>
                </c:pt>
                <c:pt idx="220">
                  <c:v>79627</c:v>
                </c:pt>
                <c:pt idx="221">
                  <c:v>45066</c:v>
                </c:pt>
                <c:pt idx="222">
                  <c:v>41179.65</c:v>
                </c:pt>
                <c:pt idx="223">
                  <c:v>51414</c:v>
                </c:pt>
                <c:pt idx="224">
                  <c:v>41306.949999999997</c:v>
                </c:pt>
                <c:pt idx="225">
                  <c:v>48636</c:v>
                </c:pt>
                <c:pt idx="226">
                  <c:v>54120</c:v>
                </c:pt>
                <c:pt idx="227">
                  <c:v>15057.5</c:v>
                </c:pt>
                <c:pt idx="228">
                  <c:v>42377.599999999999</c:v>
                </c:pt>
                <c:pt idx="229">
                  <c:v>30496</c:v>
                </c:pt>
                <c:pt idx="230">
                  <c:v>30840</c:v>
                </c:pt>
                <c:pt idx="231">
                  <c:v>31692.95</c:v>
                </c:pt>
                <c:pt idx="232">
                  <c:v>40729.35</c:v>
                </c:pt>
                <c:pt idx="233">
                  <c:v>25622</c:v>
                </c:pt>
                <c:pt idx="234">
                  <c:v>54527.15</c:v>
                </c:pt>
                <c:pt idx="235">
                  <c:v>43159</c:v>
                </c:pt>
                <c:pt idx="236">
                  <c:v>53211</c:v>
                </c:pt>
                <c:pt idx="237">
                  <c:v>17293</c:v>
                </c:pt>
                <c:pt idx="238">
                  <c:v>25622</c:v>
                </c:pt>
                <c:pt idx="239">
                  <c:v>25622</c:v>
                </c:pt>
                <c:pt idx="240">
                  <c:v>18724.5</c:v>
                </c:pt>
                <c:pt idx="241">
                  <c:v>25622</c:v>
                </c:pt>
                <c:pt idx="242">
                  <c:v>24340.9</c:v>
                </c:pt>
                <c:pt idx="243">
                  <c:v>21147.95</c:v>
                </c:pt>
                <c:pt idx="244">
                  <c:v>46171.9</c:v>
                </c:pt>
                <c:pt idx="245">
                  <c:v>24340.9</c:v>
                </c:pt>
                <c:pt idx="246">
                  <c:v>25622</c:v>
                </c:pt>
                <c:pt idx="247">
                  <c:v>52541.65</c:v>
                </c:pt>
                <c:pt idx="248">
                  <c:v>47311</c:v>
                </c:pt>
                <c:pt idx="249">
                  <c:v>68874.05</c:v>
                </c:pt>
                <c:pt idx="250">
                  <c:v>25622</c:v>
                </c:pt>
                <c:pt idx="251">
                  <c:v>55687.1</c:v>
                </c:pt>
                <c:pt idx="252">
                  <c:v>24340.9</c:v>
                </c:pt>
                <c:pt idx="253">
                  <c:v>25622</c:v>
                </c:pt>
                <c:pt idx="254">
                  <c:v>39519.050000000003</c:v>
                </c:pt>
                <c:pt idx="255">
                  <c:v>37373.949999999997</c:v>
                </c:pt>
                <c:pt idx="256">
                  <c:v>53002.400000000001</c:v>
                </c:pt>
                <c:pt idx="257">
                  <c:v>53002.400000000001</c:v>
                </c:pt>
                <c:pt idx="258">
                  <c:v>55792</c:v>
                </c:pt>
                <c:pt idx="259">
                  <c:v>71311</c:v>
                </c:pt>
                <c:pt idx="260">
                  <c:v>44193</c:v>
                </c:pt>
                <c:pt idx="261">
                  <c:v>50334</c:v>
                </c:pt>
                <c:pt idx="262">
                  <c:v>67747</c:v>
                </c:pt>
                <c:pt idx="263">
                  <c:v>81211</c:v>
                </c:pt>
                <c:pt idx="264">
                  <c:v>24340.9</c:v>
                </c:pt>
                <c:pt idx="265">
                  <c:v>18815.7</c:v>
                </c:pt>
                <c:pt idx="266">
                  <c:v>20677</c:v>
                </c:pt>
              </c:numCache>
            </c:numRef>
          </c:yVal>
          <c:smooth val="0"/>
          <c:extLst>
            <c:ext xmlns:c16="http://schemas.microsoft.com/office/drawing/2014/chart" uri="{C3380CC4-5D6E-409C-BE32-E72D297353CC}">
              <c16:uniqueId val="{00000000-41E7-4CF9-8603-4255DE8162E4}"/>
            </c:ext>
          </c:extLst>
        </c:ser>
        <c:dLbls>
          <c:showLegendKey val="0"/>
          <c:showVal val="0"/>
          <c:showCatName val="0"/>
          <c:showSerName val="0"/>
          <c:showPercent val="0"/>
          <c:showBubbleSize val="0"/>
        </c:dLbls>
        <c:axId val="500660672"/>
        <c:axId val="500653128"/>
      </c:scatterChart>
      <c:valAx>
        <c:axId val="500660672"/>
        <c:scaling>
          <c:orientation val="minMax"/>
        </c:scaling>
        <c:delete val="0"/>
        <c:axPos val="b"/>
        <c:majorGridlines>
          <c:spPr>
            <a:ln w="9525" cap="flat" cmpd="sng" algn="ctr">
              <a:solidFill>
                <a:schemeClr val="tx1">
                  <a:lumMod val="15000"/>
                  <a:lumOff val="85000"/>
                </a:schemeClr>
              </a:solidFill>
              <a:round/>
            </a:ln>
            <a:effectLst/>
          </c:spPr>
        </c:majorGridlines>
        <c:numFmt formatCode="_ * #,##0_)\ _$_ ;_ * \(#,##0\)\ _$_ ;_ * &quot;-&quot;??_)\ _$_ ;_ @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00653128"/>
        <c:crosses val="autoZero"/>
        <c:crossBetween val="midCat"/>
      </c:valAx>
      <c:valAx>
        <c:axId val="50065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006606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GRAFICO</a:t>
            </a:r>
            <a:r>
              <a:rPr lang="es-CO" baseline="0"/>
              <a:t> DE BARRAS - SEXO</a:t>
            </a:r>
            <a:endParaRPr lang="es-CO"/>
          </a:p>
        </c:rich>
      </c:tx>
      <c:layout>
        <c:manualLayout>
          <c:xMode val="edge"/>
          <c:yMode val="edge"/>
          <c:x val="0.3596804461942257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'Funciones (50%)'!$F$124:$F$125</c:f>
              <c:strCache>
                <c:ptCount val="2"/>
                <c:pt idx="0">
                  <c:v>F</c:v>
                </c:pt>
                <c:pt idx="1">
                  <c:v>M</c:v>
                </c:pt>
              </c:strCache>
            </c:strRef>
          </c:cat>
          <c:val>
            <c:numRef>
              <c:f>'Funciones (50%)'!$G$124:$G$125</c:f>
              <c:numCache>
                <c:formatCode>General</c:formatCode>
                <c:ptCount val="2"/>
                <c:pt idx="0">
                  <c:v>127</c:v>
                </c:pt>
                <c:pt idx="1">
                  <c:v>140</c:v>
                </c:pt>
              </c:numCache>
            </c:numRef>
          </c:val>
          <c:extLst>
            <c:ext xmlns:c16="http://schemas.microsoft.com/office/drawing/2014/chart" uri="{C3380CC4-5D6E-409C-BE32-E72D297353CC}">
              <c16:uniqueId val="{00000000-C61F-4828-BF84-753CE6D70DB8}"/>
            </c:ext>
          </c:extLst>
        </c:ser>
        <c:dLbls>
          <c:showLegendKey val="0"/>
          <c:showVal val="0"/>
          <c:showCatName val="0"/>
          <c:showSerName val="0"/>
          <c:showPercent val="0"/>
          <c:showBubbleSize val="0"/>
        </c:dLbls>
        <c:gapWidth val="219"/>
        <c:overlap val="-27"/>
        <c:axId val="451253784"/>
        <c:axId val="451243944"/>
      </c:barChart>
      <c:catAx>
        <c:axId val="451253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243944"/>
        <c:crosses val="autoZero"/>
        <c:auto val="1"/>
        <c:lblAlgn val="ctr"/>
        <c:lblOffset val="100"/>
        <c:noMultiLvlLbl val="0"/>
      </c:catAx>
      <c:valAx>
        <c:axId val="451243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253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18</xdr:row>
      <xdr:rowOff>9525</xdr:rowOff>
    </xdr:from>
    <xdr:to>
      <xdr:col>5</xdr:col>
      <xdr:colOff>142875</xdr:colOff>
      <xdr:row>25</xdr:row>
      <xdr:rowOff>47625</xdr:rowOff>
    </xdr:to>
    <mc:AlternateContent xmlns:mc="http://schemas.openxmlformats.org/markup-compatibility/2006" xmlns:tsle="http://schemas.microsoft.com/office/drawing/2012/timeslicer">
      <mc:Choice Requires="tsle">
        <xdr:graphicFrame macro="">
          <xdr:nvGraphicFramePr>
            <xdr:cNvPr id="8" name="FechaNacimiento">
              <a:extLst>
                <a:ext uri="{FF2B5EF4-FFF2-40B4-BE49-F238E27FC236}">
                  <a16:creationId xmlns:a16="http://schemas.microsoft.com/office/drawing/2014/main" id="{B6229729-494D-4744-B859-FAFDE580CBA1}"/>
                </a:ext>
              </a:extLst>
            </xdr:cNvPr>
            <xdr:cNvGraphicFramePr/>
          </xdr:nvGraphicFramePr>
          <xdr:xfrm>
            <a:off x="0" y="0"/>
            <a:ext cx="0" cy="0"/>
          </xdr:xfrm>
          <a:graphic>
            <a:graphicData uri="http://schemas.microsoft.com/office/drawing/2012/timeslicer">
              <tsle:timeslicer name="FechaNacimiento"/>
            </a:graphicData>
          </a:graphic>
        </xdr:graphicFrame>
      </mc:Choice>
      <mc:Fallback xmlns="">
        <xdr:sp macro="" textlink="">
          <xdr:nvSpPr>
            <xdr:cNvPr id="0" name=""/>
            <xdr:cNvSpPr>
              <a:spLocks noTextEdit="1"/>
            </xdr:cNvSpPr>
          </xdr:nvSpPr>
          <xdr:spPr>
            <a:xfrm>
              <a:off x="1219200" y="3438525"/>
              <a:ext cx="3333750" cy="1371600"/>
            </a:xfrm>
            <a:prstGeom prst="rect">
              <a:avLst/>
            </a:prstGeom>
            <a:solidFill>
              <a:prstClr val="white"/>
            </a:solidFill>
            <a:ln w="1">
              <a:solidFill>
                <a:prstClr val="green"/>
              </a:solidFill>
            </a:ln>
          </xdr:spPr>
          <xdr:txBody>
            <a:bodyPr vertOverflow="clip" horzOverflow="clip"/>
            <a:lstStyle/>
            <a:p>
              <a:r>
                <a:rPr lang="es-CO" sz="1100"/>
                <a:t>Línea de tiempo: Funciona en Excel 2013 o superior. No mover ni cambiar el tamaño.</a:t>
              </a:r>
            </a:p>
          </xdr:txBody>
        </xdr:sp>
      </mc:Fallback>
    </mc:AlternateContent>
    <xdr:clientData/>
  </xdr:twoCellAnchor>
  <xdr:twoCellAnchor editAs="oneCell">
    <xdr:from>
      <xdr:col>3</xdr:col>
      <xdr:colOff>19050</xdr:colOff>
      <xdr:row>2</xdr:row>
      <xdr:rowOff>9525</xdr:rowOff>
    </xdr:from>
    <xdr:to>
      <xdr:col>5</xdr:col>
      <xdr:colOff>323850</xdr:colOff>
      <xdr:row>15</xdr:row>
      <xdr:rowOff>57150</xdr:rowOff>
    </xdr:to>
    <mc:AlternateContent xmlns:mc="http://schemas.openxmlformats.org/markup-compatibility/2006" xmlns:a14="http://schemas.microsoft.com/office/drawing/2010/main">
      <mc:Choice Requires="a14">
        <xdr:graphicFrame macro="">
          <xdr:nvGraphicFramePr>
            <xdr:cNvPr id="9" name="Sexo">
              <a:extLst>
                <a:ext uri="{FF2B5EF4-FFF2-40B4-BE49-F238E27FC236}">
                  <a16:creationId xmlns:a16="http://schemas.microsoft.com/office/drawing/2014/main" id="{1C7EED4F-FD7F-4CB4-BDA1-518C91ACAC9E}"/>
                </a:ext>
              </a:extLst>
            </xdr:cNvPr>
            <xdr:cNvGraphicFramePr/>
          </xdr:nvGraphicFramePr>
          <xdr:xfrm>
            <a:off x="0" y="0"/>
            <a:ext cx="0" cy="0"/>
          </xdr:xfrm>
          <a:graphic>
            <a:graphicData uri="http://schemas.microsoft.com/office/drawing/2010/slicer">
              <sle:slicer xmlns:sle="http://schemas.microsoft.com/office/drawing/2010/slicer" name="Sexo"/>
            </a:graphicData>
          </a:graphic>
        </xdr:graphicFrame>
      </mc:Choice>
      <mc:Fallback xmlns="">
        <xdr:sp macro="" textlink="">
          <xdr:nvSpPr>
            <xdr:cNvPr id="0" name=""/>
            <xdr:cNvSpPr>
              <a:spLocks noTextEdit="1"/>
            </xdr:cNvSpPr>
          </xdr:nvSpPr>
          <xdr:spPr>
            <a:xfrm>
              <a:off x="2905125" y="390525"/>
              <a:ext cx="1828800" cy="2524125"/>
            </a:xfrm>
            <a:prstGeom prst="rect">
              <a:avLst/>
            </a:prstGeom>
            <a:solidFill>
              <a:prstClr val="white"/>
            </a:solidFill>
            <a:ln w="1">
              <a:solidFill>
                <a:prstClr val="green"/>
              </a:solidFill>
            </a:ln>
          </xdr:spPr>
          <xdr:txBody>
            <a:bodyPr vertOverflow="clip" horzOverflow="clip"/>
            <a:lstStyle/>
            <a:p>
              <a:r>
                <a:rPr lang="es-CO"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6</xdr:col>
      <xdr:colOff>9525</xdr:colOff>
      <xdr:row>1</xdr:row>
      <xdr:rowOff>171450</xdr:rowOff>
    </xdr:from>
    <xdr:to>
      <xdr:col>8</xdr:col>
      <xdr:colOff>314325</xdr:colOff>
      <xdr:row>15</xdr:row>
      <xdr:rowOff>28575</xdr:rowOff>
    </xdr:to>
    <mc:AlternateContent xmlns:mc="http://schemas.openxmlformats.org/markup-compatibility/2006" xmlns:a14="http://schemas.microsoft.com/office/drawing/2010/main">
      <mc:Choice Requires="a14">
        <xdr:graphicFrame macro="">
          <xdr:nvGraphicFramePr>
            <xdr:cNvPr id="10" name="TIPO DE CONSULTA">
              <a:extLst>
                <a:ext uri="{FF2B5EF4-FFF2-40B4-BE49-F238E27FC236}">
                  <a16:creationId xmlns:a16="http://schemas.microsoft.com/office/drawing/2014/main" id="{BFBA9E96-BA55-43D2-B9B8-E40B86F9138B}"/>
                </a:ext>
              </a:extLst>
            </xdr:cNvPr>
            <xdr:cNvGraphicFramePr/>
          </xdr:nvGraphicFramePr>
          <xdr:xfrm>
            <a:off x="0" y="0"/>
            <a:ext cx="0" cy="0"/>
          </xdr:xfrm>
          <a:graphic>
            <a:graphicData uri="http://schemas.microsoft.com/office/drawing/2010/slicer">
              <sle:slicer xmlns:sle="http://schemas.microsoft.com/office/drawing/2010/slicer" name="TIPO DE CONSULTA"/>
            </a:graphicData>
          </a:graphic>
        </xdr:graphicFrame>
      </mc:Choice>
      <mc:Fallback xmlns="">
        <xdr:sp macro="" textlink="">
          <xdr:nvSpPr>
            <xdr:cNvPr id="0" name=""/>
            <xdr:cNvSpPr>
              <a:spLocks noTextEdit="1"/>
            </xdr:cNvSpPr>
          </xdr:nvSpPr>
          <xdr:spPr>
            <a:xfrm>
              <a:off x="5181600" y="361950"/>
              <a:ext cx="1828800" cy="2524125"/>
            </a:xfrm>
            <a:prstGeom prst="rect">
              <a:avLst/>
            </a:prstGeom>
            <a:solidFill>
              <a:prstClr val="white"/>
            </a:solidFill>
            <a:ln w="1">
              <a:solidFill>
                <a:prstClr val="green"/>
              </a:solidFill>
            </a:ln>
          </xdr:spPr>
          <xdr:txBody>
            <a:bodyPr vertOverflow="clip" horzOverflow="clip"/>
            <a:lstStyle/>
            <a:p>
              <a:r>
                <a:rPr lang="es-CO"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9</xdr:col>
      <xdr:colOff>9525</xdr:colOff>
      <xdr:row>2</xdr:row>
      <xdr:rowOff>9525</xdr:rowOff>
    </xdr:from>
    <xdr:to>
      <xdr:col>11</xdr:col>
      <xdr:colOff>314325</xdr:colOff>
      <xdr:row>15</xdr:row>
      <xdr:rowOff>57150</xdr:rowOff>
    </xdr:to>
    <mc:AlternateContent xmlns:mc="http://schemas.openxmlformats.org/markup-compatibility/2006" xmlns:a14="http://schemas.microsoft.com/office/drawing/2010/main">
      <mc:Choice Requires="a14">
        <xdr:graphicFrame macro="">
          <xdr:nvGraphicFramePr>
            <xdr:cNvPr id="11" name="Especialidad">
              <a:extLst>
                <a:ext uri="{FF2B5EF4-FFF2-40B4-BE49-F238E27FC236}">
                  <a16:creationId xmlns:a16="http://schemas.microsoft.com/office/drawing/2014/main" id="{2A2705FD-4F0A-4B5E-B54C-BFF8B6A2488C}"/>
                </a:ext>
              </a:extLst>
            </xdr:cNvPr>
            <xdr:cNvGraphicFramePr/>
          </xdr:nvGraphicFramePr>
          <xdr:xfrm>
            <a:off x="0" y="0"/>
            <a:ext cx="0" cy="0"/>
          </xdr:xfrm>
          <a:graphic>
            <a:graphicData uri="http://schemas.microsoft.com/office/drawing/2010/slicer">
              <sle:slicer xmlns:sle="http://schemas.microsoft.com/office/drawing/2010/slicer" name="Especialidad"/>
            </a:graphicData>
          </a:graphic>
        </xdr:graphicFrame>
      </mc:Choice>
      <mc:Fallback xmlns="">
        <xdr:sp macro="" textlink="">
          <xdr:nvSpPr>
            <xdr:cNvPr id="0" name=""/>
            <xdr:cNvSpPr>
              <a:spLocks noTextEdit="1"/>
            </xdr:cNvSpPr>
          </xdr:nvSpPr>
          <xdr:spPr>
            <a:xfrm>
              <a:off x="7467600" y="390525"/>
              <a:ext cx="1828800" cy="2524125"/>
            </a:xfrm>
            <a:prstGeom prst="rect">
              <a:avLst/>
            </a:prstGeom>
            <a:solidFill>
              <a:prstClr val="white"/>
            </a:solidFill>
            <a:ln w="1">
              <a:solidFill>
                <a:prstClr val="green"/>
              </a:solidFill>
            </a:ln>
          </xdr:spPr>
          <xdr:txBody>
            <a:bodyPr vertOverflow="clip" horzOverflow="clip"/>
            <a:lstStyle/>
            <a:p>
              <a:r>
                <a:rPr lang="es-CO"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238126</xdr:colOff>
      <xdr:row>110</xdr:row>
      <xdr:rowOff>114300</xdr:rowOff>
    </xdr:from>
    <xdr:to>
      <xdr:col>3</xdr:col>
      <xdr:colOff>390526</xdr:colOff>
      <xdr:row>114</xdr:row>
      <xdr:rowOff>85689</xdr:rowOff>
    </xdr:to>
    <xdr:pic>
      <xdr:nvPicPr>
        <xdr:cNvPr id="2" name="Imagen 1">
          <a:extLst>
            <a:ext uri="{FF2B5EF4-FFF2-40B4-BE49-F238E27FC236}">
              <a16:creationId xmlns:a16="http://schemas.microsoft.com/office/drawing/2014/main" id="{B2BA5FC6-DB01-4A0E-B57F-D5C3A81C4B18}"/>
            </a:ext>
          </a:extLst>
        </xdr:cNvPr>
        <xdr:cNvPicPr>
          <a:picLocks noChangeAspect="1"/>
        </xdr:cNvPicPr>
      </xdr:nvPicPr>
      <xdr:blipFill>
        <a:blip xmlns:r="http://schemas.openxmlformats.org/officeDocument/2006/relationships" r:embed="rId1"/>
        <a:stretch>
          <a:fillRect/>
        </a:stretch>
      </xdr:blipFill>
      <xdr:spPr>
        <a:xfrm>
          <a:off x="3362326" y="33366075"/>
          <a:ext cx="2381250" cy="752439"/>
        </a:xfrm>
        <a:prstGeom prst="rect">
          <a:avLst/>
        </a:prstGeom>
      </xdr:spPr>
    </xdr:pic>
    <xdr:clientData/>
  </xdr:twoCellAnchor>
  <xdr:twoCellAnchor editAs="oneCell">
    <xdr:from>
      <xdr:col>3</xdr:col>
      <xdr:colOff>885826</xdr:colOff>
      <xdr:row>111</xdr:row>
      <xdr:rowOff>0</xdr:rowOff>
    </xdr:from>
    <xdr:to>
      <xdr:col>4</xdr:col>
      <xdr:colOff>619126</xdr:colOff>
      <xdr:row>114</xdr:row>
      <xdr:rowOff>122223</xdr:rowOff>
    </xdr:to>
    <xdr:pic>
      <xdr:nvPicPr>
        <xdr:cNvPr id="3" name="Imagen 2">
          <a:extLst>
            <a:ext uri="{FF2B5EF4-FFF2-40B4-BE49-F238E27FC236}">
              <a16:creationId xmlns:a16="http://schemas.microsoft.com/office/drawing/2014/main" id="{DBB606DE-DA6E-4623-AA5A-B152DFCCFD11}"/>
            </a:ext>
          </a:extLst>
        </xdr:cNvPr>
        <xdr:cNvPicPr>
          <a:picLocks noChangeAspect="1"/>
        </xdr:cNvPicPr>
      </xdr:nvPicPr>
      <xdr:blipFill>
        <a:blip xmlns:r="http://schemas.openxmlformats.org/officeDocument/2006/relationships" r:embed="rId2"/>
        <a:stretch>
          <a:fillRect/>
        </a:stretch>
      </xdr:blipFill>
      <xdr:spPr>
        <a:xfrm>
          <a:off x="6238876" y="33461325"/>
          <a:ext cx="952500" cy="703248"/>
        </a:xfrm>
        <a:prstGeom prst="rect">
          <a:avLst/>
        </a:prstGeom>
      </xdr:spPr>
    </xdr:pic>
    <xdr:clientData/>
  </xdr:twoCellAnchor>
  <xdr:twoCellAnchor>
    <xdr:from>
      <xdr:col>0</xdr:col>
      <xdr:colOff>219075</xdr:colOff>
      <xdr:row>121</xdr:row>
      <xdr:rowOff>57150</xdr:rowOff>
    </xdr:from>
    <xdr:to>
      <xdr:col>2</xdr:col>
      <xdr:colOff>1666875</xdr:colOff>
      <xdr:row>135</xdr:row>
      <xdr:rowOff>133350</xdr:rowOff>
    </xdr:to>
    <xdr:graphicFrame macro="">
      <xdr:nvGraphicFramePr>
        <xdr:cNvPr id="7" name="Gráfico 6">
          <a:extLst>
            <a:ext uri="{FF2B5EF4-FFF2-40B4-BE49-F238E27FC236}">
              <a16:creationId xmlns:a16="http://schemas.microsoft.com/office/drawing/2014/main" id="{B6CAFA78-D248-447B-9F80-68F91005B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1790700</xdr:colOff>
      <xdr:row>121</xdr:row>
      <xdr:rowOff>52387</xdr:rowOff>
    </xdr:from>
    <xdr:to>
      <xdr:col>4</xdr:col>
      <xdr:colOff>2914650</xdr:colOff>
      <xdr:row>135</xdr:row>
      <xdr:rowOff>128587</xdr:rowOff>
    </xdr:to>
    <xdr:graphicFrame macro="">
      <xdr:nvGraphicFramePr>
        <xdr:cNvPr id="8" name="Gráfico 7">
          <a:extLst>
            <a:ext uri="{FF2B5EF4-FFF2-40B4-BE49-F238E27FC236}">
              <a16:creationId xmlns:a16="http://schemas.microsoft.com/office/drawing/2014/main" id="{0D200CEE-215A-4AD7-92F3-43A18B3F1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mp;m" refreshedDate="44207.432403472223" createdVersion="6" refreshedVersion="6" minRefreshableVersion="3" recordCount="283" xr:uid="{03C204DB-5F2A-407B-80E5-BD32A6EE2A1D}">
  <cacheSource type="worksheet">
    <worksheetSource ref="A1:L1048576" sheet="Citas_IPS_2"/>
  </cacheSource>
  <cacheFields count="14">
    <cacheField name="FechaNacimiento" numFmtId="0">
      <sharedItems containsNonDate="0" containsDate="1" containsString="0" containsBlank="1" minDate="2003-10-08T00:00:00" maxDate="2009-05-24T00:00:00" count="202">
        <d v="2003-12-12T00:00:00"/>
        <d v="2003-12-09T00:00:00"/>
        <d v="2003-12-06T00:00:00"/>
        <d v="2003-12-05T00:00:00"/>
        <d v="2003-11-30T00:00:00"/>
        <d v="2003-11-27T00:00:00"/>
        <d v="2003-11-25T00:00:00"/>
        <d v="2003-11-24T00:00:00"/>
        <d v="2003-11-10T00:00:00"/>
        <d v="2003-10-16T00:00:00"/>
        <d v="2003-10-08T00:00:00"/>
        <d v="2003-12-20T00:00:00"/>
        <d v="2004-06-26T00:00:00"/>
        <d v="2004-04-11T00:00:00"/>
        <d v="2007-02-28T00:00:00"/>
        <d v="2008-02-04T00:00:00"/>
        <d v="2006-08-05T00:00:00"/>
        <d v="2005-08-15T00:00:00"/>
        <d v="2006-11-16T00:00:00"/>
        <d v="2004-05-09T00:00:00"/>
        <d v="2005-06-06T00:00:00"/>
        <d v="2006-05-05T00:00:00"/>
        <d v="2008-06-23T00:00:00"/>
        <d v="2005-03-02T00:00:00"/>
        <d v="2006-03-10T00:00:00"/>
        <d v="2007-09-03T00:00:00"/>
        <d v="2006-05-19T00:00:00"/>
        <d v="2008-04-18T00:00:00"/>
        <d v="2005-03-31T00:00:00"/>
        <d v="2007-12-28T00:00:00"/>
        <d v="2005-08-11T00:00:00"/>
        <d v="2006-12-12T00:00:00"/>
        <d v="2007-07-15T00:00:00"/>
        <d v="2007-01-20T00:00:00"/>
        <d v="2007-05-20T00:00:00"/>
        <d v="2004-07-31T00:00:00"/>
        <d v="2006-09-05T00:00:00"/>
        <d v="2008-01-14T00:00:00"/>
        <d v="2008-05-27T00:00:00"/>
        <d v="2006-12-29T00:00:00"/>
        <d v="2006-09-26T00:00:00"/>
        <d v="2007-03-13T00:00:00"/>
        <d v="2004-10-28T00:00:00"/>
        <d v="2004-02-13T00:00:00"/>
        <d v="2006-09-08T00:00:00"/>
        <d v="2006-11-13T00:00:00"/>
        <d v="2005-10-25T00:00:00"/>
        <d v="2005-05-08T00:00:00"/>
        <d v="2005-05-11T00:00:00"/>
        <d v="2008-05-20T00:00:00"/>
        <d v="2006-04-07T00:00:00"/>
        <d v="2005-04-06T00:00:00"/>
        <d v="2006-01-08T00:00:00"/>
        <d v="2005-09-22T00:00:00"/>
        <d v="2006-12-18T00:00:00"/>
        <d v="2008-01-12T00:00:00"/>
        <d v="2004-05-03T00:00:00"/>
        <d v="2006-08-27T00:00:00"/>
        <d v="2004-01-01T00:00:00"/>
        <d v="2005-10-01T00:00:00"/>
        <d v="2006-08-31T00:00:00"/>
        <d v="2004-01-24T00:00:00"/>
        <d v="2004-09-13T00:00:00"/>
        <d v="2008-01-06T00:00:00"/>
        <d v="2006-01-28T00:00:00"/>
        <d v="2008-02-24T00:00:00"/>
        <d v="2005-11-25T00:00:00"/>
        <d v="2009-01-02T00:00:00"/>
        <d v="2007-03-27T00:00:00"/>
        <d v="2005-07-28T00:00:00"/>
        <d v="2008-01-28T00:00:00"/>
        <d v="2008-02-10T00:00:00"/>
        <d v="2004-09-08T00:00:00"/>
        <d v="2004-10-19T00:00:00"/>
        <d v="2007-06-13T00:00:00"/>
        <d v="2007-10-02T00:00:00"/>
        <d v="2007-09-01T00:00:00"/>
        <d v="2008-05-15T00:00:00"/>
        <d v="2006-10-10T00:00:00"/>
        <d v="2007-07-03T00:00:00"/>
        <d v="2004-07-29T00:00:00"/>
        <d v="2007-05-17T00:00:00"/>
        <d v="2005-01-31T00:00:00"/>
        <d v="2007-08-17T00:00:00"/>
        <d v="2004-11-17T00:00:00"/>
        <d v="2007-03-03T00:00:00"/>
        <d v="2008-06-05T00:00:00"/>
        <d v="2008-03-07T00:00:00"/>
        <d v="2004-03-18T00:00:00"/>
        <d v="2005-06-14T00:00:00"/>
        <d v="2006-06-21T00:00:00"/>
        <d v="2006-10-08T00:00:00"/>
        <d v="2005-08-23T00:00:00"/>
        <d v="2007-08-09T00:00:00"/>
        <d v="2006-10-22T00:00:00"/>
        <d v="2005-06-05T00:00:00"/>
        <d v="2007-08-04T00:00:00"/>
        <d v="2008-02-14T00:00:00"/>
        <d v="2007-03-09T00:00:00"/>
        <d v="2005-09-05T00:00:00"/>
        <d v="2004-04-14T00:00:00"/>
        <d v="2005-07-23T00:00:00"/>
        <d v="2006-07-05T00:00:00"/>
        <d v="2004-06-14T00:00:00"/>
        <d v="2004-08-05T00:00:00"/>
        <d v="2005-11-21T00:00:00"/>
        <d v="2007-09-18T00:00:00"/>
        <d v="2007-08-21T00:00:00"/>
        <d v="2007-01-30T00:00:00"/>
        <d v="2005-07-20T00:00:00"/>
        <d v="2005-07-25T00:00:00"/>
        <d v="2008-02-17T00:00:00"/>
        <d v="2004-12-01T00:00:00"/>
        <d v="2005-07-15T00:00:00"/>
        <d v="2005-11-09T00:00:00"/>
        <d v="2006-08-15T00:00:00"/>
        <d v="2004-12-11T00:00:00"/>
        <d v="2005-08-08T00:00:00"/>
        <d v="2007-06-29T00:00:00"/>
        <d v="2007-08-23T00:00:00"/>
        <d v="2007-10-09T00:00:00"/>
        <d v="2004-10-24T00:00:00"/>
        <d v="2006-03-01T00:00:00"/>
        <d v="2007-06-28T00:00:00"/>
        <d v="2008-01-04T00:00:00"/>
        <d v="2004-06-08T00:00:00"/>
        <d v="2006-04-30T00:00:00"/>
        <d v="2005-06-19T00:00:00"/>
        <d v="2006-02-26T00:00:00"/>
        <d v="2007-12-23T00:00:00"/>
        <d v="2006-02-05T00:00:00"/>
        <d v="2004-07-07T00:00:00"/>
        <d v="2004-07-03T00:00:00"/>
        <d v="2007-04-23T00:00:00"/>
        <d v="2005-06-27T00:00:00"/>
        <d v="2005-04-21T00:00:00"/>
        <d v="2006-08-03T00:00:00"/>
        <d v="2008-05-10T00:00:00"/>
        <d v="2005-08-13T00:00:00"/>
        <d v="2004-03-08T00:00:00"/>
        <d v="2004-03-23T00:00:00"/>
        <d v="2007-10-23T00:00:00"/>
        <d v="2008-04-24T00:00:00"/>
        <d v="2007-12-08T00:00:00"/>
        <d v="2008-05-19T00:00:00"/>
        <d v="2006-08-22T00:00:00"/>
        <d v="2007-12-11T00:00:00"/>
        <d v="2007-06-09T00:00:00"/>
        <d v="2008-01-18T00:00:00"/>
        <d v="2008-07-18T00:00:00"/>
        <d v="2006-11-15T00:00:00"/>
        <d v="2004-12-02T00:00:00"/>
        <d v="2004-06-02T00:00:00"/>
        <d v="2005-07-05T00:00:00"/>
        <d v="2006-12-22T00:00:00"/>
        <d v="2005-12-18T00:00:00"/>
        <d v="2007-04-04T00:00:00"/>
        <d v="2008-01-01T00:00:00"/>
        <d v="2005-12-07T00:00:00"/>
        <d v="2004-07-09T00:00:00"/>
        <d v="2006-12-24T00:00:00"/>
        <d v="2008-06-27T00:00:00"/>
        <d v="2008-12-30T00:00:00"/>
        <d v="2008-05-01T00:00:00"/>
        <d v="2008-01-23T00:00:00"/>
        <d v="2007-05-04T00:00:00"/>
        <d v="2007-10-22T00:00:00"/>
        <d v="2006-11-22T00:00:00"/>
        <d v="2009-05-23T00:00:00"/>
        <d v="2008-05-09T00:00:00"/>
        <d v="2007-07-28T00:00:00"/>
        <d v="2006-04-26T00:00:00"/>
        <d v="2008-05-30T00:00:00"/>
        <d v="2004-05-19T00:00:00"/>
        <d v="2007-08-16T00:00:00"/>
        <d v="2005-04-12T00:00:00"/>
        <d v="2004-09-19T00:00:00"/>
        <d v="2005-01-03T00:00:00"/>
        <d v="2006-02-24T00:00:00"/>
        <d v="2006-09-28T00:00:00"/>
        <d v="2006-06-28T00:00:00"/>
        <d v="2005-12-26T00:00:00"/>
        <d v="2004-10-18T00:00:00"/>
        <d v="2007-09-12T00:00:00"/>
        <d v="2007-01-26T00:00:00"/>
        <d v="2005-09-04T00:00:00"/>
        <d v="2008-04-04T00:00:00"/>
        <d v="2005-02-12T00:00:00"/>
        <d v="2007-04-20T00:00:00"/>
        <d v="2005-04-30T00:00:00"/>
        <d v="2007-04-19T00:00:00"/>
        <d v="2006-08-06T00:00:00"/>
        <d v="2005-07-29T00:00:00"/>
        <d v="2006-05-22T00:00:00"/>
        <d v="2004-03-29T00:00:00"/>
        <d v="2004-07-28T00:00:00"/>
        <d v="2008-02-27T00:00:00"/>
        <d v="2004-07-01T00:00:00"/>
        <d v="2006-07-22T00:00:00"/>
        <d v="2005-02-14T00:00:00"/>
        <d v="2004-11-24T00:00:00"/>
        <m/>
      </sharedItems>
    </cacheField>
    <cacheField name="nombre" numFmtId="0">
      <sharedItems containsBlank="1"/>
    </cacheField>
    <cacheField name="Tipo Identificacion" numFmtId="0">
      <sharedItems containsBlank="1"/>
    </cacheField>
    <cacheField name="Identificacion" numFmtId="0">
      <sharedItems containsBlank="1"/>
    </cacheField>
    <cacheField name="Edad" numFmtId="0">
      <sharedItems containsString="0" containsBlank="1" containsNumber="1" containsInteger="1" minValue="11" maxValue="17"/>
    </cacheField>
    <cacheField name="Sexo" numFmtId="0">
      <sharedItems containsBlank="1" count="3">
        <s v="F"/>
        <s v="M"/>
        <m/>
      </sharedItems>
    </cacheField>
    <cacheField name="TIPO DE CONSULTA" numFmtId="0">
      <sharedItems containsBlank="1" count="6">
        <s v="CONSULTA DE URGENCIAS, POR MEDICINA ESPECIALIZADA"/>
        <s v="CONSULTA DE CONTROL O DE SEGUIMIENTO POR MEDICINA ESPECIALIZADA"/>
        <s v="CONSULTA DE URGENCIAS, POR MEDICINA GENERAL"/>
        <s v="CONSULTA DE PRIMERA VEZ POR MEDICINA ESPECIALIZADA (322)"/>
        <s v="INTERCONSULTA POR MEDICINA ESPECIALIZADA"/>
        <m/>
      </sharedItems>
    </cacheField>
    <cacheField name="Especialidad" numFmtId="0">
      <sharedItems containsBlank="1" count="18">
        <s v="Cirugia General"/>
        <s v="Neurologia"/>
        <s v="Pediatria"/>
        <s v="Medicina General"/>
        <s v="Anestesiologia"/>
        <s v="Otorrinolaringologia"/>
        <s v="Urologia"/>
        <s v="Ortopedia Y Traumatologia"/>
        <s v="Dermatologia"/>
        <s v="Cirugia Pediatrica"/>
        <s v="NEFROLOGIA PEDIATRICA"/>
        <s v="Cardiovascular"/>
        <s v="Nefrologia"/>
        <s v="Cirugia Plastica Maxilofacial"/>
        <s v="Oftalmologia"/>
        <s v="Neurocirugia"/>
        <s v="Medicina Interna"/>
        <m/>
      </sharedItems>
    </cacheField>
    <cacheField name="pago por consulta" numFmtId="0">
      <sharedItems containsString="0" containsBlank="1" containsNumber="1" containsInteger="1" minValue="15243" maxValue="98635"/>
    </cacheField>
    <cacheField name="descuento" numFmtId="0">
      <sharedItems containsString="0" containsBlank="1" containsNumber="1" minValue="15057.5" maxValue="98635"/>
    </cacheField>
    <cacheField name="Mes" numFmtId="0">
      <sharedItems containsString="0" containsBlank="1" containsNumber="1" containsInteger="1" minValue="1" maxValue="12" count="13">
        <n v="12"/>
        <n v="11"/>
        <n v="10"/>
        <n v="6"/>
        <n v="4"/>
        <n v="2"/>
        <n v="8"/>
        <n v="5"/>
        <n v="3"/>
        <n v="9"/>
        <n v="7"/>
        <n v="1"/>
        <m/>
      </sharedItems>
    </cacheField>
    <cacheField name="Descuento por Genero y Edad promedio" numFmtId="0">
      <sharedItems containsString="0" containsBlank="1" containsNumber="1" minValue="13.333333333333334" maxValue="97051"/>
    </cacheField>
    <cacheField name="costo mayor a 200000" numFmtId="0" formula=" 0" databaseField="0"/>
    <cacheField name="subsidio" numFmtId="0" formula="'TIPO DE CONSULTA'" databaseField="0"/>
  </cacheFields>
  <extLst>
    <ext xmlns:x14="http://schemas.microsoft.com/office/spreadsheetml/2009/9/main" uri="{725AE2AE-9491-48be-B2B4-4EB974FC3084}">
      <x14:pivotCacheDefinition pivotCacheId="14933141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mp;m" refreshedDate="44207.440533333334" createdVersion="6" refreshedVersion="6" minRefreshableVersion="3" recordCount="267" xr:uid="{105ACC79-A999-41C7-B923-13E6AC32F82A}">
  <cacheSource type="worksheet">
    <worksheetSource ref="A1:J268" sheet="Citas_IPS_2"/>
  </cacheSource>
  <cacheFields count="10">
    <cacheField name="FechaNacimiento" numFmtId="14">
      <sharedItems containsSemiMixedTypes="0" containsNonDate="0" containsDate="1" containsString="0" minDate="2003-10-08T00:00:00" maxDate="2009-05-24T00:00:00"/>
    </cacheField>
    <cacheField name="nombre" numFmtId="14">
      <sharedItems/>
    </cacheField>
    <cacheField name="Tipo Identificacion" numFmtId="0">
      <sharedItems/>
    </cacheField>
    <cacheField name="Identificacion" numFmtId="1">
      <sharedItems/>
    </cacheField>
    <cacheField name="Edad" numFmtId="1">
      <sharedItems containsSemiMixedTypes="0" containsString="0" containsNumber="1" containsInteger="1" minValue="11" maxValue="17" count="7">
        <n v="17"/>
        <n v="16"/>
        <n v="13"/>
        <n v="12"/>
        <n v="14"/>
        <n v="15"/>
        <n v="11"/>
      </sharedItems>
    </cacheField>
    <cacheField name="Sexo" numFmtId="0">
      <sharedItems count="2">
        <s v="F"/>
        <s v="M"/>
      </sharedItems>
    </cacheField>
    <cacheField name="TIPO DE CONSULTA" numFmtId="0">
      <sharedItems count="5">
        <s v="CONSULTA DE URGENCIAS, POR MEDICINA ESPECIALIZADA"/>
        <s v="CONSULTA DE CONTROL O DE SEGUIMIENTO POR MEDICINA ESPECIALIZADA"/>
        <s v="CONSULTA DE URGENCIAS, POR MEDICINA GENERAL"/>
        <s v="CONSULTA DE PRIMERA VEZ POR MEDICINA ESPECIALIZADA (322)"/>
        <s v="INTERCONSULTA POR MEDICINA ESPECIALIZADA"/>
      </sharedItems>
    </cacheField>
    <cacheField name="Especialidad" numFmtId="0">
      <sharedItems/>
    </cacheField>
    <cacheField name="pago por consulta" numFmtId="165">
      <sharedItems containsSemiMixedTypes="0" containsString="0" containsNumber="1" containsInteger="1" minValue="15243" maxValue="98635"/>
    </cacheField>
    <cacheField name="descuento" numFmtId="1">
      <sharedItems containsSemiMixedTypes="0" containsString="0" containsNumber="1" minValue="15057.5" maxValue="986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3">
  <r>
    <x v="0"/>
    <s v="Valentina  Sanchez Saldarriaga"/>
    <s v="RC"/>
    <s v="1000643564"/>
    <n v="17"/>
    <x v="0"/>
    <x v="0"/>
    <x v="0"/>
    <n v="32927"/>
    <n v="31280.65"/>
    <x v="0"/>
    <n v="9878.1"/>
  </r>
  <r>
    <x v="1"/>
    <s v="Santiago  Alvarez Giraldo"/>
    <s v="RC"/>
    <s v="1000643565"/>
    <n v="17"/>
    <x v="1"/>
    <x v="1"/>
    <x v="1"/>
    <n v="48602"/>
    <n v="48602"/>
    <x v="0"/>
    <n v="14.142857142857142"/>
  </r>
  <r>
    <x v="2"/>
    <s v="Maria Isabel Arroyave Arredondo"/>
    <s v="RC"/>
    <s v="1000643566"/>
    <n v="17"/>
    <x v="0"/>
    <x v="1"/>
    <x v="2"/>
    <n v="46232"/>
    <n v="43920.4"/>
    <x v="0"/>
    <n v="13869.6"/>
  </r>
  <r>
    <x v="3"/>
    <s v="Johnatan  Pulgarin Gomez"/>
    <s v="RC"/>
    <s v="1000643567"/>
    <n v="17"/>
    <x v="1"/>
    <x v="2"/>
    <x v="3"/>
    <n v="24550"/>
    <n v="24550"/>
    <x v="0"/>
    <n v="14.122302158273381"/>
  </r>
  <r>
    <x v="4"/>
    <s v="Julian Andres Ochoa Londo?O"/>
    <s v="RC"/>
    <s v="1000643568"/>
    <n v="17"/>
    <x v="1"/>
    <x v="2"/>
    <x v="3"/>
    <n v="28497"/>
    <n v="28497"/>
    <x v="1"/>
    <n v="14.101449275362318"/>
  </r>
  <r>
    <x v="5"/>
    <s v="Samuel  Duarte Burgos"/>
    <s v="RC"/>
    <s v="1000643569"/>
    <n v="17"/>
    <x v="1"/>
    <x v="2"/>
    <x v="3"/>
    <n v="16646"/>
    <n v="16646"/>
    <x v="1"/>
    <n v="14.08029197080292"/>
  </r>
  <r>
    <x v="6"/>
    <s v="Sebastian  Velez Perez"/>
    <s v="RC"/>
    <s v="1000643570"/>
    <n v="17"/>
    <x v="1"/>
    <x v="2"/>
    <x v="3"/>
    <n v="22305"/>
    <n v="22305"/>
    <x v="1"/>
    <n v="14.058823529411764"/>
  </r>
  <r>
    <x v="7"/>
    <s v="David Alejandro Ortiz Tobon"/>
    <s v="RC"/>
    <s v="1000643571"/>
    <n v="17"/>
    <x v="1"/>
    <x v="3"/>
    <x v="4"/>
    <n v="45267"/>
    <n v="45267"/>
    <x v="1"/>
    <n v="14.037037037037036"/>
  </r>
  <r>
    <x v="8"/>
    <s v="Miguel Angel Ciro Parra"/>
    <s v="RC"/>
    <s v="1000643572"/>
    <n v="17"/>
    <x v="1"/>
    <x v="1"/>
    <x v="2"/>
    <n v="26538"/>
    <n v="26538"/>
    <x v="1"/>
    <n v="14.014925373134329"/>
  </r>
  <r>
    <x v="9"/>
    <s v="Manuela  Calle Perez"/>
    <s v="RC"/>
    <s v="1000643573"/>
    <n v="17"/>
    <x v="0"/>
    <x v="3"/>
    <x v="5"/>
    <n v="18595"/>
    <n v="17665.25"/>
    <x v="2"/>
    <n v="5578.5"/>
  </r>
  <r>
    <x v="10"/>
    <s v="Miguel Angel Sarabia Fernandez"/>
    <s v="RC"/>
    <s v="1000643574"/>
    <n v="17"/>
    <x v="1"/>
    <x v="1"/>
    <x v="6"/>
    <n v="57236"/>
    <n v="57236"/>
    <x v="2"/>
    <n v="13.992481203007518"/>
  </r>
  <r>
    <x v="11"/>
    <s v="Susana  Gil Yarce"/>
    <s v="RC"/>
    <s v="1000643575"/>
    <n v="17"/>
    <x v="0"/>
    <x v="4"/>
    <x v="5"/>
    <n v="25327"/>
    <n v="24060.65"/>
    <x v="0"/>
    <n v="7598.0999999999995"/>
  </r>
  <r>
    <x v="12"/>
    <s v="Mariana  Londo?O Grajales"/>
    <s v="RC"/>
    <s v="1000643576"/>
    <n v="16"/>
    <x v="0"/>
    <x v="2"/>
    <x v="3"/>
    <n v="16772"/>
    <n v="15933.4"/>
    <x v="3"/>
    <n v="5031.5999999999995"/>
  </r>
  <r>
    <x v="13"/>
    <s v="Maria Del Mar Alvarez Ruiz"/>
    <s v="RC"/>
    <s v="1000870382"/>
    <n v="16"/>
    <x v="0"/>
    <x v="1"/>
    <x v="2"/>
    <n v="48602"/>
    <n v="46171.9"/>
    <x v="4"/>
    <n v="14580.6"/>
  </r>
  <r>
    <x v="14"/>
    <s v="Elizabeth  Zapata Sierra"/>
    <s v="RC"/>
    <s v="1000870382"/>
    <n v="13"/>
    <x v="0"/>
    <x v="1"/>
    <x v="7"/>
    <n v="60619"/>
    <n v="57588.05"/>
    <x v="5"/>
    <n v="60619"/>
  </r>
  <r>
    <x v="15"/>
    <s v="Juliana  Henao Arboleda"/>
    <s v="RC"/>
    <s v="1000870623"/>
    <n v="12"/>
    <x v="0"/>
    <x v="0"/>
    <x v="2"/>
    <n v="83587"/>
    <n v="79407.649999999994"/>
    <x v="5"/>
    <n v="83587"/>
  </r>
  <r>
    <x v="16"/>
    <s v="Maria Isabela Ruiz Henao"/>
    <s v="RC"/>
    <s v="1001233324"/>
    <n v="14"/>
    <x v="0"/>
    <x v="0"/>
    <x v="3"/>
    <n v="42940"/>
    <n v="40793"/>
    <x v="6"/>
    <n v="42940"/>
  </r>
  <r>
    <x v="17"/>
    <s v="Xiemena  Agudelo Casta?O"/>
    <s v="RC"/>
    <s v="10014118002"/>
    <n v="15"/>
    <x v="0"/>
    <x v="1"/>
    <x v="2"/>
    <n v="49607"/>
    <n v="47126.65"/>
    <x v="6"/>
    <n v="14882.099999999999"/>
  </r>
  <r>
    <x v="18"/>
    <s v="Jacobo  Martinez Rojas"/>
    <s v="RC"/>
    <s v="1007241768"/>
    <n v="14"/>
    <x v="1"/>
    <x v="2"/>
    <x v="3"/>
    <n v="30610"/>
    <n v="30610"/>
    <x v="1"/>
    <n v="13.969696969696969"/>
  </r>
  <r>
    <x v="19"/>
    <s v="Jjeffry  Ocampo Alvarez"/>
    <s v="RC"/>
    <s v="1011395503"/>
    <n v="16"/>
    <x v="1"/>
    <x v="2"/>
    <x v="0"/>
    <n v="38089"/>
    <n v="38089"/>
    <x v="7"/>
    <n v="13.969465648854962"/>
  </r>
  <r>
    <x v="20"/>
    <s v="Wendy Yadaly Arango Lopez"/>
    <s v="RC"/>
    <s v="1013339036"/>
    <n v="15"/>
    <x v="0"/>
    <x v="1"/>
    <x v="2"/>
    <n v="33263"/>
    <n v="31599.85"/>
    <x v="3"/>
    <n v="9978.9"/>
  </r>
  <r>
    <x v="21"/>
    <s v="Cristian David Corrales Becerra"/>
    <s v="RC"/>
    <s v="1017165337"/>
    <n v="14"/>
    <x v="1"/>
    <x v="0"/>
    <x v="2"/>
    <n v="44733"/>
    <n v="44733"/>
    <x v="7"/>
    <n v="13.953846153846154"/>
  </r>
  <r>
    <x v="22"/>
    <s v="Hijo De Cindy Vanessa Vaca Urrego"/>
    <s v="MS"/>
    <s v="1017922551"/>
    <n v="12"/>
    <x v="1"/>
    <x v="2"/>
    <x v="3"/>
    <n v="62995"/>
    <n v="62995"/>
    <x v="3"/>
    <n v="13.953488372093023"/>
  </r>
  <r>
    <x v="23"/>
    <s v="Yully Daniela Franco Durango"/>
    <s v="RC"/>
    <s v="1017927569"/>
    <n v="15"/>
    <x v="0"/>
    <x v="1"/>
    <x v="2"/>
    <n v="51998"/>
    <n v="49398.1"/>
    <x v="8"/>
    <n v="15599.4"/>
  </r>
  <r>
    <x v="24"/>
    <s v="Estefania  Villada Villada"/>
    <s v="RC"/>
    <s v="1017930531"/>
    <n v="14"/>
    <x v="0"/>
    <x v="2"/>
    <x v="3"/>
    <n v="18470"/>
    <n v="17546.5"/>
    <x v="8"/>
    <n v="18470"/>
  </r>
  <r>
    <x v="25"/>
    <s v="Wilmer Darney Serna Durango"/>
    <s v="RC"/>
    <s v="1017931473"/>
    <n v="13"/>
    <x v="1"/>
    <x v="0"/>
    <x v="2"/>
    <n v="64579"/>
    <n v="64579"/>
    <x v="9"/>
    <n v="13.96875"/>
  </r>
  <r>
    <x v="26"/>
    <s v="Daniel Giovanny Montoya Hernandez"/>
    <s v="RC"/>
    <s v="1017931537"/>
    <n v="14"/>
    <x v="1"/>
    <x v="0"/>
    <x v="2"/>
    <n v="23689"/>
    <n v="23689"/>
    <x v="7"/>
    <n v="13.976377952755906"/>
  </r>
  <r>
    <x v="27"/>
    <s v="Laura Isabel Quintero Monsalve"/>
    <s v="RC"/>
    <s v="1017931537"/>
    <n v="12"/>
    <x v="0"/>
    <x v="1"/>
    <x v="2"/>
    <n v="73687"/>
    <n v="70002.649999999994"/>
    <x v="4"/>
    <n v="73687"/>
  </r>
  <r>
    <x v="28"/>
    <s v="Martin Eduardo Espinosa Higuita"/>
    <s v="RC"/>
    <s v="1018224344"/>
    <n v="15"/>
    <x v="1"/>
    <x v="2"/>
    <x v="3"/>
    <n v="42877"/>
    <n v="42877"/>
    <x v="8"/>
    <n v="13.976190476190476"/>
  </r>
  <r>
    <x v="29"/>
    <s v="Tomas  Lopez Rendon"/>
    <s v="RC"/>
    <s v="1018234151"/>
    <n v="13"/>
    <x v="1"/>
    <x v="0"/>
    <x v="2"/>
    <n v="86755"/>
    <n v="86755"/>
    <x v="0"/>
    <n v="13.968"/>
  </r>
  <r>
    <x v="30"/>
    <s v="Natalia  Metaute Suarez"/>
    <s v="RC"/>
    <s v="1020108733"/>
    <n v="15"/>
    <x v="0"/>
    <x v="1"/>
    <x v="2"/>
    <n v="49533"/>
    <n v="47056.35"/>
    <x v="6"/>
    <n v="14859.9"/>
  </r>
  <r>
    <x v="31"/>
    <s v="Juan Felipe Quintero Lopez"/>
    <s v="RC"/>
    <s v="1020115721"/>
    <n v="14"/>
    <x v="1"/>
    <x v="1"/>
    <x v="2"/>
    <n v="23535"/>
    <n v="23535"/>
    <x v="0"/>
    <n v="13.975806451612904"/>
  </r>
  <r>
    <x v="26"/>
    <s v="Victor Manuel Montoya Hernandez"/>
    <s v="RC"/>
    <s v="1023623787"/>
    <n v="14"/>
    <x v="1"/>
    <x v="0"/>
    <x v="3"/>
    <n v="45624"/>
    <n v="45624"/>
    <x v="7"/>
    <n v="13.975609756097562"/>
  </r>
  <r>
    <x v="32"/>
    <s v="Jhonny Alexander Casta?Eda Cardona"/>
    <s v="RC"/>
    <s v="1023624963"/>
    <n v="13"/>
    <x v="1"/>
    <x v="2"/>
    <x v="0"/>
    <n v="93487"/>
    <n v="93487"/>
    <x v="10"/>
    <n v="13.975409836065573"/>
  </r>
  <r>
    <x v="33"/>
    <s v="Deiny Manuela Franco Durango"/>
    <s v="RC"/>
    <s v="1023626245"/>
    <n v="13"/>
    <x v="0"/>
    <x v="0"/>
    <x v="2"/>
    <n v="50153"/>
    <n v="47645.35"/>
    <x v="11"/>
    <n v="50153"/>
  </r>
  <r>
    <x v="34"/>
    <s v="Diana Angel Bonilla Salcedo"/>
    <s v="RC"/>
    <s v="1023626859"/>
    <n v="13"/>
    <x v="0"/>
    <x v="0"/>
    <x v="2"/>
    <n v="95071"/>
    <n v="90317.45"/>
    <x v="7"/>
    <n v="95071"/>
  </r>
  <r>
    <x v="25"/>
    <s v="Vanesa  Rojas Mejia"/>
    <s v="RC"/>
    <s v="1023630084"/>
    <n v="13"/>
    <x v="0"/>
    <x v="1"/>
    <x v="1"/>
    <n v="68935"/>
    <n v="65488.25"/>
    <x v="9"/>
    <n v="68935"/>
  </r>
  <r>
    <x v="35"/>
    <s v="Emmanuel  Restrepo Villa"/>
    <s v="RC"/>
    <s v="1023630516"/>
    <n v="16"/>
    <x v="1"/>
    <x v="2"/>
    <x v="3"/>
    <n v="17656"/>
    <n v="17656"/>
    <x v="10"/>
    <n v="13.983471074380166"/>
  </r>
  <r>
    <x v="36"/>
    <s v="Evelin  Lopez Navarro"/>
    <s v="RC"/>
    <s v="1023630606"/>
    <n v="14"/>
    <x v="0"/>
    <x v="2"/>
    <x v="3"/>
    <n v="23284"/>
    <n v="22119.8"/>
    <x v="9"/>
    <n v="23284"/>
  </r>
  <r>
    <x v="37"/>
    <s v="Jessica  Giraldo Casta?O"/>
    <s v="RC"/>
    <s v="1023630955"/>
    <n v="13"/>
    <x v="0"/>
    <x v="0"/>
    <x v="2"/>
    <n v="85963"/>
    <n v="81664.850000000006"/>
    <x v="11"/>
    <n v="85963"/>
  </r>
  <r>
    <x v="38"/>
    <s v="Isabella  Diaz Vasquez"/>
    <s v="RC"/>
    <s v="1023631446"/>
    <n v="12"/>
    <x v="0"/>
    <x v="2"/>
    <x v="3"/>
    <n v="89131"/>
    <n v="84674.45"/>
    <x v="7"/>
    <n v="89131"/>
  </r>
  <r>
    <x v="39"/>
    <s v="Juliana  Grajales Tamayo"/>
    <s v="RC"/>
    <s v="1023631790"/>
    <n v="14"/>
    <x v="0"/>
    <x v="2"/>
    <x v="3"/>
    <n v="49144"/>
    <n v="46686.8"/>
    <x v="0"/>
    <n v="49144"/>
  </r>
  <r>
    <x v="40"/>
    <s v="Susana  Loaiza Hernandez"/>
    <s v="RC"/>
    <s v="1023631993"/>
    <n v="14"/>
    <x v="0"/>
    <x v="0"/>
    <x v="2"/>
    <n v="31640"/>
    <n v="30058"/>
    <x v="9"/>
    <n v="31640"/>
  </r>
  <r>
    <x v="41"/>
    <s v="David  Alvarez Trujillo"/>
    <s v="RC"/>
    <s v="1023632127"/>
    <n v="13"/>
    <x v="1"/>
    <x v="2"/>
    <x v="0"/>
    <n v="48602"/>
    <n v="48602"/>
    <x v="8"/>
    <n v="13.966666666666667"/>
  </r>
  <r>
    <x v="42"/>
    <s v="Blanca Ximena Gomez Restrepo"/>
    <s v="CC"/>
    <s v="1023632536"/>
    <n v="16"/>
    <x v="0"/>
    <x v="0"/>
    <x v="2"/>
    <n v="21159"/>
    <n v="20101.05"/>
    <x v="2"/>
    <n v="6347.7"/>
  </r>
  <r>
    <x v="43"/>
    <s v="Xiomara Paulina Zapata Henao"/>
    <s v="RC"/>
    <s v="1023634629"/>
    <n v="16"/>
    <x v="0"/>
    <x v="1"/>
    <x v="8"/>
    <n v="33811"/>
    <n v="32120.45"/>
    <x v="5"/>
    <n v="10143.299999999999"/>
  </r>
  <r>
    <x v="29"/>
    <s v="Tomas  Galvis Rendon"/>
    <s v="RC"/>
    <s v="1025645327"/>
    <n v="13"/>
    <x v="1"/>
    <x v="1"/>
    <x v="2"/>
    <n v="86359"/>
    <n v="86359"/>
    <x v="0"/>
    <n v="13.974789915966387"/>
  </r>
  <r>
    <x v="44"/>
    <s v="Sara  Moreno Zapata"/>
    <s v="RC"/>
    <s v="1025651768"/>
    <n v="14"/>
    <x v="0"/>
    <x v="2"/>
    <x v="3"/>
    <n v="31650"/>
    <n v="30067.5"/>
    <x v="9"/>
    <n v="31650"/>
  </r>
  <r>
    <x v="45"/>
    <s v="Mayra Alejandra Ferreira Ruiz"/>
    <s v="RC"/>
    <s v="1025652562"/>
    <n v="14"/>
    <x v="0"/>
    <x v="2"/>
    <x v="0"/>
    <n v="16870"/>
    <n v="16026.5"/>
    <x v="1"/>
    <n v="16870"/>
  </r>
  <r>
    <x v="21"/>
    <s v="Cristian David Corrales Pecerra"/>
    <s v="CC"/>
    <s v="1027741152"/>
    <n v="14"/>
    <x v="1"/>
    <x v="1"/>
    <x v="2"/>
    <n v="20471"/>
    <n v="20471"/>
    <x v="7"/>
    <n v="13.983050847457626"/>
  </r>
  <r>
    <x v="46"/>
    <s v="Aidith Yandiria Maya Bonilla"/>
    <s v="RC"/>
    <s v="1027741152"/>
    <n v="15"/>
    <x v="0"/>
    <x v="0"/>
    <x v="2"/>
    <n v="49208"/>
    <n v="46747.6"/>
    <x v="2"/>
    <n v="14762.4"/>
  </r>
  <r>
    <x v="37"/>
    <s v="Jessica  Metaute Lopez"/>
    <s v="RC"/>
    <s v="1035222726"/>
    <n v="13"/>
    <x v="0"/>
    <x v="1"/>
    <x v="2"/>
    <n v="85567"/>
    <n v="81288.649999999994"/>
    <x v="11"/>
    <n v="85567"/>
  </r>
  <r>
    <x v="47"/>
    <s v="Jeronimo  Jaramillo Montoya"/>
    <s v="RC"/>
    <s v="1035975503"/>
    <n v="15"/>
    <x v="1"/>
    <x v="3"/>
    <x v="9"/>
    <n v="37188"/>
    <n v="37188"/>
    <x v="7"/>
    <n v="13.982905982905983"/>
  </r>
  <r>
    <x v="48"/>
    <s v="Manuel  Perez Londo?O"/>
    <s v="RC"/>
    <s v="1128281539"/>
    <n v="15"/>
    <x v="1"/>
    <x v="3"/>
    <x v="5"/>
    <n v="37028"/>
    <n v="37028"/>
    <x v="7"/>
    <n v="13.974137931034482"/>
  </r>
  <r>
    <x v="49"/>
    <s v="Isabel  Areiza Salazar"/>
    <s v="RC"/>
    <s v="1128450476"/>
    <n v="12"/>
    <x v="0"/>
    <x v="0"/>
    <x v="2"/>
    <n v="54120"/>
    <n v="51414"/>
    <x v="7"/>
    <n v="54120"/>
  </r>
  <r>
    <x v="50"/>
    <s v="David  Sisquiarco Grisales"/>
    <s v="RC"/>
    <s v="1130704293"/>
    <n v="14"/>
    <x v="1"/>
    <x v="0"/>
    <x v="2"/>
    <n v="32959"/>
    <n v="32959"/>
    <x v="4"/>
    <n v="13.965217391304348"/>
  </r>
  <r>
    <x v="51"/>
    <s v="Estefania  Grajales Morales"/>
    <s v="RC"/>
    <s v="12690261"/>
    <n v="15"/>
    <x v="0"/>
    <x v="0"/>
    <x v="2"/>
    <n v="41181"/>
    <n v="39121.949999999997"/>
    <x v="4"/>
    <n v="12354.3"/>
  </r>
  <r>
    <x v="52"/>
    <s v="Juan Camilo Carmona Restrepo"/>
    <s v="RC"/>
    <s v="153394"/>
    <n v="15"/>
    <x v="1"/>
    <x v="3"/>
    <x v="9"/>
    <n v="21843"/>
    <n v="21843"/>
    <x v="11"/>
    <n v="13.964912280701755"/>
  </r>
  <r>
    <x v="53"/>
    <s v="Kevin Andres Hincapie Granda"/>
    <s v="RC"/>
    <s v="15610573"/>
    <n v="15"/>
    <x v="1"/>
    <x v="2"/>
    <x v="3"/>
    <n v="43353"/>
    <n v="43353"/>
    <x v="9"/>
    <n v="13.955752212389381"/>
  </r>
  <r>
    <x v="54"/>
    <s v="Jose Miguel Montoya Velasquez"/>
    <s v="RC"/>
    <s v="21283786"/>
    <n v="14"/>
    <x v="1"/>
    <x v="1"/>
    <x v="2"/>
    <n v="38217"/>
    <n v="38217"/>
    <x v="0"/>
    <n v="13.946428571428571"/>
  </r>
  <r>
    <x v="55"/>
    <s v="Sara  Quintero Osorio"/>
    <s v="RC"/>
    <s v="21298028"/>
    <n v="13"/>
    <x v="0"/>
    <x v="0"/>
    <x v="2"/>
    <n v="72895"/>
    <n v="69250.25"/>
    <x v="11"/>
    <n v="72895"/>
  </r>
  <r>
    <x v="56"/>
    <s v="Santiago  Botero Arias"/>
    <s v="RC"/>
    <s v="21303599"/>
    <n v="16"/>
    <x v="1"/>
    <x v="2"/>
    <x v="3"/>
    <n v="25959"/>
    <n v="25959"/>
    <x v="7"/>
    <n v="13.945945945945946"/>
  </r>
  <r>
    <x v="57"/>
    <s v="Maria Salome Pulgarin Berrio"/>
    <s v="RC"/>
    <s v="21314918"/>
    <n v="14"/>
    <x v="0"/>
    <x v="2"/>
    <x v="3"/>
    <n v="59431"/>
    <n v="56459.45"/>
    <x v="6"/>
    <n v="59431"/>
  </r>
  <r>
    <x v="58"/>
    <s v="Maria Camila Gomez Oquendo"/>
    <s v="RC"/>
    <s v="21317025"/>
    <n v="17"/>
    <x v="0"/>
    <x v="2"/>
    <x v="3"/>
    <n v="50166"/>
    <n v="47657.7"/>
    <x v="11"/>
    <n v="15049.8"/>
  </r>
  <r>
    <x v="59"/>
    <s v="Karla Mireth Torres Rodriguez"/>
    <s v="RC"/>
    <s v="21335095"/>
    <n v="15"/>
    <x v="0"/>
    <x v="1"/>
    <x v="10"/>
    <n v="37665"/>
    <n v="35781.75"/>
    <x v="2"/>
    <n v="11299.5"/>
  </r>
  <r>
    <x v="44"/>
    <s v="Sara  Moreno Zapata"/>
    <s v="RC"/>
    <s v="21341133"/>
    <n v="14"/>
    <x v="0"/>
    <x v="2"/>
    <x v="3"/>
    <n v="36963"/>
    <n v="35114.85"/>
    <x v="9"/>
    <n v="36963"/>
  </r>
  <r>
    <x v="60"/>
    <s v="Stefany  Zabala Ok06 Callejas"/>
    <s v="RC"/>
    <s v="21351904"/>
    <n v="14"/>
    <x v="0"/>
    <x v="2"/>
    <x v="0"/>
    <n v="51365"/>
    <n v="48796.75"/>
    <x v="6"/>
    <n v="51365"/>
  </r>
  <r>
    <x v="61"/>
    <s v="Valeria  Olaya Lora"/>
    <s v="RC"/>
    <s v="21362165"/>
    <n v="16"/>
    <x v="0"/>
    <x v="1"/>
    <x v="1"/>
    <n v="25863"/>
    <n v="24569.85"/>
    <x v="11"/>
    <n v="7758.9"/>
  </r>
  <r>
    <x v="62"/>
    <s v="Isabela  Pelaez Bedoya"/>
    <s v="CC"/>
    <s v="21379031"/>
    <n v="16"/>
    <x v="0"/>
    <x v="1"/>
    <x v="5"/>
    <n v="21885"/>
    <n v="20790.75"/>
    <x v="9"/>
    <n v="6565.5"/>
  </r>
  <r>
    <x v="63"/>
    <s v="Yessica (Hijo - Hijo Quintero Ochoa"/>
    <s v="MS"/>
    <s v="21393866"/>
    <n v="13"/>
    <x v="0"/>
    <x v="2"/>
    <x v="3"/>
    <n v="73291"/>
    <n v="69626.45"/>
    <x v="11"/>
    <n v="73291"/>
  </r>
  <r>
    <x v="64"/>
    <s v="Xiomara  Monsalve Cardona"/>
    <s v="RC"/>
    <s v="21409124"/>
    <n v="14"/>
    <x v="0"/>
    <x v="2"/>
    <x v="2"/>
    <n v="50682"/>
    <n v="48147.9"/>
    <x v="11"/>
    <n v="15204.599999999999"/>
  </r>
  <r>
    <x v="65"/>
    <s v="Miguel Angel Charris Lopez"/>
    <s v="RC"/>
    <s v="21409221"/>
    <n v="12"/>
    <x v="1"/>
    <x v="1"/>
    <x v="2"/>
    <n v="91507"/>
    <n v="91507"/>
    <x v="5"/>
    <n v="13.927272727272728"/>
  </r>
  <r>
    <x v="66"/>
    <s v="Isabela  Zapata Amaya"/>
    <s v="RC"/>
    <s v="21413200"/>
    <n v="15"/>
    <x v="0"/>
    <x v="1"/>
    <x v="1"/>
    <n v="51961"/>
    <n v="49362.95"/>
    <x v="1"/>
    <n v="15588.3"/>
  </r>
  <r>
    <x v="67"/>
    <s v="Ana Etelvina Arias Alcaraz"/>
    <s v="CC"/>
    <s v="21439591"/>
    <n v="12"/>
    <x v="0"/>
    <x v="1"/>
    <x v="11"/>
    <n v="54120"/>
    <n v="51414"/>
    <x v="11"/>
    <n v="54120"/>
  </r>
  <r>
    <x v="68"/>
    <s v="Juan Manuel Marin Florez"/>
    <s v="RC"/>
    <s v="21446814"/>
    <n v="13"/>
    <x v="1"/>
    <x v="2"/>
    <x v="0"/>
    <n v="80815"/>
    <n v="80815"/>
    <x v="8"/>
    <n v="13.944954128440367"/>
  </r>
  <r>
    <x v="69"/>
    <s v="Maria Isabel Jimenez Uribe"/>
    <s v="RC"/>
    <s v="21467511"/>
    <n v="15"/>
    <x v="0"/>
    <x v="1"/>
    <x v="7"/>
    <n v="56274"/>
    <n v="53460.3"/>
    <x v="10"/>
    <n v="16882.2"/>
  </r>
  <r>
    <x v="70"/>
    <s v="Alexandra Paola Sosa Marquez"/>
    <s v="RC"/>
    <s v="21535241"/>
    <n v="12"/>
    <x v="0"/>
    <x v="2"/>
    <x v="2"/>
    <n v="64183"/>
    <n v="60973.85"/>
    <x v="11"/>
    <n v="64183"/>
  </r>
  <r>
    <x v="71"/>
    <s v="Isabela  Duque Pineda"/>
    <s v="RC"/>
    <s v="21535726"/>
    <n v="12"/>
    <x v="0"/>
    <x v="2"/>
    <x v="2"/>
    <n v="88735"/>
    <n v="84298.25"/>
    <x v="5"/>
    <n v="88735"/>
  </r>
  <r>
    <x v="72"/>
    <s v="Luis Miguel Aguirre Gomez"/>
    <s v="RC"/>
    <s v="21538062"/>
    <n v="16"/>
    <x v="1"/>
    <x v="2"/>
    <x v="3"/>
    <n v="40822"/>
    <n v="40822"/>
    <x v="9"/>
    <n v="13.953703703703704"/>
  </r>
  <r>
    <x v="73"/>
    <s v="Juan Jose Montoya Hernandez"/>
    <s v="RC"/>
    <s v="21598438"/>
    <n v="16"/>
    <x v="1"/>
    <x v="2"/>
    <x v="3"/>
    <n v="41191"/>
    <n v="41191"/>
    <x v="2"/>
    <n v="13.934579439252337"/>
  </r>
  <r>
    <x v="74"/>
    <s v="Juan  Mejia Gomez"/>
    <s v="RC"/>
    <s v="21605515"/>
    <n v="13"/>
    <x v="1"/>
    <x v="3"/>
    <x v="9"/>
    <n v="78835"/>
    <n v="78835"/>
    <x v="3"/>
    <n v="13.915094339622641"/>
  </r>
  <r>
    <x v="75"/>
    <s v="Anderson  Campo Campo"/>
    <s v="RC"/>
    <s v="21649294"/>
    <n v="13"/>
    <x v="1"/>
    <x v="2"/>
    <x v="2"/>
    <n v="94675"/>
    <n v="94675"/>
    <x v="2"/>
    <n v="13.923809523809524"/>
  </r>
  <r>
    <x v="76"/>
    <s v="Mateo  Hurtado Tamanis"/>
    <s v="RC"/>
    <s v="21652970"/>
    <n v="13"/>
    <x v="1"/>
    <x v="2"/>
    <x v="3"/>
    <n v="83191"/>
    <n v="83191"/>
    <x v="9"/>
    <n v="13.932692307692308"/>
  </r>
  <r>
    <x v="30"/>
    <s v="Natalia  Restrepo Valencia"/>
    <s v="RC"/>
    <s v="21724247"/>
    <n v="15"/>
    <x v="0"/>
    <x v="1"/>
    <x v="2"/>
    <n v="19008"/>
    <n v="18057.599999999999"/>
    <x v="6"/>
    <n v="5702.4"/>
  </r>
  <r>
    <x v="34"/>
    <s v="Diana Angel Bonilla Salcedo"/>
    <s v="RC"/>
    <s v="21733171"/>
    <n v="13"/>
    <x v="0"/>
    <x v="1"/>
    <x v="7"/>
    <n v="95863"/>
    <n v="91069.85"/>
    <x v="7"/>
    <n v="95863"/>
  </r>
  <r>
    <x v="77"/>
    <s v="Juan  Castrillon Camacho"/>
    <s v="RC"/>
    <s v="21768278"/>
    <n v="12"/>
    <x v="1"/>
    <x v="1"/>
    <x v="9"/>
    <n v="93091"/>
    <n v="93091"/>
    <x v="7"/>
    <n v="13.941747572815533"/>
  </r>
  <r>
    <x v="78"/>
    <s v="Veronica  Tamayo Yepez"/>
    <s v="RC"/>
    <s v="21773556"/>
    <n v="14"/>
    <x v="0"/>
    <x v="2"/>
    <x v="3"/>
    <n v="46345"/>
    <n v="44027.75"/>
    <x v="2"/>
    <n v="46345"/>
  </r>
  <r>
    <x v="79"/>
    <s v="Mariana  Florez Florez"/>
    <s v="RC"/>
    <s v="21804958"/>
    <n v="13"/>
    <x v="0"/>
    <x v="1"/>
    <x v="1"/>
    <n v="82399"/>
    <n v="78279.05"/>
    <x v="10"/>
    <n v="82399"/>
  </r>
  <r>
    <x v="80"/>
    <s v="Yhorindel  Mu?Oz Guarin"/>
    <s v="RC"/>
    <s v="21834829"/>
    <n v="16"/>
    <x v="1"/>
    <x v="2"/>
    <x v="0"/>
    <n v="15243"/>
    <n v="15243"/>
    <x v="10"/>
    <n v="13.96078431372549"/>
  </r>
  <r>
    <x v="65"/>
    <s v="Miguel Angel Pete Suarez"/>
    <s v="RC"/>
    <s v="21835798"/>
    <n v="12"/>
    <x v="1"/>
    <x v="3"/>
    <x v="9"/>
    <n v="91111"/>
    <n v="91111"/>
    <x v="5"/>
    <n v="13.940594059405941"/>
  </r>
  <r>
    <x v="81"/>
    <s v="Nicolle  Betancur Nieto"/>
    <s v="RC"/>
    <s v="21995444"/>
    <n v="13"/>
    <x v="0"/>
    <x v="2"/>
    <x v="3"/>
    <n v="97051"/>
    <n v="92198.45"/>
    <x v="7"/>
    <n v="97051"/>
  </r>
  <r>
    <x v="82"/>
    <s v="Alexis  Casta?Eda Buritica"/>
    <s v="RC"/>
    <s v="22098708"/>
    <n v="15"/>
    <x v="1"/>
    <x v="3"/>
    <x v="4"/>
    <n v="28742"/>
    <n v="28742"/>
    <x v="11"/>
    <n v="13.96"/>
  </r>
  <r>
    <x v="83"/>
    <s v="Andres  Villa Loaiza"/>
    <s v="RC"/>
    <s v="22101619"/>
    <n v="13"/>
    <x v="1"/>
    <x v="3"/>
    <x v="2"/>
    <n v="61411"/>
    <n v="61411"/>
    <x v="6"/>
    <n v="13.94949494949495"/>
  </r>
  <r>
    <x v="84"/>
    <s v="Juan Pablo Valle Sepulveda"/>
    <s v="RC"/>
    <s v="24469356"/>
    <n v="16"/>
    <x v="1"/>
    <x v="3"/>
    <x v="8"/>
    <n v="50325"/>
    <n v="50325"/>
    <x v="1"/>
    <n v="13.959183673469388"/>
  </r>
  <r>
    <x v="85"/>
    <s v="Sebastian  Cifuentes Moncada"/>
    <s v="RC"/>
    <s v="24832607"/>
    <n v="13"/>
    <x v="1"/>
    <x v="2"/>
    <x v="3"/>
    <n v="90319"/>
    <n v="90319"/>
    <x v="8"/>
    <n v="13.938144329896907"/>
  </r>
  <r>
    <x v="86"/>
    <s v="Juan Camilo Ni?O Chacon"/>
    <s v="RC"/>
    <s v="26923896"/>
    <n v="12"/>
    <x v="1"/>
    <x v="0"/>
    <x v="2"/>
    <n v="76855"/>
    <n v="76855"/>
    <x v="3"/>
    <n v="13.947916666666666"/>
  </r>
  <r>
    <x v="87"/>
    <s v="Santiago  Suarez Sanchez"/>
    <s v="RC"/>
    <s v="27152884"/>
    <n v="12"/>
    <x v="1"/>
    <x v="0"/>
    <x v="2"/>
    <n v="63787"/>
    <n v="63787"/>
    <x v="8"/>
    <n v="13.968421052631578"/>
  </r>
  <r>
    <x v="74"/>
    <s v="Juan  Mejia Bedoya"/>
    <s v="RC"/>
    <s v="27796730"/>
    <n v="13"/>
    <x v="1"/>
    <x v="1"/>
    <x v="2"/>
    <n v="79231"/>
    <n v="79231"/>
    <x v="3"/>
    <n v="13.98936170212766"/>
  </r>
  <r>
    <x v="88"/>
    <s v="Laura Valentina Ocampo Salazaar"/>
    <s v="RC"/>
    <s v="28017390"/>
    <n v="16"/>
    <x v="0"/>
    <x v="2"/>
    <x v="3"/>
    <n v="40413"/>
    <n v="38392.35"/>
    <x v="8"/>
    <n v="12123.9"/>
  </r>
  <r>
    <x v="89"/>
    <s v="Miguel  Pati?O Lenis"/>
    <s v="RC"/>
    <s v="29276866"/>
    <n v="15"/>
    <x v="1"/>
    <x v="3"/>
    <x v="9"/>
    <n v="57782"/>
    <n v="57782"/>
    <x v="3"/>
    <n v="14"/>
  </r>
  <r>
    <x v="90"/>
    <s v="Geraldi  Valle Aristizabal"/>
    <s v="RC"/>
    <s v="29531835"/>
    <n v="14"/>
    <x v="0"/>
    <x v="2"/>
    <x v="3"/>
    <n v="53700"/>
    <n v="51015"/>
    <x v="3"/>
    <n v="53700"/>
  </r>
  <r>
    <x v="91"/>
    <s v="Juan Manuel Ramirez "/>
    <s v="RC"/>
    <s v="30224633"/>
    <n v="14"/>
    <x v="1"/>
    <x v="1"/>
    <x v="1"/>
    <n v="32239"/>
    <n v="32239"/>
    <x v="2"/>
    <n v="13.989130434782609"/>
  </r>
  <r>
    <x v="92"/>
    <s v="Mariana  Velez Guarin"/>
    <s v="RC"/>
    <s v="30239769"/>
    <n v="15"/>
    <x v="0"/>
    <x v="0"/>
    <x v="2"/>
    <n v="45881"/>
    <n v="43586.95"/>
    <x v="6"/>
    <n v="13764.3"/>
  </r>
  <r>
    <x v="93"/>
    <s v="Jeronimo  Chavarriaga Arango"/>
    <s v="RC"/>
    <s v="30357114"/>
    <n v="13"/>
    <x v="1"/>
    <x v="1"/>
    <x v="10"/>
    <n v="90715"/>
    <n v="90715"/>
    <x v="6"/>
    <n v="13.989010989010989"/>
  </r>
  <r>
    <x v="94"/>
    <s v="Juan Camilo Saldarriaga Becerra"/>
    <s v="RC"/>
    <s v="30553307"/>
    <n v="14"/>
    <x v="1"/>
    <x v="0"/>
    <x v="2"/>
    <n v="55230"/>
    <n v="55230"/>
    <x v="2"/>
    <n v="14"/>
  </r>
  <r>
    <x v="95"/>
    <s v="Leidy Vanessa Zapata Loaiza"/>
    <s v="RC"/>
    <s v="30654532"/>
    <n v="15"/>
    <x v="0"/>
    <x v="2"/>
    <x v="3"/>
    <n v="46959"/>
    <n v="44611.05"/>
    <x v="3"/>
    <n v="14087.699999999999"/>
  </r>
  <r>
    <x v="96"/>
    <s v="Samuel  Ruidiaz Camargo"/>
    <s v="RC"/>
    <s v="31992484"/>
    <n v="13"/>
    <x v="1"/>
    <x v="0"/>
    <x v="2"/>
    <n v="68143"/>
    <n v="68143"/>
    <x v="6"/>
    <n v="14"/>
  </r>
  <r>
    <x v="97"/>
    <s v="Manuel  Salazar Alcalde"/>
    <s v="RC"/>
    <s v="32018067"/>
    <n v="12"/>
    <x v="1"/>
    <x v="2"/>
    <x v="3"/>
    <n v="67351"/>
    <n v="67351"/>
    <x v="5"/>
    <n v="14.011363636363637"/>
  </r>
  <r>
    <x v="98"/>
    <s v="Samara  Mu?Oz Hoyos"/>
    <s v="RC"/>
    <s v="32075654"/>
    <n v="13"/>
    <x v="0"/>
    <x v="2"/>
    <x v="0"/>
    <n v="77647"/>
    <n v="73764.649999999994"/>
    <x v="8"/>
    <n v="77647"/>
  </r>
  <r>
    <x v="16"/>
    <s v="Maria Isabela Ruiz Henao"/>
    <s v="RC"/>
    <s v="32109063"/>
    <n v="14"/>
    <x v="0"/>
    <x v="0"/>
    <x v="2"/>
    <n v="18576"/>
    <n v="17647.2"/>
    <x v="6"/>
    <n v="18576"/>
  </r>
  <r>
    <x v="99"/>
    <s v="Samuel  Seguro Tobias"/>
    <s v="RC"/>
    <s v="32308024"/>
    <n v="15"/>
    <x v="1"/>
    <x v="1"/>
    <x v="5"/>
    <n v="50359"/>
    <n v="50359"/>
    <x v="9"/>
    <n v="14.03448275862069"/>
  </r>
  <r>
    <x v="77"/>
    <s v="Diego  Castrillon Velez"/>
    <s v="RC"/>
    <s v="32342918"/>
    <n v="12"/>
    <x v="1"/>
    <x v="3"/>
    <x v="4"/>
    <n v="92695"/>
    <n v="92695"/>
    <x v="7"/>
    <n v="14.023255813953488"/>
  </r>
  <r>
    <x v="98"/>
    <s v="Samara  Mu?Oz Hoyos"/>
    <s v="RC"/>
    <s v="32345625"/>
    <n v="13"/>
    <x v="0"/>
    <x v="2"/>
    <x v="0"/>
    <n v="77251"/>
    <n v="73388.45"/>
    <x v="8"/>
    <n v="77251"/>
  </r>
  <r>
    <x v="100"/>
    <s v="Sofia  Molina Passos"/>
    <s v="RC"/>
    <s v="32399710"/>
    <n v="16"/>
    <x v="0"/>
    <x v="1"/>
    <x v="7"/>
    <n v="20193"/>
    <n v="19183.349999999999"/>
    <x v="4"/>
    <n v="6057.9"/>
  </r>
  <r>
    <x v="101"/>
    <s v="Esteban Xxxxxxx Parra Alvarez"/>
    <s v="RC"/>
    <s v="32400993"/>
    <n v="15"/>
    <x v="1"/>
    <x v="1"/>
    <x v="8"/>
    <n v="41813"/>
    <n v="41813"/>
    <x v="10"/>
    <n v="14.047058823529412"/>
  </r>
  <r>
    <x v="102"/>
    <s v="Maria Paula Pati?O Zapata"/>
    <s v="RC"/>
    <s v="32408770"/>
    <n v="14"/>
    <x v="0"/>
    <x v="1"/>
    <x v="2"/>
    <n v="17045"/>
    <n v="16192.75"/>
    <x v="10"/>
    <n v="17045"/>
  </r>
  <r>
    <x v="59"/>
    <s v="Karla Mireth Torres Rodriguez"/>
    <s v="RC"/>
    <s v="32413487"/>
    <n v="15"/>
    <x v="0"/>
    <x v="3"/>
    <x v="12"/>
    <n v="32226"/>
    <n v="30614.7"/>
    <x v="2"/>
    <n v="9667.7999999999993"/>
  </r>
  <r>
    <x v="103"/>
    <s v="Sebastian  Casta?O Ramirez"/>
    <s v="RC"/>
    <s v="32444884"/>
    <n v="16"/>
    <x v="1"/>
    <x v="3"/>
    <x v="13"/>
    <n v="16441"/>
    <n v="16441"/>
    <x v="3"/>
    <n v="14.035714285714286"/>
  </r>
  <r>
    <x v="104"/>
    <s v="Jacob  Montoya Quiroz"/>
    <s v="CC"/>
    <s v="32455615"/>
    <n v="16"/>
    <x v="0"/>
    <x v="3"/>
    <x v="5"/>
    <n v="50461"/>
    <n v="47937.95"/>
    <x v="6"/>
    <n v="15138.3"/>
  </r>
  <r>
    <x v="105"/>
    <s v="Yeison  Montoya Montoya"/>
    <s v="RC"/>
    <s v="32457173"/>
    <n v="15"/>
    <x v="1"/>
    <x v="1"/>
    <x v="2"/>
    <n v="35795"/>
    <n v="35795"/>
    <x v="1"/>
    <n v="14.012048192771084"/>
  </r>
  <r>
    <x v="106"/>
    <s v="Danna Nikole Rios Mu?Oz"/>
    <s v="RC"/>
    <s v="32461460"/>
    <n v="13"/>
    <x v="0"/>
    <x v="2"/>
    <x v="3"/>
    <n v="70915"/>
    <n v="67369.25"/>
    <x v="9"/>
    <n v="70915"/>
  </r>
  <r>
    <x v="107"/>
    <s v="Sara Ines Viana Usuga"/>
    <s v="RC"/>
    <s v="32486543"/>
    <n v="13"/>
    <x v="0"/>
    <x v="1"/>
    <x v="2"/>
    <n v="62203"/>
    <n v="59092.85"/>
    <x v="6"/>
    <n v="62203"/>
  </r>
  <r>
    <x v="108"/>
    <s v="Samuel  Espinal Rodriguez"/>
    <s v="RC"/>
    <s v="32488384"/>
    <n v="13"/>
    <x v="1"/>
    <x v="3"/>
    <x v="7"/>
    <n v="87547"/>
    <n v="87547"/>
    <x v="11"/>
    <n v="14"/>
  </r>
  <r>
    <x v="69"/>
    <s v="Maria Isabel Restrepo Uribe"/>
    <s v="RC"/>
    <s v="32520569"/>
    <n v="15"/>
    <x v="0"/>
    <x v="1"/>
    <x v="7"/>
    <n v="35317"/>
    <n v="33551.15"/>
    <x v="10"/>
    <n v="10595.1"/>
  </r>
  <r>
    <x v="106"/>
    <s v="Danna Nikole Rios Mu?Oz"/>
    <s v="RC"/>
    <s v="33038259"/>
    <n v="13"/>
    <x v="0"/>
    <x v="2"/>
    <x v="3"/>
    <n v="70519"/>
    <n v="66993.05"/>
    <x v="9"/>
    <n v="70519"/>
  </r>
  <r>
    <x v="109"/>
    <s v="Juan  Restrepo Mesa"/>
    <s v="RC"/>
    <s v="3304902"/>
    <n v="15"/>
    <x v="1"/>
    <x v="1"/>
    <x v="14"/>
    <n v="23262"/>
    <n v="23262"/>
    <x v="10"/>
    <n v="14.012345679012345"/>
  </r>
  <r>
    <x v="110"/>
    <s v="Diego Alejandro Hernandez Urueta"/>
    <s v="RC"/>
    <s v="33060729"/>
    <n v="15"/>
    <x v="1"/>
    <x v="2"/>
    <x v="3"/>
    <n v="59827"/>
    <n v="59827"/>
    <x v="10"/>
    <n v="14"/>
  </r>
  <r>
    <x v="82"/>
    <s v="Alexis  Casta?Eda Buritica"/>
    <s v="RC"/>
    <s v="3306558"/>
    <n v="15"/>
    <x v="1"/>
    <x v="3"/>
    <x v="14"/>
    <n v="35449"/>
    <n v="35449"/>
    <x v="11"/>
    <n v="13.987341772151899"/>
  </r>
  <r>
    <x v="111"/>
    <s v="Nicolas  Saldarriaga Merchan"/>
    <s v="RC"/>
    <s v="33088914"/>
    <n v="12"/>
    <x v="1"/>
    <x v="1"/>
    <x v="3"/>
    <n v="66955"/>
    <n v="66955"/>
    <x v="5"/>
    <n v="13.974358974358974"/>
  </r>
  <r>
    <x v="91"/>
    <s v="Manuel Esteban Jimenez De Hoyos"/>
    <s v="RC"/>
    <s v="33132883"/>
    <n v="14"/>
    <x v="1"/>
    <x v="2"/>
    <x v="3"/>
    <n v="21583"/>
    <n v="21583"/>
    <x v="2"/>
    <n v="14"/>
  </r>
  <r>
    <x v="112"/>
    <s v="Jose David Borja Bedoya"/>
    <s v="RC"/>
    <s v="33287713"/>
    <n v="16"/>
    <x v="1"/>
    <x v="2"/>
    <x v="0"/>
    <n v="27670"/>
    <n v="27670"/>
    <x v="0"/>
    <n v="14"/>
  </r>
  <r>
    <x v="113"/>
    <s v="Wilmer Yosman Bohorquez Garcia"/>
    <s v="TI"/>
    <s v="3331174"/>
    <n v="15"/>
    <x v="1"/>
    <x v="3"/>
    <x v="8"/>
    <n v="19929"/>
    <n v="19929"/>
    <x v="10"/>
    <n v="13.973333333333333"/>
  </r>
  <r>
    <x v="114"/>
    <s v="Samuel  Granda Arango"/>
    <s v="RC"/>
    <s v="3331552"/>
    <n v="15"/>
    <x v="1"/>
    <x v="1"/>
    <x v="6"/>
    <n v="19724"/>
    <n v="19724"/>
    <x v="1"/>
    <n v="13.95945945945946"/>
  </r>
  <r>
    <x v="115"/>
    <s v="Maria Catalina Arango Ramirez"/>
    <s v="RC"/>
    <s v="3341032"/>
    <n v="14"/>
    <x v="0"/>
    <x v="2"/>
    <x v="3"/>
    <n v="54120"/>
    <n v="51414"/>
    <x v="6"/>
    <n v="54120"/>
  </r>
  <r>
    <x v="116"/>
    <s v="Tomas  Henao Metaute"/>
    <s v="RC"/>
    <s v="3345797"/>
    <n v="16"/>
    <x v="1"/>
    <x v="1"/>
    <x v="2"/>
    <n v="45431"/>
    <n v="45431"/>
    <x v="0"/>
    <n v="13.945205479452055"/>
  </r>
  <r>
    <x v="117"/>
    <s v="Angel Miguel Alvarez Correa"/>
    <s v="RC"/>
    <s v="3358914"/>
    <n v="15"/>
    <x v="1"/>
    <x v="2"/>
    <x v="3"/>
    <n v="16477"/>
    <n v="16477"/>
    <x v="6"/>
    <n v="13.916666666666666"/>
  </r>
  <r>
    <x v="118"/>
    <s v="Jorge Eduardo Cardona Mu?Oz"/>
    <s v="RC"/>
    <s v="3372470"/>
    <n v="13"/>
    <x v="1"/>
    <x v="2"/>
    <x v="3"/>
    <n v="93883"/>
    <n v="93883"/>
    <x v="3"/>
    <n v="13.901408450704226"/>
  </r>
  <r>
    <x v="119"/>
    <s v="Sebastian  Ospina Ortiz"/>
    <s v="RC"/>
    <s v="33987437"/>
    <n v="13"/>
    <x v="1"/>
    <x v="2"/>
    <x v="3"/>
    <n v="75667"/>
    <n v="75667"/>
    <x v="6"/>
    <n v="13.914285714285715"/>
  </r>
  <r>
    <x v="120"/>
    <s v="Daniel  Erazo Betancur"/>
    <s v="RC"/>
    <s v="3471812"/>
    <n v="13"/>
    <x v="1"/>
    <x v="1"/>
    <x v="15"/>
    <n v="87943"/>
    <n v="87943"/>
    <x v="2"/>
    <n v="13.927536231884059"/>
  </r>
  <r>
    <x v="121"/>
    <s v="Juan Jose Mena Morales"/>
    <s v="RC"/>
    <s v="34969847"/>
    <n v="16"/>
    <x v="1"/>
    <x v="1"/>
    <x v="2"/>
    <n v="37667"/>
    <n v="37667"/>
    <x v="2"/>
    <n v="13.941176470588236"/>
  </r>
  <r>
    <x v="38"/>
    <s v="Isabella  Vasquez "/>
    <s v="RC"/>
    <s v="34969890"/>
    <n v="12"/>
    <x v="0"/>
    <x v="1"/>
    <x v="2"/>
    <n v="89527"/>
    <n v="85050.65"/>
    <x v="7"/>
    <n v="89527"/>
  </r>
  <r>
    <x v="122"/>
    <s v="Valeria  Flores Alzate"/>
    <s v="RC"/>
    <s v="35154665"/>
    <n v="14"/>
    <x v="0"/>
    <x v="1"/>
    <x v="2"/>
    <n v="50973"/>
    <n v="48424.35"/>
    <x v="8"/>
    <n v="50973"/>
  </r>
  <r>
    <x v="123"/>
    <s v="Santiago  Ramirez Aristizabal"/>
    <s v="RC"/>
    <s v="35204465"/>
    <n v="13"/>
    <x v="1"/>
    <x v="1"/>
    <x v="2"/>
    <n v="72103"/>
    <n v="72103"/>
    <x v="3"/>
    <n v="13.91044776119403"/>
  </r>
  <r>
    <x v="124"/>
    <s v="Laura Sofia Torres Orlas"/>
    <s v="RC"/>
    <s v="35292341"/>
    <n v="13"/>
    <x v="0"/>
    <x v="0"/>
    <x v="2"/>
    <n v="63391"/>
    <n v="60221.45"/>
    <x v="11"/>
    <n v="63391"/>
  </r>
  <r>
    <x v="125"/>
    <s v="Mariana  Alzate Lopez"/>
    <s v="RC"/>
    <s v="35352268"/>
    <n v="16"/>
    <x v="0"/>
    <x v="2"/>
    <x v="3"/>
    <n v="48602"/>
    <n v="46171.9"/>
    <x v="3"/>
    <n v="14580.6"/>
  </r>
  <r>
    <x v="126"/>
    <s v="Luis Mateo Mazo Flores"/>
    <s v="RC"/>
    <s v="35379111"/>
    <n v="14"/>
    <x v="1"/>
    <x v="2"/>
    <x v="3"/>
    <n v="46316"/>
    <n v="46316"/>
    <x v="4"/>
    <n v="13.924242424242424"/>
  </r>
  <r>
    <x v="127"/>
    <s v="Vanessa  Benjumea Cortes"/>
    <s v="RC"/>
    <s v="35420173"/>
    <n v="15"/>
    <x v="0"/>
    <x v="2"/>
    <x v="3"/>
    <n v="23727"/>
    <n v="22540.65"/>
    <x v="3"/>
    <n v="7118.0999999999995"/>
  </r>
  <r>
    <x v="40"/>
    <s v="Deiby  Atehortua Meneses"/>
    <s v="RC"/>
    <s v="35420546"/>
    <n v="14"/>
    <x v="1"/>
    <x v="2"/>
    <x v="3"/>
    <n v="23191"/>
    <n v="23191"/>
    <x v="9"/>
    <n v="13.923076923076923"/>
  </r>
  <r>
    <x v="128"/>
    <s v="Luisa Fernanda Hoyos Parra"/>
    <s v="RC"/>
    <s v="3620687"/>
    <n v="14"/>
    <x v="0"/>
    <x v="1"/>
    <x v="3"/>
    <n v="45557"/>
    <n v="43279.15"/>
    <x v="5"/>
    <n v="45557"/>
  </r>
  <r>
    <x v="129"/>
    <s v="Cristian David Betancur Ortega"/>
    <s v="RC"/>
    <s v="3658718"/>
    <n v="13"/>
    <x v="1"/>
    <x v="2"/>
    <x v="3"/>
    <n v="96655"/>
    <n v="96655"/>
    <x v="0"/>
    <n v="13.921875"/>
  </r>
  <r>
    <x v="130"/>
    <s v="Valeria  Bilbao Cordoba"/>
    <s v="TI"/>
    <s v="36931969"/>
    <n v="14"/>
    <x v="0"/>
    <x v="2"/>
    <x v="3"/>
    <n v="17167"/>
    <n v="16308.65"/>
    <x v="5"/>
    <n v="17167"/>
  </r>
  <r>
    <x v="30"/>
    <s v="Natalia  Hernandez Restrepo"/>
    <s v="RC"/>
    <s v="36940045"/>
    <n v="15"/>
    <x v="0"/>
    <x v="1"/>
    <x v="2"/>
    <n v="34994"/>
    <n v="33244.300000000003"/>
    <x v="6"/>
    <n v="10498.199999999999"/>
  </r>
  <r>
    <x v="108"/>
    <s v="Samuel  Rodriguez Rodriguez"/>
    <s v="RC"/>
    <s v="37192805"/>
    <n v="13"/>
    <x v="1"/>
    <x v="2"/>
    <x v="3"/>
    <n v="70123"/>
    <n v="70123"/>
    <x v="11"/>
    <n v="13.936507936507937"/>
  </r>
  <r>
    <x v="131"/>
    <s v="Darwin  Lopez Delgado"/>
    <s v="RC"/>
    <s v="37281727"/>
    <n v="16"/>
    <x v="1"/>
    <x v="2"/>
    <x v="3"/>
    <n v="24814"/>
    <n v="24814"/>
    <x v="10"/>
    <n v="13.951612903225806"/>
  </r>
  <r>
    <x v="132"/>
    <s v="Kevin Jhoan Jimenez Gonzalez"/>
    <s v="RC"/>
    <s v="37375500"/>
    <n v="16"/>
    <x v="1"/>
    <x v="0"/>
    <x v="2"/>
    <n v="19558"/>
    <n v="19558"/>
    <x v="10"/>
    <n v="13.918032786885245"/>
  </r>
  <r>
    <x v="133"/>
    <s v="Josue  Cata?O Arroyave"/>
    <s v="RC"/>
    <s v="37526646"/>
    <n v="13"/>
    <x v="1"/>
    <x v="0"/>
    <x v="2"/>
    <n v="92299"/>
    <n v="92299"/>
    <x v="4"/>
    <n v="13.883333333333333"/>
  </r>
  <r>
    <x v="134"/>
    <s v="Daniel Aaron Valencia Cardenas"/>
    <s v="RC"/>
    <s v="37576130"/>
    <n v="15"/>
    <x v="1"/>
    <x v="3"/>
    <x v="9"/>
    <n v="50846"/>
    <n v="50846"/>
    <x v="3"/>
    <n v="13.898305084745763"/>
  </r>
  <r>
    <x v="54"/>
    <s v="Ana Sofia Berrio Correa"/>
    <s v="RC"/>
    <s v="39204619"/>
    <n v="14"/>
    <x v="0"/>
    <x v="1"/>
    <x v="2"/>
    <n v="43554"/>
    <n v="41376.300000000003"/>
    <x v="0"/>
    <n v="13066.199999999999"/>
  </r>
  <r>
    <x v="135"/>
    <s v="Daniel Alejandro Gomez Goez"/>
    <s v="RC"/>
    <s v="39204619"/>
    <n v="15"/>
    <x v="1"/>
    <x v="1"/>
    <x v="2"/>
    <n v="25396"/>
    <n v="25396"/>
    <x v="4"/>
    <n v="13.879310344827585"/>
  </r>
  <r>
    <x v="99"/>
    <s v="Samuel  Seguro Tobias"/>
    <s v="RC"/>
    <s v="39204640"/>
    <n v="15"/>
    <x v="1"/>
    <x v="1"/>
    <x v="2"/>
    <n v="33797"/>
    <n v="33797"/>
    <x v="9"/>
    <n v="13.859649122807017"/>
  </r>
  <r>
    <x v="136"/>
    <s v="Jeronimo  Moreno Garcia"/>
    <s v="RC"/>
    <s v="39350663"/>
    <n v="14"/>
    <x v="1"/>
    <x v="1"/>
    <x v="1"/>
    <n v="19415"/>
    <n v="19415"/>
    <x v="6"/>
    <n v="13.839285714285714"/>
  </r>
  <r>
    <x v="137"/>
    <s v="Sofia  Perez Arias"/>
    <s v="RC"/>
    <s v="39381077"/>
    <n v="12"/>
    <x v="0"/>
    <x v="1"/>
    <x v="2"/>
    <n v="74479"/>
    <n v="70755.05"/>
    <x v="7"/>
    <n v="74479"/>
  </r>
  <r>
    <x v="20"/>
    <s v="Wendy Yadaly Arango Lopez"/>
    <s v="RC"/>
    <s v="39412464"/>
    <n v="15"/>
    <x v="0"/>
    <x v="1"/>
    <x v="5"/>
    <n v="52144"/>
    <n v="49536.800000000003"/>
    <x v="3"/>
    <n v="15643.199999999999"/>
  </r>
  <r>
    <x v="138"/>
    <s v="Jose Alejandro Ramirez Jaramillo"/>
    <s v="RC"/>
    <s v="40093434"/>
    <n v="15"/>
    <x v="1"/>
    <x v="1"/>
    <x v="2"/>
    <n v="53957"/>
    <n v="53957"/>
    <x v="6"/>
    <n v="13.836363636363636"/>
  </r>
  <r>
    <x v="116"/>
    <s v="Tomas  Metaute Metaute"/>
    <s v="RC"/>
    <s v="40093932"/>
    <n v="16"/>
    <x v="1"/>
    <x v="0"/>
    <x v="2"/>
    <n v="51511"/>
    <n v="51511"/>
    <x v="0"/>
    <n v="13.814814814814815"/>
  </r>
  <r>
    <x v="139"/>
    <s v="Juliana  Posada Ayala"/>
    <s v="RC"/>
    <s v="40281021"/>
    <n v="16"/>
    <x v="0"/>
    <x v="1"/>
    <x v="2"/>
    <n v="41555"/>
    <n v="39477.25"/>
    <x v="8"/>
    <n v="12466.5"/>
  </r>
  <r>
    <x v="34"/>
    <s v="Diana Angel Bonilla Salcedo"/>
    <s v="RC"/>
    <s v="40282224"/>
    <n v="13"/>
    <x v="0"/>
    <x v="0"/>
    <x v="2"/>
    <n v="95467"/>
    <n v="90693.65"/>
    <x v="7"/>
    <n v="95467"/>
  </r>
  <r>
    <x v="25"/>
    <s v="Vanesa  Rojas Arango"/>
    <s v="RC"/>
    <s v="40455579"/>
    <n v="13"/>
    <x v="0"/>
    <x v="1"/>
    <x v="1"/>
    <n v="69331"/>
    <n v="65864.45"/>
    <x v="9"/>
    <n v="69331"/>
  </r>
  <r>
    <x v="140"/>
    <s v="Jose Sebastian Mu?Oz Herrera"/>
    <s v="RC"/>
    <s v="42871658"/>
    <n v="16"/>
    <x v="1"/>
    <x v="3"/>
    <x v="5"/>
    <n v="21952"/>
    <n v="21952"/>
    <x v="8"/>
    <n v="13.773584905660377"/>
  </r>
  <r>
    <x v="141"/>
    <s v="Mariana  Metaute Gaviria"/>
    <s v="RC"/>
    <s v="42987180"/>
    <n v="13"/>
    <x v="0"/>
    <x v="1"/>
    <x v="7"/>
    <n v="83983"/>
    <n v="79783.850000000006"/>
    <x v="2"/>
    <n v="83983"/>
  </r>
  <r>
    <x v="142"/>
    <s v="Andres  Lopez Jaramillo"/>
    <s v="RC"/>
    <s v="43003354"/>
    <n v="12"/>
    <x v="1"/>
    <x v="1"/>
    <x v="9"/>
    <n v="82003"/>
    <n v="82003"/>
    <x v="4"/>
    <n v="13.73076923076923"/>
  </r>
  <r>
    <x v="143"/>
    <s v="Samanta  Echeverri Alzate"/>
    <s v="RC"/>
    <s v="43005915"/>
    <n v="13"/>
    <x v="0"/>
    <x v="0"/>
    <x v="2"/>
    <n v="88339"/>
    <n v="83922.05"/>
    <x v="0"/>
    <n v="88339"/>
  </r>
  <r>
    <x v="144"/>
    <s v="Juan Jose Berrio Vahos"/>
    <s v="RC"/>
    <s v="43029617"/>
    <n v="12"/>
    <x v="1"/>
    <x v="2"/>
    <x v="3"/>
    <n v="97447"/>
    <n v="97447"/>
    <x v="7"/>
    <n v="13.764705882352942"/>
  </r>
  <r>
    <x v="145"/>
    <s v="Andres  Upegui Ruiz"/>
    <s v="RC"/>
    <s v="43045194"/>
    <n v="14"/>
    <x v="1"/>
    <x v="3"/>
    <x v="9"/>
    <n v="20693"/>
    <n v="20693"/>
    <x v="6"/>
    <n v="13.8"/>
  </r>
  <r>
    <x v="146"/>
    <s v="Samuel  Baena Velez"/>
    <s v="RC"/>
    <s v="43056162"/>
    <n v="13"/>
    <x v="1"/>
    <x v="0"/>
    <x v="2"/>
    <n v="98635"/>
    <n v="98635"/>
    <x v="0"/>
    <n v="13.795918367346939"/>
  </r>
  <r>
    <x v="26"/>
    <s v="Daniel Giovanny Montoya Hernandez"/>
    <s v="RC"/>
    <s v="43086138"/>
    <n v="14"/>
    <x v="1"/>
    <x v="2"/>
    <x v="3"/>
    <n v="26974"/>
    <n v="26974"/>
    <x v="7"/>
    <n v="13.8125"/>
  </r>
  <r>
    <x v="129"/>
    <s v="Cristian David Betancur Ortega"/>
    <s v="RC"/>
    <s v="43098242"/>
    <n v="13"/>
    <x v="1"/>
    <x v="2"/>
    <x v="0"/>
    <n v="96259"/>
    <n v="96259"/>
    <x v="0"/>
    <n v="13.808510638297872"/>
  </r>
  <r>
    <x v="147"/>
    <s v="Valeria  Asprilla Moreno"/>
    <s v="RC"/>
    <s v="43200018"/>
    <n v="13"/>
    <x v="0"/>
    <x v="0"/>
    <x v="2"/>
    <n v="55008"/>
    <n v="52257.599999999999"/>
    <x v="3"/>
    <n v="55008"/>
  </r>
  <r>
    <x v="102"/>
    <s v="Maria Paula Pati?O Zapata"/>
    <s v="RC"/>
    <s v="43200018"/>
    <n v="14"/>
    <x v="0"/>
    <x v="0"/>
    <x v="3"/>
    <n v="55008"/>
    <n v="52257.599999999999"/>
    <x v="10"/>
    <n v="55008"/>
  </r>
  <r>
    <x v="111"/>
    <s v="Santiago  Saldarriaga Merchan"/>
    <s v="RC"/>
    <s v="43263564"/>
    <n v="12"/>
    <x v="1"/>
    <x v="2"/>
    <x v="3"/>
    <n v="64975"/>
    <n v="64975"/>
    <x v="5"/>
    <n v="13.826086956521738"/>
  </r>
  <r>
    <x v="53"/>
    <s v="Kevin Andres Hincapie Granda"/>
    <s v="RC"/>
    <s v="43524513"/>
    <n v="15"/>
    <x v="1"/>
    <x v="2"/>
    <x v="3"/>
    <n v="29088"/>
    <n v="29088"/>
    <x v="9"/>
    <n v="13.866666666666667"/>
  </r>
  <r>
    <x v="148"/>
    <s v="Valery  Valencia Quintero"/>
    <s v="RC"/>
    <s v="43525285"/>
    <n v="12"/>
    <x v="0"/>
    <x v="0"/>
    <x v="2"/>
    <n v="62599"/>
    <n v="59469.05"/>
    <x v="11"/>
    <n v="62599"/>
  </r>
  <r>
    <x v="149"/>
    <s v="Hijo De Yineth Damiana Mena Garcia"/>
    <s v="MS"/>
    <s v="43553223"/>
    <n v="12"/>
    <x v="1"/>
    <x v="0"/>
    <x v="2"/>
    <n v="78439"/>
    <n v="78439"/>
    <x v="10"/>
    <n v="13.840909090909092"/>
  </r>
  <r>
    <x v="129"/>
    <s v="Marina  Palacios Asprilla"/>
    <s v="RC"/>
    <s v="43567683"/>
    <n v="13"/>
    <x v="0"/>
    <x v="2"/>
    <x v="3"/>
    <n v="74875"/>
    <n v="71131.25"/>
    <x v="0"/>
    <n v="74875"/>
  </r>
  <r>
    <x v="150"/>
    <s v="Isabela  Cuadrado Valdes"/>
    <s v="RC"/>
    <s v="43570595"/>
    <n v="14"/>
    <x v="0"/>
    <x v="0"/>
    <x v="2"/>
    <n v="58087"/>
    <n v="55182.65"/>
    <x v="1"/>
    <n v="58087"/>
  </r>
  <r>
    <x v="151"/>
    <s v="Maira Alejandra Londo?O Serrano"/>
    <s v="RC"/>
    <s v="43575491"/>
    <n v="16"/>
    <x v="0"/>
    <x v="0"/>
    <x v="0"/>
    <n v="50821"/>
    <n v="48279.95"/>
    <x v="0"/>
    <n v="15246.3"/>
  </r>
  <r>
    <x v="152"/>
    <s v="Juan David Lopez Cubides"/>
    <s v="RC"/>
    <s v="43591418"/>
    <n v="16"/>
    <x v="1"/>
    <x v="0"/>
    <x v="2"/>
    <n v="47890"/>
    <n v="47890"/>
    <x v="3"/>
    <n v="13.883720930232558"/>
  </r>
  <r>
    <x v="153"/>
    <s v="Juan Felipe Ramos Ortiz"/>
    <s v="RC"/>
    <s v="43748759"/>
    <n v="15"/>
    <x v="1"/>
    <x v="0"/>
    <x v="2"/>
    <n v="37348"/>
    <n v="37348"/>
    <x v="10"/>
    <n v="13.833333333333334"/>
  </r>
  <r>
    <x v="154"/>
    <s v="Sofia  Moreno Gallego"/>
    <s v="RC"/>
    <s v="43794374"/>
    <n v="14"/>
    <x v="0"/>
    <x v="0"/>
    <x v="2"/>
    <n v="32274"/>
    <n v="30660.3"/>
    <x v="0"/>
    <n v="32274"/>
  </r>
  <r>
    <x v="155"/>
    <s v="Maria Jose Gaviria Mazo"/>
    <s v="RC"/>
    <s v="43811601"/>
    <n v="15"/>
    <x v="0"/>
    <x v="0"/>
    <x v="2"/>
    <n v="34517"/>
    <n v="32791.15"/>
    <x v="0"/>
    <n v="10355.1"/>
  </r>
  <r>
    <x v="156"/>
    <s v="Valentina  Giraldo Lopez"/>
    <s v="RC"/>
    <s v="43811601"/>
    <n v="13"/>
    <x v="0"/>
    <x v="0"/>
    <x v="2"/>
    <n v="84775"/>
    <n v="80536.25"/>
    <x v="4"/>
    <n v="84775"/>
  </r>
  <r>
    <x v="29"/>
    <s v="Tomas  Galvis Oquendo"/>
    <s v="RC"/>
    <s v="43837362"/>
    <n v="13"/>
    <x v="1"/>
    <x v="0"/>
    <x v="2"/>
    <n v="87151"/>
    <n v="87151"/>
    <x v="0"/>
    <n v="13.804878048780488"/>
  </r>
  <r>
    <x v="157"/>
    <s v="Jhoan  Ortiz Figueroa"/>
    <s v="RC"/>
    <s v="4462053"/>
    <n v="13"/>
    <x v="1"/>
    <x v="1"/>
    <x v="1"/>
    <n v="76459"/>
    <n v="76459"/>
    <x v="11"/>
    <n v="13.824999999999999"/>
  </r>
  <r>
    <x v="158"/>
    <s v="Juan  Alzate Quintero"/>
    <s v="RC"/>
    <s v="4592937"/>
    <n v="15"/>
    <x v="1"/>
    <x v="2"/>
    <x v="3"/>
    <n v="48602"/>
    <n v="48602"/>
    <x v="0"/>
    <n v="13.846153846153847"/>
  </r>
  <r>
    <x v="11"/>
    <s v="Susana  Gil Yarce"/>
    <s v="RC"/>
    <s v="4792999"/>
    <n v="17"/>
    <x v="0"/>
    <x v="1"/>
    <x v="5"/>
    <n v="37376"/>
    <n v="35507.199999999997"/>
    <x v="0"/>
    <n v="11212.8"/>
  </r>
  <r>
    <x v="103"/>
    <s v="Sebastian  Casta?O Ramirez"/>
    <s v="RC"/>
    <s v="503863"/>
    <n v="16"/>
    <x v="1"/>
    <x v="3"/>
    <x v="5"/>
    <n v="47139"/>
    <n v="47139"/>
    <x v="3"/>
    <n v="13.815789473684211"/>
  </r>
  <r>
    <x v="159"/>
    <s v="Carol Valeria Estrada Alvarez"/>
    <s v="RC"/>
    <s v="537681"/>
    <n v="16"/>
    <x v="0"/>
    <x v="2"/>
    <x v="3"/>
    <n v="17716"/>
    <n v="16830.2"/>
    <x v="10"/>
    <n v="5314.8"/>
  </r>
  <r>
    <x v="160"/>
    <s v="Emmanuel  Mu?Oz Escobar"/>
    <s v="RC"/>
    <s v="552744"/>
    <n v="14"/>
    <x v="1"/>
    <x v="2"/>
    <x v="0"/>
    <n v="45527"/>
    <n v="45527"/>
    <x v="0"/>
    <n v="13.756756756756756"/>
  </r>
  <r>
    <x v="82"/>
    <s v="Alejandro  David Gutierrez"/>
    <s v="RC"/>
    <s v="553366"/>
    <n v="15"/>
    <x v="1"/>
    <x v="2"/>
    <x v="3"/>
    <n v="44392"/>
    <n v="44392"/>
    <x v="11"/>
    <n v="13.75"/>
  </r>
  <r>
    <x v="40"/>
    <s v="Deiby  Atehortua Meneses"/>
    <s v="RC"/>
    <s v="661597"/>
    <n v="14"/>
    <x v="1"/>
    <x v="2"/>
    <x v="3"/>
    <n v="32511"/>
    <n v="32511"/>
    <x v="9"/>
    <n v="13.714285714285714"/>
  </r>
  <r>
    <x v="83"/>
    <s v="Andres  Villa Loaiza"/>
    <s v="RC"/>
    <s v="6876618"/>
    <n v="13"/>
    <x v="1"/>
    <x v="3"/>
    <x v="7"/>
    <n v="61807"/>
    <n v="61807"/>
    <x v="6"/>
    <n v="13.705882352941176"/>
  </r>
  <r>
    <x v="42"/>
    <s v="Blanca Ximena Metaute Restrepo"/>
    <s v="CC"/>
    <s v="691686"/>
    <n v="16"/>
    <x v="0"/>
    <x v="3"/>
    <x v="4"/>
    <n v="39092"/>
    <n v="37137.4"/>
    <x v="2"/>
    <n v="11727.6"/>
  </r>
  <r>
    <x v="161"/>
    <s v="Hija De Ronny Yadira Renteria Sanabria"/>
    <s v="MS"/>
    <s v="70050882"/>
    <n v="12"/>
    <x v="0"/>
    <x v="0"/>
    <x v="2"/>
    <n v="71707"/>
    <n v="68121.649999999994"/>
    <x v="3"/>
    <n v="71707"/>
  </r>
  <r>
    <x v="162"/>
    <s v="Alicia  Zuluaga De Marin"/>
    <s v="CC"/>
    <s v="70056256"/>
    <n v="12"/>
    <x v="0"/>
    <x v="2"/>
    <x v="0"/>
    <n v="60223"/>
    <n v="57211.85"/>
    <x v="0"/>
    <n v="60223"/>
  </r>
  <r>
    <x v="163"/>
    <s v="Ismael  Loaiza Marin"/>
    <s v="RC"/>
    <s v="70080078"/>
    <n v="12"/>
    <x v="1"/>
    <x v="3"/>
    <x v="9"/>
    <n v="80419"/>
    <n v="80419"/>
    <x v="7"/>
    <n v="13.727272727272727"/>
  </r>
  <r>
    <x v="164"/>
    <s v="Isabela  Cardona Gil"/>
    <s v="RC"/>
    <s v="70097147"/>
    <n v="12"/>
    <x v="0"/>
    <x v="2"/>
    <x v="3"/>
    <n v="94279"/>
    <n v="89565.05"/>
    <x v="11"/>
    <n v="94279"/>
  </r>
  <r>
    <x v="103"/>
    <s v="Sebastian  Casta?O Ramirez"/>
    <s v="RC"/>
    <s v="701535"/>
    <n v="16"/>
    <x v="1"/>
    <x v="3"/>
    <x v="13"/>
    <n v="20509"/>
    <n v="20509"/>
    <x v="3"/>
    <n v="13.78125"/>
  </r>
  <r>
    <x v="165"/>
    <s v="Humberto  Morales Jaramillo"/>
    <s v="RC"/>
    <s v="70564571"/>
    <n v="13"/>
    <x v="1"/>
    <x v="1"/>
    <x v="7"/>
    <n v="78043"/>
    <n v="78043"/>
    <x v="7"/>
    <n v="13.709677419354838"/>
  </r>
  <r>
    <x v="166"/>
    <s v="Sara  Gomez Cadavid"/>
    <s v="RC"/>
    <s v="70877125"/>
    <n v="13"/>
    <x v="0"/>
    <x v="2"/>
    <x v="3"/>
    <n v="84379"/>
    <n v="80160.05"/>
    <x v="2"/>
    <n v="84379"/>
  </r>
  <r>
    <x v="167"/>
    <s v="Miguel Angel Orrego Benitez"/>
    <s v="RC"/>
    <s v="71589330"/>
    <n v="14"/>
    <x v="1"/>
    <x v="1"/>
    <x v="3"/>
    <n v="27944"/>
    <n v="27944"/>
    <x v="1"/>
    <n v="13.733333333333333"/>
  </r>
  <r>
    <x v="168"/>
    <s v="Carlos Enrique Marin Mesa"/>
    <s v="CC"/>
    <s v="71595452"/>
    <n v="11"/>
    <x v="1"/>
    <x v="2"/>
    <x v="3"/>
    <n v="80023"/>
    <n v="80023"/>
    <x v="7"/>
    <n v="13.724137931034482"/>
  </r>
  <r>
    <x v="14"/>
    <s v="Elizabeth  Zapata Sierra"/>
    <s v="RC"/>
    <s v="71639297"/>
    <n v="13"/>
    <x v="0"/>
    <x v="1"/>
    <x v="7"/>
    <n v="61015"/>
    <n v="57964.25"/>
    <x v="5"/>
    <n v="61015"/>
  </r>
  <r>
    <x v="169"/>
    <s v="Sofia  Giraldo Duque"/>
    <s v="RC"/>
    <s v="71696519"/>
    <n v="12"/>
    <x v="0"/>
    <x v="2"/>
    <x v="3"/>
    <n v="85171"/>
    <n v="80912.45"/>
    <x v="7"/>
    <n v="85171"/>
  </r>
  <r>
    <x v="146"/>
    <s v="Samuel  Baena Velez"/>
    <s v="RC"/>
    <s v="71699183"/>
    <n v="13"/>
    <x v="1"/>
    <x v="2"/>
    <x v="3"/>
    <n v="98239"/>
    <n v="98239"/>
    <x v="0"/>
    <n v="13.821428571428571"/>
  </r>
  <r>
    <x v="157"/>
    <s v="Jhoan  Ortiz Tobon"/>
    <s v="RC"/>
    <s v="71722499"/>
    <n v="13"/>
    <x v="1"/>
    <x v="3"/>
    <x v="5"/>
    <n v="76063"/>
    <n v="76063"/>
    <x v="11"/>
    <n v="13.851851851851851"/>
  </r>
  <r>
    <x v="142"/>
    <s v="Andres  Lopez Diaz"/>
    <s v="RC"/>
    <s v="71944312"/>
    <n v="12"/>
    <x v="1"/>
    <x v="1"/>
    <x v="2"/>
    <n v="82795"/>
    <n v="82795"/>
    <x v="4"/>
    <n v="13.884615384615385"/>
  </r>
  <r>
    <x v="65"/>
    <s v="Juan Angel Charris Suarez"/>
    <s v="RC"/>
    <s v="8213548"/>
    <n v="12"/>
    <x v="1"/>
    <x v="2"/>
    <x v="3"/>
    <n v="91903"/>
    <n v="91903"/>
    <x v="5"/>
    <n v="13.96"/>
  </r>
  <r>
    <x v="131"/>
    <s v="Maria Camila Gil Lopez"/>
    <s v="RC"/>
    <s v="90071258377"/>
    <n v="16"/>
    <x v="0"/>
    <x v="0"/>
    <x v="2"/>
    <n v="33802"/>
    <n v="32111.9"/>
    <x v="10"/>
    <n v="10140.6"/>
  </r>
  <r>
    <x v="170"/>
    <s v="Edelmira  Loaiza Julio"/>
    <s v="CC"/>
    <s v="90080859340"/>
    <n v="13"/>
    <x v="0"/>
    <x v="2"/>
    <x v="3"/>
    <n v="81607"/>
    <n v="77526.649999999994"/>
    <x v="10"/>
    <n v="81607"/>
  </r>
  <r>
    <x v="33"/>
    <s v="Deiny Manuela Franco Durango"/>
    <s v="RC"/>
    <s v="90092871656"/>
    <n v="13"/>
    <x v="0"/>
    <x v="0"/>
    <x v="2"/>
    <n v="19795"/>
    <n v="18805.25"/>
    <x v="11"/>
    <n v="19795"/>
  </r>
  <r>
    <x v="168"/>
    <s v="Carlos Enrique Loaiza Mesa"/>
    <s v="CC"/>
    <s v="91091204687"/>
    <n v="11"/>
    <x v="1"/>
    <x v="3"/>
    <x v="16"/>
    <n v="79627"/>
    <n v="79627"/>
    <x v="7"/>
    <n v="14.041666666666666"/>
  </r>
  <r>
    <x v="171"/>
    <s v="Johan Alexis Vasquez Alzate"/>
    <s v="RC"/>
    <s v="92062526299"/>
    <n v="14"/>
    <x v="1"/>
    <x v="2"/>
    <x v="3"/>
    <n v="45066"/>
    <n v="45066"/>
    <x v="4"/>
    <n v="14.173913043478262"/>
  </r>
  <r>
    <x v="11"/>
    <s v="Susana  Gil Yarce"/>
    <s v="RC"/>
    <s v="93092432619"/>
    <n v="17"/>
    <x v="0"/>
    <x v="0"/>
    <x v="2"/>
    <n v="43347"/>
    <n v="41179.65"/>
    <x v="0"/>
    <n v="13004.1"/>
  </r>
  <r>
    <x v="172"/>
    <s v="Manuela  Aricapa Sepulveda"/>
    <s v="RC"/>
    <s v="93092601003"/>
    <n v="12"/>
    <x v="0"/>
    <x v="1"/>
    <x v="2"/>
    <n v="54120"/>
    <n v="51414"/>
    <x v="7"/>
    <n v="54120"/>
  </r>
  <r>
    <x v="173"/>
    <s v="Maria Paulina Valencia Castro"/>
    <s v="RC"/>
    <s v="93111700387"/>
    <n v="16"/>
    <x v="0"/>
    <x v="3"/>
    <x v="9"/>
    <n v="43481"/>
    <n v="41306.949999999997"/>
    <x v="7"/>
    <n v="13044.3"/>
  </r>
  <r>
    <x v="40"/>
    <s v="Deiby  Atehortua Meneses"/>
    <s v="RC"/>
    <s v="94090124824"/>
    <n v="14"/>
    <x v="1"/>
    <x v="0"/>
    <x v="2"/>
    <n v="48636"/>
    <n v="48636"/>
    <x v="9"/>
    <n v="14.181818181818182"/>
  </r>
  <r>
    <x v="174"/>
    <s v="Luis Esteban Arroyave Alzate"/>
    <s v="RC"/>
    <s v="94100927556"/>
    <n v="13"/>
    <x v="1"/>
    <x v="2"/>
    <x v="3"/>
    <n v="54120"/>
    <n v="54120"/>
    <x v="6"/>
    <n v="14.19047619047619"/>
  </r>
  <r>
    <x v="175"/>
    <s v="Dahiana  Valencia Arango"/>
    <s v="RC"/>
    <s v="94112314185"/>
    <n v="15"/>
    <x v="0"/>
    <x v="0"/>
    <x v="2"/>
    <n v="15850"/>
    <n v="15057.5"/>
    <x v="4"/>
    <n v="4755"/>
  </r>
  <r>
    <x v="176"/>
    <s v="Mariana  Cabezas Ceferino"/>
    <s v="RC"/>
    <s v="95011322140"/>
    <n v="16"/>
    <x v="0"/>
    <x v="2"/>
    <x v="3"/>
    <n v="44608"/>
    <n v="42377.599999999999"/>
    <x v="9"/>
    <n v="13382.4"/>
  </r>
  <r>
    <x v="126"/>
    <s v="Luis Mateo Mazo Flores"/>
    <s v="RC"/>
    <s v="95020216183"/>
    <n v="14"/>
    <x v="1"/>
    <x v="1"/>
    <x v="2"/>
    <n v="30496"/>
    <n v="30496"/>
    <x v="4"/>
    <n v="14.25"/>
  </r>
  <r>
    <x v="177"/>
    <s v="Yesid  Tobon Zapata"/>
    <s v="RC"/>
    <s v="95030623150"/>
    <n v="16"/>
    <x v="1"/>
    <x v="2"/>
    <x v="0"/>
    <n v="30840"/>
    <n v="30840"/>
    <x v="11"/>
    <n v="14.263157894736842"/>
  </r>
  <r>
    <x v="178"/>
    <s v="Juan Sebastian Rave Martinez"/>
    <s v="RC"/>
    <s v="95050514898"/>
    <n v="14"/>
    <x v="0"/>
    <x v="2"/>
    <x v="2"/>
    <n v="33361"/>
    <n v="31692.95"/>
    <x v="5"/>
    <n v="33361"/>
  </r>
  <r>
    <x v="179"/>
    <s v="Valentina  Garcia Araque"/>
    <s v="RC"/>
    <s v="95050921698"/>
    <n v="14"/>
    <x v="0"/>
    <x v="2"/>
    <x v="3"/>
    <n v="42873"/>
    <n v="40729.35"/>
    <x v="9"/>
    <n v="42873"/>
  </r>
  <r>
    <x v="136"/>
    <s v="Jeronimo  Moreno Garcia"/>
    <s v="RC"/>
    <s v="95053023240"/>
    <n v="14"/>
    <x v="1"/>
    <x v="0"/>
    <x v="2"/>
    <n v="25622"/>
    <n v="25622"/>
    <x v="6"/>
    <n v="14.166666666666666"/>
  </r>
  <r>
    <x v="180"/>
    <s v="Mariana  Salazar Garcia"/>
    <s v="RC"/>
    <s v="95071318762"/>
    <n v="14"/>
    <x v="0"/>
    <x v="1"/>
    <x v="2"/>
    <n v="57397"/>
    <n v="54527.15"/>
    <x v="3"/>
    <n v="57397"/>
  </r>
  <r>
    <x v="181"/>
    <s v="Jorge Andres Quintero Duque"/>
    <s v="TI"/>
    <s v="95071520707"/>
    <n v="15"/>
    <x v="1"/>
    <x v="1"/>
    <x v="6"/>
    <n v="43159"/>
    <n v="43159"/>
    <x v="0"/>
    <n v="14.176470588235293"/>
  </r>
  <r>
    <x v="182"/>
    <s v="Luis Felipe Moreno Herrera"/>
    <s v="RC"/>
    <s v="95100517982"/>
    <n v="16"/>
    <x v="1"/>
    <x v="1"/>
    <x v="1"/>
    <n v="53211"/>
    <n v="53211"/>
    <x v="2"/>
    <n v="14.125"/>
  </r>
  <r>
    <x v="21"/>
    <s v="Cristian David Corrales Pecerra"/>
    <s v="CC"/>
    <s v="96010418639"/>
    <n v="14"/>
    <x v="1"/>
    <x v="1"/>
    <x v="9"/>
    <n v="17293"/>
    <n v="17293"/>
    <x v="7"/>
    <n v="14"/>
  </r>
  <r>
    <x v="69"/>
    <s v="Andres  Flores Botero"/>
    <s v="RC"/>
    <s v="96021616912"/>
    <n v="15"/>
    <x v="1"/>
    <x v="0"/>
    <x v="2"/>
    <n v="25622"/>
    <n v="25622"/>
    <x v="10"/>
    <n v="14"/>
  </r>
  <r>
    <x v="183"/>
    <s v="Jhonatan  David Ibarra"/>
    <s v="RC"/>
    <s v="96040417564"/>
    <n v="13"/>
    <x v="1"/>
    <x v="0"/>
    <x v="2"/>
    <n v="25622"/>
    <n v="25622"/>
    <x v="9"/>
    <n v="13.923076923076923"/>
  </r>
  <r>
    <x v="184"/>
    <s v="Asly Dahiana Narvaez Tobon"/>
    <s v="RC"/>
    <s v="96060716282"/>
    <n v="13"/>
    <x v="0"/>
    <x v="2"/>
    <x v="3"/>
    <n v="19710"/>
    <n v="18724.5"/>
    <x v="11"/>
    <n v="19710"/>
  </r>
  <r>
    <x v="185"/>
    <s v="Daniel Alexander Gonzalez Fernandez"/>
    <s v="RC"/>
    <s v="96062115960"/>
    <n v="15"/>
    <x v="1"/>
    <x v="0"/>
    <x v="2"/>
    <n v="25622"/>
    <n v="25622"/>
    <x v="9"/>
    <n v="14"/>
  </r>
  <r>
    <x v="186"/>
    <s v="Maria Paulina Bermudez Correa"/>
    <s v="RC"/>
    <s v="96110204768"/>
    <n v="12"/>
    <x v="0"/>
    <x v="0"/>
    <x v="2"/>
    <n v="25622"/>
    <n v="24340.9"/>
    <x v="4"/>
    <n v="25622"/>
  </r>
  <r>
    <x v="187"/>
    <s v="Veronica  Trivi?O Sepulveda"/>
    <s v="RC"/>
    <s v="96121813790"/>
    <n v="15"/>
    <x v="0"/>
    <x v="1"/>
    <x v="1"/>
    <n v="22261"/>
    <n v="21147.95"/>
    <x v="5"/>
    <n v="6678.3"/>
  </r>
  <r>
    <x v="188"/>
    <s v="Celeni  Alvarez Gomez"/>
    <s v="RC"/>
    <s v="97011313411"/>
    <n v="13"/>
    <x v="0"/>
    <x v="2"/>
    <x v="0"/>
    <n v="48602"/>
    <n v="46171.9"/>
    <x v="4"/>
    <n v="48602"/>
  </r>
  <r>
    <x v="189"/>
    <s v="Paulina  Piedrahita Maya"/>
    <s v="RC"/>
    <s v="97012609772"/>
    <n v="15"/>
    <x v="0"/>
    <x v="0"/>
    <x v="2"/>
    <n v="25622"/>
    <n v="24340.9"/>
    <x v="4"/>
    <n v="7686.5999999999995"/>
  </r>
  <r>
    <x v="190"/>
    <s v="Simon  Ossa Correa"/>
    <s v="RC"/>
    <s v="97031309291"/>
    <n v="13"/>
    <x v="1"/>
    <x v="0"/>
    <x v="2"/>
    <n v="25622"/>
    <n v="25622"/>
    <x v="4"/>
    <n v="13.909090909090908"/>
  </r>
  <r>
    <x v="191"/>
    <s v="Isabela  Henao Ramirez"/>
    <s v="RC"/>
    <s v="97041613835"/>
    <n v="14"/>
    <x v="0"/>
    <x v="1"/>
    <x v="2"/>
    <n v="55307"/>
    <n v="52541.65"/>
    <x v="6"/>
    <n v="55307"/>
  </r>
  <r>
    <x v="192"/>
    <s v="Alejandro  Pelaez Mora"/>
    <s v="RC"/>
    <s v="97042420976"/>
    <n v="15"/>
    <x v="1"/>
    <x v="2"/>
    <x v="0"/>
    <n v="47311"/>
    <n v="47311"/>
    <x v="10"/>
    <n v="14"/>
  </r>
  <r>
    <x v="55"/>
    <s v="Sara  Quintero Osorio"/>
    <s v="RC"/>
    <s v="97050207742"/>
    <n v="13"/>
    <x v="0"/>
    <x v="2"/>
    <x v="0"/>
    <n v="72499"/>
    <n v="68874.05"/>
    <x v="11"/>
    <n v="72499"/>
  </r>
  <r>
    <x v="59"/>
    <s v="Jonatan Arley Loaiza Corpa"/>
    <s v="RC"/>
    <s v="98012757549"/>
    <n v="15"/>
    <x v="1"/>
    <x v="0"/>
    <x v="2"/>
    <n v="25622"/>
    <n v="25622"/>
    <x v="2"/>
    <n v="13.888888888888889"/>
  </r>
  <r>
    <x v="44"/>
    <s v="Sara  Moreno Zapata"/>
    <s v="RC"/>
    <s v="98020260874"/>
    <n v="14"/>
    <x v="0"/>
    <x v="3"/>
    <x v="5"/>
    <n v="58618"/>
    <n v="55687.1"/>
    <x v="9"/>
    <n v="58618"/>
  </r>
  <r>
    <x v="193"/>
    <s v="Carolina  Blandon Yanes"/>
    <s v="RC"/>
    <s v="98031252245"/>
    <n v="14"/>
    <x v="0"/>
    <x v="0"/>
    <x v="2"/>
    <n v="25622"/>
    <n v="24340.9"/>
    <x v="7"/>
    <n v="25622"/>
  </r>
  <r>
    <x v="40"/>
    <s v="Deiby  Atehortua Meneses"/>
    <s v="RC"/>
    <s v="98031454085"/>
    <n v="14"/>
    <x v="1"/>
    <x v="0"/>
    <x v="2"/>
    <n v="25622"/>
    <n v="25622"/>
    <x v="9"/>
    <n v="13.75"/>
  </r>
  <r>
    <x v="194"/>
    <s v="Sofia  Zapata Olarte"/>
    <s v="RC"/>
    <s v="98032262279"/>
    <n v="16"/>
    <x v="0"/>
    <x v="2"/>
    <x v="0"/>
    <n v="41599"/>
    <n v="39519.050000000003"/>
    <x v="8"/>
    <n v="12479.699999999999"/>
  </r>
  <r>
    <x v="59"/>
    <s v="Karla Mireth Torres Rodriguez"/>
    <s v="RC"/>
    <s v="98042560405"/>
    <n v="15"/>
    <x v="0"/>
    <x v="1"/>
    <x v="1"/>
    <n v="39341"/>
    <n v="37373.949999999997"/>
    <x v="2"/>
    <n v="11802.3"/>
  </r>
  <r>
    <x v="195"/>
    <s v="Carolina  Zapata Jimenez"/>
    <s v="RC"/>
    <s v="98073054508"/>
    <n v="16"/>
    <x v="0"/>
    <x v="0"/>
    <x v="2"/>
    <n v="55792"/>
    <n v="53002.400000000001"/>
    <x v="10"/>
    <n v="16737.599999999999"/>
  </r>
  <r>
    <x v="156"/>
    <s v="Evelyn Andrea Quintana Mejia"/>
    <s v="RC"/>
    <s v="98101503267"/>
    <n v="13"/>
    <x v="0"/>
    <x v="0"/>
    <x v="2"/>
    <n v="55792"/>
    <n v="53002.400000000001"/>
    <x v="4"/>
    <n v="55792"/>
  </r>
  <r>
    <x v="136"/>
    <s v="Junior Andres Quintero Bustamante"/>
    <s v="RC"/>
    <s v="98102166990"/>
    <n v="14"/>
    <x v="1"/>
    <x v="0"/>
    <x v="2"/>
    <n v="55792"/>
    <n v="55792"/>
    <x v="6"/>
    <n v="13.714285714285714"/>
  </r>
  <r>
    <x v="196"/>
    <s v="Keith  Restrepo Moreno"/>
    <s v="RC"/>
    <s v="98102355270"/>
    <n v="12"/>
    <x v="1"/>
    <x v="1"/>
    <x v="2"/>
    <n v="71311"/>
    <n v="71311"/>
    <x v="5"/>
    <n v="13.666666666666666"/>
  </r>
  <r>
    <x v="197"/>
    <s v="Santiago  Londo?O "/>
    <s v="RC"/>
    <s v="98112709185"/>
    <n v="16"/>
    <x v="1"/>
    <x v="1"/>
    <x v="7"/>
    <n v="44193"/>
    <n v="44193"/>
    <x v="10"/>
    <n v="14"/>
  </r>
  <r>
    <x v="198"/>
    <s v="Johan Stivenson Hurtado Mosquera"/>
    <s v="RC"/>
    <s v="98564683"/>
    <n v="14"/>
    <x v="1"/>
    <x v="3"/>
    <x v="7"/>
    <n v="50334"/>
    <n v="50334"/>
    <x v="10"/>
    <n v="13.5"/>
  </r>
  <r>
    <x v="97"/>
    <s v="Esteban  Salazar Alcalde"/>
    <s v="RC"/>
    <s v="99050902656"/>
    <n v="12"/>
    <x v="1"/>
    <x v="2"/>
    <x v="3"/>
    <n v="67747"/>
    <n v="67747"/>
    <x v="5"/>
    <n v="13.333333333333334"/>
  </r>
  <r>
    <x v="142"/>
    <s v="Andres  Lopez Osorio"/>
    <s v="RC"/>
    <s v="99070602764"/>
    <n v="12"/>
    <x v="1"/>
    <x v="1"/>
    <x v="1"/>
    <n v="81211"/>
    <n v="81211"/>
    <x v="4"/>
    <n v="14"/>
  </r>
  <r>
    <x v="188"/>
    <s v="Celeni  Alvarez Gomez"/>
    <s v="RC"/>
    <s v="99072610586"/>
    <n v="13"/>
    <x v="0"/>
    <x v="0"/>
    <x v="2"/>
    <n v="25622"/>
    <n v="24340.9"/>
    <x v="4"/>
    <n v="25622"/>
  </r>
  <r>
    <x v="199"/>
    <s v="Carolina  Garcia Jimenez"/>
    <s v="RC"/>
    <s v="99082403864"/>
    <n v="15"/>
    <x v="0"/>
    <x v="3"/>
    <x v="9"/>
    <n v="19806"/>
    <n v="18815.7"/>
    <x v="5"/>
    <n v="19806"/>
  </r>
  <r>
    <x v="200"/>
    <s v="Juan David Martinez Arismendi"/>
    <s v="RC"/>
    <s v="99092009315"/>
    <n v="16"/>
    <x v="1"/>
    <x v="2"/>
    <x v="3"/>
    <n v="20677"/>
    <n v="20677"/>
    <x v="1"/>
    <n v="16"/>
  </r>
  <r>
    <x v="201"/>
    <m/>
    <m/>
    <m/>
    <m/>
    <x v="2"/>
    <x v="5"/>
    <x v="17"/>
    <m/>
    <m/>
    <x v="12"/>
    <m/>
  </r>
  <r>
    <x v="201"/>
    <m/>
    <m/>
    <m/>
    <m/>
    <x v="2"/>
    <x v="5"/>
    <x v="17"/>
    <m/>
    <m/>
    <x v="12"/>
    <m/>
  </r>
  <r>
    <x v="201"/>
    <m/>
    <s v="Numero de consultas"/>
    <s v="promedio descuentos"/>
    <m/>
    <x v="2"/>
    <x v="5"/>
    <x v="17"/>
    <m/>
    <m/>
    <x v="12"/>
    <m/>
  </r>
  <r>
    <x v="201"/>
    <m/>
    <s v="enero"/>
    <m/>
    <m/>
    <x v="2"/>
    <x v="5"/>
    <x v="17"/>
    <m/>
    <m/>
    <x v="12"/>
    <m/>
  </r>
  <r>
    <x v="201"/>
    <m/>
    <s v="febrero"/>
    <m/>
    <m/>
    <x v="2"/>
    <x v="5"/>
    <x v="17"/>
    <m/>
    <m/>
    <x v="12"/>
    <m/>
  </r>
  <r>
    <x v="201"/>
    <m/>
    <s v="marzo"/>
    <m/>
    <m/>
    <x v="2"/>
    <x v="5"/>
    <x v="17"/>
    <m/>
    <m/>
    <x v="12"/>
    <m/>
  </r>
  <r>
    <x v="201"/>
    <m/>
    <s v="abril"/>
    <m/>
    <m/>
    <x v="2"/>
    <x v="5"/>
    <x v="17"/>
    <m/>
    <m/>
    <x v="12"/>
    <m/>
  </r>
  <r>
    <x v="201"/>
    <m/>
    <s v="mayo"/>
    <m/>
    <m/>
    <x v="2"/>
    <x v="5"/>
    <x v="17"/>
    <m/>
    <m/>
    <x v="12"/>
    <m/>
  </r>
  <r>
    <x v="201"/>
    <m/>
    <s v="junio"/>
    <m/>
    <m/>
    <x v="2"/>
    <x v="5"/>
    <x v="17"/>
    <m/>
    <m/>
    <x v="12"/>
    <m/>
  </r>
  <r>
    <x v="201"/>
    <m/>
    <s v="julio"/>
    <m/>
    <m/>
    <x v="2"/>
    <x v="5"/>
    <x v="17"/>
    <m/>
    <m/>
    <x v="12"/>
    <m/>
  </r>
  <r>
    <x v="201"/>
    <m/>
    <s v="agosto"/>
    <m/>
    <m/>
    <x v="2"/>
    <x v="5"/>
    <x v="17"/>
    <m/>
    <m/>
    <x v="12"/>
    <m/>
  </r>
  <r>
    <x v="201"/>
    <m/>
    <s v="septiembre"/>
    <m/>
    <m/>
    <x v="2"/>
    <x v="5"/>
    <x v="17"/>
    <m/>
    <m/>
    <x v="12"/>
    <m/>
  </r>
  <r>
    <x v="201"/>
    <m/>
    <s v="octubre"/>
    <m/>
    <m/>
    <x v="2"/>
    <x v="5"/>
    <x v="17"/>
    <m/>
    <m/>
    <x v="12"/>
    <m/>
  </r>
  <r>
    <x v="201"/>
    <m/>
    <s v="noviembre"/>
    <m/>
    <m/>
    <x v="2"/>
    <x v="5"/>
    <x v="17"/>
    <m/>
    <m/>
    <x v="12"/>
    <m/>
  </r>
  <r>
    <x v="201"/>
    <m/>
    <s v="diciembre"/>
    <m/>
    <m/>
    <x v="2"/>
    <x v="5"/>
    <x v="17"/>
    <m/>
    <m/>
    <x v="12"/>
    <m/>
  </r>
  <r>
    <x v="201"/>
    <m/>
    <m/>
    <m/>
    <m/>
    <x v="2"/>
    <x v="5"/>
    <x v="17"/>
    <m/>
    <m/>
    <x v="12"/>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
  <r>
    <d v="2003-12-12T00:00:00"/>
    <s v="Valentina  Sanchez Saldarriaga"/>
    <s v="RC"/>
    <s v="1000643564"/>
    <x v="0"/>
    <x v="0"/>
    <x v="0"/>
    <s v="Cirugia General"/>
    <n v="32927"/>
    <n v="31280.65"/>
  </r>
  <r>
    <d v="2003-12-09T00:00:00"/>
    <s v="Santiago  Alvarez Giraldo"/>
    <s v="RC"/>
    <s v="1000643565"/>
    <x v="0"/>
    <x v="1"/>
    <x v="1"/>
    <s v="Neurologia"/>
    <n v="48602"/>
    <n v="48602"/>
  </r>
  <r>
    <d v="2003-12-06T00:00:00"/>
    <s v="Maria Isabel Arroyave Arredondo"/>
    <s v="RC"/>
    <s v="1000643566"/>
    <x v="0"/>
    <x v="0"/>
    <x v="1"/>
    <s v="Pediatria"/>
    <n v="46232"/>
    <n v="43920.4"/>
  </r>
  <r>
    <d v="2003-12-05T00:00:00"/>
    <s v="Johnatan  Pulgarin Gomez"/>
    <s v="RC"/>
    <s v="1000643567"/>
    <x v="0"/>
    <x v="1"/>
    <x v="2"/>
    <s v="Medicina General"/>
    <n v="24550"/>
    <n v="24550"/>
  </r>
  <r>
    <d v="2003-11-30T00:00:00"/>
    <s v="Julian Andres Ochoa Londo?O"/>
    <s v="RC"/>
    <s v="1000643568"/>
    <x v="0"/>
    <x v="1"/>
    <x v="2"/>
    <s v="Medicina General"/>
    <n v="28497"/>
    <n v="28497"/>
  </r>
  <r>
    <d v="2003-11-27T00:00:00"/>
    <s v="Samuel  Duarte Burgos"/>
    <s v="RC"/>
    <s v="1000643569"/>
    <x v="0"/>
    <x v="1"/>
    <x v="2"/>
    <s v="Medicina General"/>
    <n v="16646"/>
    <n v="16646"/>
  </r>
  <r>
    <d v="2003-11-25T00:00:00"/>
    <s v="Sebastian  Velez Perez"/>
    <s v="RC"/>
    <s v="1000643570"/>
    <x v="0"/>
    <x v="1"/>
    <x v="2"/>
    <s v="Medicina General"/>
    <n v="22305"/>
    <n v="22305"/>
  </r>
  <r>
    <d v="2003-11-24T00:00:00"/>
    <s v="David Alejandro Ortiz Tobon"/>
    <s v="RC"/>
    <s v="1000643571"/>
    <x v="0"/>
    <x v="1"/>
    <x v="3"/>
    <s v="Anestesiologia"/>
    <n v="45267"/>
    <n v="45267"/>
  </r>
  <r>
    <d v="2003-11-10T00:00:00"/>
    <s v="Miguel Angel Ciro Parra"/>
    <s v="RC"/>
    <s v="1000643572"/>
    <x v="0"/>
    <x v="1"/>
    <x v="1"/>
    <s v="Pediatria"/>
    <n v="26538"/>
    <n v="26538"/>
  </r>
  <r>
    <d v="2003-10-16T00:00:00"/>
    <s v="Manuela  Calle Perez"/>
    <s v="RC"/>
    <s v="1000643573"/>
    <x v="0"/>
    <x v="0"/>
    <x v="3"/>
    <s v="Otorrinolaringologia"/>
    <n v="18595"/>
    <n v="17665.25"/>
  </r>
  <r>
    <d v="2003-10-08T00:00:00"/>
    <s v="Miguel Angel Sarabia Fernandez"/>
    <s v="RC"/>
    <s v="1000643574"/>
    <x v="0"/>
    <x v="1"/>
    <x v="1"/>
    <s v="Urologia"/>
    <n v="57236"/>
    <n v="57236"/>
  </r>
  <r>
    <d v="2003-12-20T00:00:00"/>
    <s v="Susana  Gil Yarce"/>
    <s v="RC"/>
    <s v="1000643575"/>
    <x v="0"/>
    <x v="0"/>
    <x v="4"/>
    <s v="Otorrinolaringologia"/>
    <n v="25327"/>
    <n v="24060.65"/>
  </r>
  <r>
    <d v="2004-06-26T00:00:00"/>
    <s v="Mariana  Londo?O Grajales"/>
    <s v="RC"/>
    <s v="1000643576"/>
    <x v="1"/>
    <x v="0"/>
    <x v="2"/>
    <s v="Medicina General"/>
    <n v="16772"/>
    <n v="15933.4"/>
  </r>
  <r>
    <d v="2004-04-11T00:00:00"/>
    <s v="Maria Del Mar Alvarez Ruiz"/>
    <s v="RC"/>
    <s v="1000870382"/>
    <x v="1"/>
    <x v="0"/>
    <x v="1"/>
    <s v="Pediatria"/>
    <n v="48602"/>
    <n v="46171.9"/>
  </r>
  <r>
    <d v="2007-02-28T00:00:00"/>
    <s v="Elizabeth  Zapata Sierra"/>
    <s v="RC"/>
    <s v="1000870382"/>
    <x v="2"/>
    <x v="0"/>
    <x v="1"/>
    <s v="Ortopedia Y Traumatologia"/>
    <n v="60619"/>
    <n v="57588.05"/>
  </r>
  <r>
    <d v="2008-02-04T00:00:00"/>
    <s v="Juliana  Henao Arboleda"/>
    <s v="RC"/>
    <s v="1000870623"/>
    <x v="3"/>
    <x v="0"/>
    <x v="0"/>
    <s v="Pediatria"/>
    <n v="83587"/>
    <n v="79407.649999999994"/>
  </r>
  <r>
    <d v="2006-08-05T00:00:00"/>
    <s v="Maria Isabela Ruiz Henao"/>
    <s v="RC"/>
    <s v="1001233324"/>
    <x v="4"/>
    <x v="0"/>
    <x v="0"/>
    <s v="Medicina General"/>
    <n v="42940"/>
    <n v="40793"/>
  </r>
  <r>
    <d v="2005-08-15T00:00:00"/>
    <s v="Xiemena  Agudelo Casta?O"/>
    <s v="RC"/>
    <s v="10014118002"/>
    <x v="5"/>
    <x v="0"/>
    <x v="1"/>
    <s v="Pediatria"/>
    <n v="49607"/>
    <n v="47126.65"/>
  </r>
  <r>
    <d v="2006-11-16T00:00:00"/>
    <s v="Jacobo  Martinez Rojas"/>
    <s v="RC"/>
    <s v="1007241768"/>
    <x v="4"/>
    <x v="1"/>
    <x v="2"/>
    <s v="Medicina General"/>
    <n v="30610"/>
    <n v="30610"/>
  </r>
  <r>
    <d v="2004-05-09T00:00:00"/>
    <s v="Jjeffry  Ocampo Alvarez"/>
    <s v="RC"/>
    <s v="1011395503"/>
    <x v="1"/>
    <x v="1"/>
    <x v="2"/>
    <s v="Cirugia General"/>
    <n v="38089"/>
    <n v="38089"/>
  </r>
  <r>
    <d v="2005-06-06T00:00:00"/>
    <s v="Wendy Yadaly Arango Lopez"/>
    <s v="RC"/>
    <s v="1013339036"/>
    <x v="5"/>
    <x v="0"/>
    <x v="1"/>
    <s v="Pediatria"/>
    <n v="33263"/>
    <n v="31599.85"/>
  </r>
  <r>
    <d v="2006-05-05T00:00:00"/>
    <s v="Cristian David Corrales Becerra"/>
    <s v="RC"/>
    <s v="1017165337"/>
    <x v="4"/>
    <x v="1"/>
    <x v="0"/>
    <s v="Pediatria"/>
    <n v="44733"/>
    <n v="44733"/>
  </r>
  <r>
    <d v="2008-06-23T00:00:00"/>
    <s v="Hijo De Cindy Vanessa Vaca Urrego"/>
    <s v="MS"/>
    <s v="1017922551"/>
    <x v="3"/>
    <x v="1"/>
    <x v="2"/>
    <s v="Medicina General"/>
    <n v="62995"/>
    <n v="62995"/>
  </r>
  <r>
    <d v="2005-03-02T00:00:00"/>
    <s v="Yully Daniela Franco Durango"/>
    <s v="RC"/>
    <s v="1017927569"/>
    <x v="5"/>
    <x v="0"/>
    <x v="1"/>
    <s v="Pediatria"/>
    <n v="51998"/>
    <n v="49398.1"/>
  </r>
  <r>
    <d v="2006-03-10T00:00:00"/>
    <s v="Estefania  Villada Villada"/>
    <s v="RC"/>
    <s v="1017930531"/>
    <x v="4"/>
    <x v="0"/>
    <x v="2"/>
    <s v="Medicina General"/>
    <n v="18470"/>
    <n v="17546.5"/>
  </r>
  <r>
    <d v="2007-09-03T00:00:00"/>
    <s v="Wilmer Darney Serna Durango"/>
    <s v="RC"/>
    <s v="1017931473"/>
    <x v="2"/>
    <x v="1"/>
    <x v="0"/>
    <s v="Pediatria"/>
    <n v="64579"/>
    <n v="64579"/>
  </r>
  <r>
    <d v="2006-05-19T00:00:00"/>
    <s v="Daniel Giovanny Montoya Hernandez"/>
    <s v="RC"/>
    <s v="1017931537"/>
    <x v="4"/>
    <x v="1"/>
    <x v="0"/>
    <s v="Pediatria"/>
    <n v="23689"/>
    <n v="23689"/>
  </r>
  <r>
    <d v="2008-04-18T00:00:00"/>
    <s v="Laura Isabel Quintero Monsalve"/>
    <s v="RC"/>
    <s v="1017931537"/>
    <x v="3"/>
    <x v="0"/>
    <x v="1"/>
    <s v="Pediatria"/>
    <n v="73687"/>
    <n v="70002.649999999994"/>
  </r>
  <r>
    <d v="2005-03-31T00:00:00"/>
    <s v="Martin Eduardo Espinosa Higuita"/>
    <s v="RC"/>
    <s v="1018224344"/>
    <x v="5"/>
    <x v="1"/>
    <x v="2"/>
    <s v="Medicina General"/>
    <n v="42877"/>
    <n v="42877"/>
  </r>
  <r>
    <d v="2007-12-28T00:00:00"/>
    <s v="Tomas  Lopez Rendon"/>
    <s v="RC"/>
    <s v="1018234151"/>
    <x v="2"/>
    <x v="1"/>
    <x v="0"/>
    <s v="Pediatria"/>
    <n v="86755"/>
    <n v="86755"/>
  </r>
  <r>
    <d v="2005-08-11T00:00:00"/>
    <s v="Natalia  Metaute Suarez"/>
    <s v="RC"/>
    <s v="1020108733"/>
    <x v="5"/>
    <x v="0"/>
    <x v="1"/>
    <s v="Pediatria"/>
    <n v="49533"/>
    <n v="47056.35"/>
  </r>
  <r>
    <d v="2006-12-12T00:00:00"/>
    <s v="Juan Felipe Quintero Lopez"/>
    <s v="RC"/>
    <s v="1020115721"/>
    <x v="4"/>
    <x v="1"/>
    <x v="1"/>
    <s v="Pediatria"/>
    <n v="23535"/>
    <n v="23535"/>
  </r>
  <r>
    <d v="2006-05-19T00:00:00"/>
    <s v="Victor Manuel Montoya Hernandez"/>
    <s v="RC"/>
    <s v="1023623787"/>
    <x v="4"/>
    <x v="1"/>
    <x v="0"/>
    <s v="Medicina General"/>
    <n v="45624"/>
    <n v="45624"/>
  </r>
  <r>
    <d v="2007-07-15T00:00:00"/>
    <s v="Jhonny Alexander Casta?Eda Cardona"/>
    <s v="RC"/>
    <s v="1023624963"/>
    <x v="2"/>
    <x v="1"/>
    <x v="2"/>
    <s v="Cirugia General"/>
    <n v="93487"/>
    <n v="93487"/>
  </r>
  <r>
    <d v="2007-01-20T00:00:00"/>
    <s v="Deiny Manuela Franco Durango"/>
    <s v="RC"/>
    <s v="1023626245"/>
    <x v="2"/>
    <x v="0"/>
    <x v="0"/>
    <s v="Pediatria"/>
    <n v="50153"/>
    <n v="47645.35"/>
  </r>
  <r>
    <d v="2007-05-20T00:00:00"/>
    <s v="Diana Angel Bonilla Salcedo"/>
    <s v="RC"/>
    <s v="1023626859"/>
    <x v="2"/>
    <x v="0"/>
    <x v="0"/>
    <s v="Pediatria"/>
    <n v="95071"/>
    <n v="90317.45"/>
  </r>
  <r>
    <d v="2007-09-03T00:00:00"/>
    <s v="Vanesa  Rojas Mejia"/>
    <s v="RC"/>
    <s v="1023630084"/>
    <x v="2"/>
    <x v="0"/>
    <x v="1"/>
    <s v="Neurologia"/>
    <n v="68935"/>
    <n v="65488.25"/>
  </r>
  <r>
    <d v="2004-07-31T00:00:00"/>
    <s v="Emmanuel  Restrepo Villa"/>
    <s v="RC"/>
    <s v="1023630516"/>
    <x v="1"/>
    <x v="1"/>
    <x v="2"/>
    <s v="Medicina General"/>
    <n v="17656"/>
    <n v="17656"/>
  </r>
  <r>
    <d v="2006-09-05T00:00:00"/>
    <s v="Evelin  Lopez Navarro"/>
    <s v="RC"/>
    <s v="1023630606"/>
    <x v="4"/>
    <x v="0"/>
    <x v="2"/>
    <s v="Medicina General"/>
    <n v="23284"/>
    <n v="22119.8"/>
  </r>
  <r>
    <d v="2008-01-14T00:00:00"/>
    <s v="Jessica  Giraldo Casta?O"/>
    <s v="RC"/>
    <s v="1023630955"/>
    <x v="2"/>
    <x v="0"/>
    <x v="0"/>
    <s v="Pediatria"/>
    <n v="85963"/>
    <n v="81664.850000000006"/>
  </r>
  <r>
    <d v="2008-05-27T00:00:00"/>
    <s v="Isabella  Diaz Vasquez"/>
    <s v="RC"/>
    <s v="1023631446"/>
    <x v="3"/>
    <x v="0"/>
    <x v="2"/>
    <s v="Medicina General"/>
    <n v="89131"/>
    <n v="84674.45"/>
  </r>
  <r>
    <d v="2006-12-29T00:00:00"/>
    <s v="Juliana  Grajales Tamayo"/>
    <s v="RC"/>
    <s v="1023631790"/>
    <x v="4"/>
    <x v="0"/>
    <x v="2"/>
    <s v="Medicina General"/>
    <n v="49144"/>
    <n v="46686.8"/>
  </r>
  <r>
    <d v="2006-09-26T00:00:00"/>
    <s v="Susana  Loaiza Hernandez"/>
    <s v="RC"/>
    <s v="1023631993"/>
    <x v="4"/>
    <x v="0"/>
    <x v="0"/>
    <s v="Pediatria"/>
    <n v="31640"/>
    <n v="30058"/>
  </r>
  <r>
    <d v="2007-03-13T00:00:00"/>
    <s v="David  Alvarez Trujillo"/>
    <s v="RC"/>
    <s v="1023632127"/>
    <x v="2"/>
    <x v="1"/>
    <x v="2"/>
    <s v="Cirugia General"/>
    <n v="48602"/>
    <n v="48602"/>
  </r>
  <r>
    <d v="2004-10-28T00:00:00"/>
    <s v="Blanca Ximena Gomez Restrepo"/>
    <s v="CC"/>
    <s v="1023632536"/>
    <x v="1"/>
    <x v="0"/>
    <x v="0"/>
    <s v="Pediatria"/>
    <n v="21159"/>
    <n v="20101.05"/>
  </r>
  <r>
    <d v="2004-02-13T00:00:00"/>
    <s v="Xiomara Paulina Zapata Henao"/>
    <s v="RC"/>
    <s v="1023634629"/>
    <x v="1"/>
    <x v="0"/>
    <x v="1"/>
    <s v="Dermatologia"/>
    <n v="33811"/>
    <n v="32120.45"/>
  </r>
  <r>
    <d v="2007-12-28T00:00:00"/>
    <s v="Tomas  Galvis Rendon"/>
    <s v="RC"/>
    <s v="1025645327"/>
    <x v="2"/>
    <x v="1"/>
    <x v="1"/>
    <s v="Pediatria"/>
    <n v="86359"/>
    <n v="86359"/>
  </r>
  <r>
    <d v="2006-09-08T00:00:00"/>
    <s v="Sara  Moreno Zapata"/>
    <s v="RC"/>
    <s v="1025651768"/>
    <x v="4"/>
    <x v="0"/>
    <x v="2"/>
    <s v="Medicina General"/>
    <n v="31650"/>
    <n v="30067.5"/>
  </r>
  <r>
    <d v="2006-11-13T00:00:00"/>
    <s v="Mayra Alejandra Ferreira Ruiz"/>
    <s v="RC"/>
    <s v="1025652562"/>
    <x v="4"/>
    <x v="0"/>
    <x v="2"/>
    <s v="Cirugia General"/>
    <n v="16870"/>
    <n v="16026.5"/>
  </r>
  <r>
    <d v="2006-05-05T00:00:00"/>
    <s v="Cristian David Corrales Pecerra"/>
    <s v="CC"/>
    <s v="1027741152"/>
    <x v="4"/>
    <x v="1"/>
    <x v="1"/>
    <s v="Pediatria"/>
    <n v="20471"/>
    <n v="20471"/>
  </r>
  <r>
    <d v="2005-10-25T00:00:00"/>
    <s v="Aidith Yandiria Maya Bonilla"/>
    <s v="RC"/>
    <s v="1027741152"/>
    <x v="5"/>
    <x v="0"/>
    <x v="0"/>
    <s v="Pediatria"/>
    <n v="49208"/>
    <n v="46747.6"/>
  </r>
  <r>
    <d v="2008-01-14T00:00:00"/>
    <s v="Jessica  Metaute Lopez"/>
    <s v="RC"/>
    <s v="1035222726"/>
    <x v="2"/>
    <x v="0"/>
    <x v="1"/>
    <s v="Pediatria"/>
    <n v="85567"/>
    <n v="81288.649999999994"/>
  </r>
  <r>
    <d v="2005-05-08T00:00:00"/>
    <s v="Jeronimo  Jaramillo Montoya"/>
    <s v="RC"/>
    <s v="1035975503"/>
    <x v="5"/>
    <x v="1"/>
    <x v="3"/>
    <s v="Cirugia Pediatrica"/>
    <n v="37188"/>
    <n v="37188"/>
  </r>
  <r>
    <d v="2005-05-11T00:00:00"/>
    <s v="Manuel  Perez Londo?O"/>
    <s v="RC"/>
    <s v="1128281539"/>
    <x v="5"/>
    <x v="1"/>
    <x v="3"/>
    <s v="Otorrinolaringologia"/>
    <n v="37028"/>
    <n v="37028"/>
  </r>
  <r>
    <d v="2008-05-20T00:00:00"/>
    <s v="Isabel  Areiza Salazar"/>
    <s v="RC"/>
    <s v="1128450476"/>
    <x v="3"/>
    <x v="0"/>
    <x v="0"/>
    <s v="Pediatria"/>
    <n v="54120"/>
    <n v="51414"/>
  </r>
  <r>
    <d v="2006-04-07T00:00:00"/>
    <s v="David  Sisquiarco Grisales"/>
    <s v="RC"/>
    <s v="1130704293"/>
    <x v="4"/>
    <x v="1"/>
    <x v="0"/>
    <s v="Pediatria"/>
    <n v="32959"/>
    <n v="32959"/>
  </r>
  <r>
    <d v="2005-04-06T00:00:00"/>
    <s v="Estefania  Grajales Morales"/>
    <s v="RC"/>
    <s v="12690261"/>
    <x v="5"/>
    <x v="0"/>
    <x v="0"/>
    <s v="Pediatria"/>
    <n v="41181"/>
    <n v="39121.949999999997"/>
  </r>
  <r>
    <d v="2006-01-08T00:00:00"/>
    <s v="Juan Camilo Carmona Restrepo"/>
    <s v="RC"/>
    <s v="153394"/>
    <x v="5"/>
    <x v="1"/>
    <x v="3"/>
    <s v="Cirugia Pediatrica"/>
    <n v="21843"/>
    <n v="21843"/>
  </r>
  <r>
    <d v="2005-09-22T00:00:00"/>
    <s v="Kevin Andres Hincapie Granda"/>
    <s v="RC"/>
    <s v="15610573"/>
    <x v="5"/>
    <x v="1"/>
    <x v="2"/>
    <s v="Medicina General"/>
    <n v="43353"/>
    <n v="43353"/>
  </r>
  <r>
    <d v="2006-12-18T00:00:00"/>
    <s v="Jose Miguel Montoya Velasquez"/>
    <s v="RC"/>
    <s v="21283786"/>
    <x v="4"/>
    <x v="1"/>
    <x v="1"/>
    <s v="Pediatria"/>
    <n v="38217"/>
    <n v="38217"/>
  </r>
  <r>
    <d v="2008-01-12T00:00:00"/>
    <s v="Sara  Quintero Osorio"/>
    <s v="RC"/>
    <s v="21298028"/>
    <x v="2"/>
    <x v="0"/>
    <x v="0"/>
    <s v="Pediatria"/>
    <n v="72895"/>
    <n v="69250.25"/>
  </r>
  <r>
    <d v="2004-05-03T00:00:00"/>
    <s v="Santiago  Botero Arias"/>
    <s v="RC"/>
    <s v="21303599"/>
    <x v="1"/>
    <x v="1"/>
    <x v="2"/>
    <s v="Medicina General"/>
    <n v="25959"/>
    <n v="25959"/>
  </r>
  <r>
    <d v="2006-08-27T00:00:00"/>
    <s v="Maria Salome Pulgarin Berrio"/>
    <s v="RC"/>
    <s v="21314918"/>
    <x v="4"/>
    <x v="0"/>
    <x v="2"/>
    <s v="Medicina General"/>
    <n v="59431"/>
    <n v="56459.45"/>
  </r>
  <r>
    <d v="2004-01-01T00:00:00"/>
    <s v="Maria Camila Gomez Oquendo"/>
    <s v="RC"/>
    <s v="21317025"/>
    <x v="0"/>
    <x v="0"/>
    <x v="2"/>
    <s v="Medicina General"/>
    <n v="50166"/>
    <n v="47657.7"/>
  </r>
  <r>
    <d v="2005-10-01T00:00:00"/>
    <s v="Karla Mireth Torres Rodriguez"/>
    <s v="RC"/>
    <s v="21335095"/>
    <x v="5"/>
    <x v="0"/>
    <x v="1"/>
    <s v="NEFROLOGIA PEDIATRICA"/>
    <n v="37665"/>
    <n v="35781.75"/>
  </r>
  <r>
    <d v="2006-09-08T00:00:00"/>
    <s v="Sara  Moreno Zapata"/>
    <s v="RC"/>
    <s v="21341133"/>
    <x v="4"/>
    <x v="0"/>
    <x v="2"/>
    <s v="Medicina General"/>
    <n v="36963"/>
    <n v="35114.85"/>
  </r>
  <r>
    <d v="2006-08-31T00:00:00"/>
    <s v="Stefany  Zabala Ok06 Callejas"/>
    <s v="RC"/>
    <s v="21351904"/>
    <x v="4"/>
    <x v="0"/>
    <x v="2"/>
    <s v="Cirugia General"/>
    <n v="51365"/>
    <n v="48796.75"/>
  </r>
  <r>
    <d v="2004-01-24T00:00:00"/>
    <s v="Valeria  Olaya Lora"/>
    <s v="RC"/>
    <s v="21362165"/>
    <x v="1"/>
    <x v="0"/>
    <x v="1"/>
    <s v="Neurologia"/>
    <n v="25863"/>
    <n v="24569.85"/>
  </r>
  <r>
    <d v="2004-09-13T00:00:00"/>
    <s v="Isabela  Pelaez Bedoya"/>
    <s v="CC"/>
    <s v="21379031"/>
    <x v="1"/>
    <x v="0"/>
    <x v="1"/>
    <s v="Otorrinolaringologia"/>
    <n v="21885"/>
    <n v="20790.75"/>
  </r>
  <r>
    <d v="2008-01-06T00:00:00"/>
    <s v="Yessica (Hijo - Hijo Quintero Ochoa"/>
    <s v="MS"/>
    <s v="21393866"/>
    <x v="2"/>
    <x v="0"/>
    <x v="2"/>
    <s v="Medicina General"/>
    <n v="73291"/>
    <n v="69626.45"/>
  </r>
  <r>
    <d v="2006-01-28T00:00:00"/>
    <s v="Xiomara  Monsalve Cardona"/>
    <s v="RC"/>
    <s v="21409124"/>
    <x v="4"/>
    <x v="0"/>
    <x v="2"/>
    <s v="Pediatria"/>
    <n v="50682"/>
    <n v="48147.9"/>
  </r>
  <r>
    <d v="2008-02-24T00:00:00"/>
    <s v="Miguel Angel Charris Lopez"/>
    <s v="RC"/>
    <s v="21409221"/>
    <x v="3"/>
    <x v="1"/>
    <x v="1"/>
    <s v="Pediatria"/>
    <n v="91507"/>
    <n v="91507"/>
  </r>
  <r>
    <d v="2005-11-25T00:00:00"/>
    <s v="Isabela  Zapata Amaya"/>
    <s v="RC"/>
    <s v="21413200"/>
    <x v="5"/>
    <x v="0"/>
    <x v="1"/>
    <s v="Neurologia"/>
    <n v="51961"/>
    <n v="49362.95"/>
  </r>
  <r>
    <d v="2009-01-02T00:00:00"/>
    <s v="Ana Etelvina Arias Alcaraz"/>
    <s v="CC"/>
    <s v="21439591"/>
    <x v="3"/>
    <x v="0"/>
    <x v="1"/>
    <s v="Cardiovascular"/>
    <n v="54120"/>
    <n v="51414"/>
  </r>
  <r>
    <d v="2007-03-27T00:00:00"/>
    <s v="Juan Manuel Marin Florez"/>
    <s v="RC"/>
    <s v="21446814"/>
    <x v="2"/>
    <x v="1"/>
    <x v="2"/>
    <s v="Cirugia General"/>
    <n v="80815"/>
    <n v="80815"/>
  </r>
  <r>
    <d v="2005-07-28T00:00:00"/>
    <s v="Maria Isabel Jimenez Uribe"/>
    <s v="RC"/>
    <s v="21467511"/>
    <x v="5"/>
    <x v="0"/>
    <x v="1"/>
    <s v="Ortopedia Y Traumatologia"/>
    <n v="56274"/>
    <n v="53460.3"/>
  </r>
  <r>
    <d v="2008-01-28T00:00:00"/>
    <s v="Alexandra Paola Sosa Marquez"/>
    <s v="RC"/>
    <s v="21535241"/>
    <x v="3"/>
    <x v="0"/>
    <x v="2"/>
    <s v="Pediatria"/>
    <n v="64183"/>
    <n v="60973.85"/>
  </r>
  <r>
    <d v="2008-02-10T00:00:00"/>
    <s v="Isabela  Duque Pineda"/>
    <s v="RC"/>
    <s v="21535726"/>
    <x v="3"/>
    <x v="0"/>
    <x v="2"/>
    <s v="Pediatria"/>
    <n v="88735"/>
    <n v="84298.25"/>
  </r>
  <r>
    <d v="2004-09-08T00:00:00"/>
    <s v="Luis Miguel Aguirre Gomez"/>
    <s v="RC"/>
    <s v="21538062"/>
    <x v="1"/>
    <x v="1"/>
    <x v="2"/>
    <s v="Medicina General"/>
    <n v="40822"/>
    <n v="40822"/>
  </r>
  <r>
    <d v="2004-10-19T00:00:00"/>
    <s v="Juan Jose Montoya Hernandez"/>
    <s v="RC"/>
    <s v="21598438"/>
    <x v="1"/>
    <x v="1"/>
    <x v="2"/>
    <s v="Medicina General"/>
    <n v="41191"/>
    <n v="41191"/>
  </r>
  <r>
    <d v="2007-06-13T00:00:00"/>
    <s v="Juan  Mejia Gomez"/>
    <s v="RC"/>
    <s v="21605515"/>
    <x v="2"/>
    <x v="1"/>
    <x v="3"/>
    <s v="Cirugia Pediatrica"/>
    <n v="78835"/>
    <n v="78835"/>
  </r>
  <r>
    <d v="2007-10-02T00:00:00"/>
    <s v="Anderson  Campo Campo"/>
    <s v="RC"/>
    <s v="21649294"/>
    <x v="2"/>
    <x v="1"/>
    <x v="2"/>
    <s v="Pediatria"/>
    <n v="94675"/>
    <n v="94675"/>
  </r>
  <r>
    <d v="2007-09-01T00:00:00"/>
    <s v="Mateo  Hurtado Tamanis"/>
    <s v="RC"/>
    <s v="21652970"/>
    <x v="2"/>
    <x v="1"/>
    <x v="2"/>
    <s v="Medicina General"/>
    <n v="83191"/>
    <n v="83191"/>
  </r>
  <r>
    <d v="2005-08-11T00:00:00"/>
    <s v="Natalia  Restrepo Valencia"/>
    <s v="RC"/>
    <s v="21724247"/>
    <x v="5"/>
    <x v="0"/>
    <x v="1"/>
    <s v="Pediatria"/>
    <n v="19008"/>
    <n v="18057.599999999999"/>
  </r>
  <r>
    <d v="2007-05-20T00:00:00"/>
    <s v="Diana Angel Bonilla Salcedo"/>
    <s v="RC"/>
    <s v="21733171"/>
    <x v="2"/>
    <x v="0"/>
    <x v="1"/>
    <s v="Ortopedia Y Traumatologia"/>
    <n v="95863"/>
    <n v="91069.85"/>
  </r>
  <r>
    <d v="2008-05-15T00:00:00"/>
    <s v="Juan  Castrillon Camacho"/>
    <s v="RC"/>
    <s v="21768278"/>
    <x v="3"/>
    <x v="1"/>
    <x v="1"/>
    <s v="Cirugia Pediatrica"/>
    <n v="93091"/>
    <n v="93091"/>
  </r>
  <r>
    <d v="2006-10-10T00:00:00"/>
    <s v="Veronica  Tamayo Yepez"/>
    <s v="RC"/>
    <s v="21773556"/>
    <x v="4"/>
    <x v="0"/>
    <x v="2"/>
    <s v="Medicina General"/>
    <n v="46345"/>
    <n v="44027.75"/>
  </r>
  <r>
    <d v="2007-07-03T00:00:00"/>
    <s v="Mariana  Florez Florez"/>
    <s v="RC"/>
    <s v="21804958"/>
    <x v="2"/>
    <x v="0"/>
    <x v="1"/>
    <s v="Neurologia"/>
    <n v="82399"/>
    <n v="78279.05"/>
  </r>
  <r>
    <d v="2004-07-29T00:00:00"/>
    <s v="Yhorindel  Mu?Oz Guarin"/>
    <s v="RC"/>
    <s v="21834829"/>
    <x v="1"/>
    <x v="1"/>
    <x v="2"/>
    <s v="Cirugia General"/>
    <n v="15243"/>
    <n v="15243"/>
  </r>
  <r>
    <d v="2008-02-24T00:00:00"/>
    <s v="Miguel Angel Pete Suarez"/>
    <s v="RC"/>
    <s v="21835798"/>
    <x v="3"/>
    <x v="1"/>
    <x v="3"/>
    <s v="Cirugia Pediatrica"/>
    <n v="91111"/>
    <n v="91111"/>
  </r>
  <r>
    <d v="2007-05-17T00:00:00"/>
    <s v="Nicolle  Betancur Nieto"/>
    <s v="RC"/>
    <s v="21995444"/>
    <x v="2"/>
    <x v="0"/>
    <x v="2"/>
    <s v="Medicina General"/>
    <n v="97051"/>
    <n v="92198.45"/>
  </r>
  <r>
    <d v="2005-01-31T00:00:00"/>
    <s v="Alexis  Casta?Eda Buritica"/>
    <s v="RC"/>
    <s v="22098708"/>
    <x v="5"/>
    <x v="1"/>
    <x v="3"/>
    <s v="Anestesiologia"/>
    <n v="28742"/>
    <n v="28742"/>
  </r>
  <r>
    <d v="2007-08-17T00:00:00"/>
    <s v="Andres  Villa Loaiza"/>
    <s v="RC"/>
    <s v="22101619"/>
    <x v="2"/>
    <x v="1"/>
    <x v="3"/>
    <s v="Pediatria"/>
    <n v="61411"/>
    <n v="61411"/>
  </r>
  <r>
    <d v="2004-11-17T00:00:00"/>
    <s v="Juan Pablo Valle Sepulveda"/>
    <s v="RC"/>
    <s v="24469356"/>
    <x v="1"/>
    <x v="1"/>
    <x v="3"/>
    <s v="Dermatologia"/>
    <n v="50325"/>
    <n v="50325"/>
  </r>
  <r>
    <d v="2007-03-03T00:00:00"/>
    <s v="Sebastian  Cifuentes Moncada"/>
    <s v="RC"/>
    <s v="24832607"/>
    <x v="2"/>
    <x v="1"/>
    <x v="2"/>
    <s v="Medicina General"/>
    <n v="90319"/>
    <n v="90319"/>
  </r>
  <r>
    <d v="2008-06-05T00:00:00"/>
    <s v="Juan Camilo Ni?O Chacon"/>
    <s v="RC"/>
    <s v="26923896"/>
    <x v="3"/>
    <x v="1"/>
    <x v="0"/>
    <s v="Pediatria"/>
    <n v="76855"/>
    <n v="76855"/>
  </r>
  <r>
    <d v="2008-03-07T00:00:00"/>
    <s v="Santiago  Suarez Sanchez"/>
    <s v="RC"/>
    <s v="27152884"/>
    <x v="3"/>
    <x v="1"/>
    <x v="0"/>
    <s v="Pediatria"/>
    <n v="63787"/>
    <n v="63787"/>
  </r>
  <r>
    <d v="2007-06-13T00:00:00"/>
    <s v="Juan  Mejia Bedoya"/>
    <s v="RC"/>
    <s v="27796730"/>
    <x v="2"/>
    <x v="1"/>
    <x v="1"/>
    <s v="Pediatria"/>
    <n v="79231"/>
    <n v="79231"/>
  </r>
  <r>
    <d v="2004-03-18T00:00:00"/>
    <s v="Laura Valentina Ocampo Salazaar"/>
    <s v="RC"/>
    <s v="28017390"/>
    <x v="1"/>
    <x v="0"/>
    <x v="2"/>
    <s v="Medicina General"/>
    <n v="40413"/>
    <n v="38392.35"/>
  </r>
  <r>
    <d v="2005-06-14T00:00:00"/>
    <s v="Miguel  Pati?O Lenis"/>
    <s v="RC"/>
    <s v="29276866"/>
    <x v="5"/>
    <x v="1"/>
    <x v="3"/>
    <s v="Cirugia Pediatrica"/>
    <n v="57782"/>
    <n v="57782"/>
  </r>
  <r>
    <d v="2006-06-21T00:00:00"/>
    <s v="Geraldi  Valle Aristizabal"/>
    <s v="RC"/>
    <s v="29531835"/>
    <x v="4"/>
    <x v="0"/>
    <x v="2"/>
    <s v="Medicina General"/>
    <n v="53700"/>
    <n v="51015"/>
  </r>
  <r>
    <d v="2006-10-08T00:00:00"/>
    <s v="Juan Manuel Ramirez "/>
    <s v="RC"/>
    <s v="30224633"/>
    <x v="4"/>
    <x v="1"/>
    <x v="1"/>
    <s v="Neurologia"/>
    <n v="32239"/>
    <n v="32239"/>
  </r>
  <r>
    <d v="2005-08-23T00:00:00"/>
    <s v="Mariana  Velez Guarin"/>
    <s v="RC"/>
    <s v="30239769"/>
    <x v="5"/>
    <x v="0"/>
    <x v="0"/>
    <s v="Pediatria"/>
    <n v="45881"/>
    <n v="43586.95"/>
  </r>
  <r>
    <d v="2007-08-09T00:00:00"/>
    <s v="Jeronimo  Chavarriaga Arango"/>
    <s v="RC"/>
    <s v="30357114"/>
    <x v="2"/>
    <x v="1"/>
    <x v="1"/>
    <s v="NEFROLOGIA PEDIATRICA"/>
    <n v="90715"/>
    <n v="90715"/>
  </r>
  <r>
    <d v="2006-10-22T00:00:00"/>
    <s v="Juan Camilo Saldarriaga Becerra"/>
    <s v="RC"/>
    <s v="30553307"/>
    <x v="4"/>
    <x v="1"/>
    <x v="0"/>
    <s v="Pediatria"/>
    <n v="55230"/>
    <n v="55230"/>
  </r>
  <r>
    <d v="2005-06-05T00:00:00"/>
    <s v="Leidy Vanessa Zapata Loaiza"/>
    <s v="RC"/>
    <s v="30654532"/>
    <x v="5"/>
    <x v="0"/>
    <x v="2"/>
    <s v="Medicina General"/>
    <n v="46959"/>
    <n v="44611.05"/>
  </r>
  <r>
    <d v="2007-08-04T00:00:00"/>
    <s v="Samuel  Ruidiaz Camargo"/>
    <s v="RC"/>
    <s v="31992484"/>
    <x v="2"/>
    <x v="1"/>
    <x v="0"/>
    <s v="Pediatria"/>
    <n v="68143"/>
    <n v="68143"/>
  </r>
  <r>
    <d v="2008-02-14T00:00:00"/>
    <s v="Manuel  Salazar Alcalde"/>
    <s v="RC"/>
    <s v="32018067"/>
    <x v="3"/>
    <x v="1"/>
    <x v="2"/>
    <s v="Medicina General"/>
    <n v="67351"/>
    <n v="67351"/>
  </r>
  <r>
    <d v="2007-03-09T00:00:00"/>
    <s v="Samara  Mu?Oz Hoyos"/>
    <s v="RC"/>
    <s v="32075654"/>
    <x v="2"/>
    <x v="0"/>
    <x v="2"/>
    <s v="Cirugia General"/>
    <n v="77647"/>
    <n v="73764.649999999994"/>
  </r>
  <r>
    <d v="2006-08-05T00:00:00"/>
    <s v="Maria Isabela Ruiz Henao"/>
    <s v="RC"/>
    <s v="32109063"/>
    <x v="4"/>
    <x v="0"/>
    <x v="0"/>
    <s v="Pediatria"/>
    <n v="18576"/>
    <n v="17647.2"/>
  </r>
  <r>
    <d v="2005-09-05T00:00:00"/>
    <s v="Samuel  Seguro Tobias"/>
    <s v="RC"/>
    <s v="32308024"/>
    <x v="5"/>
    <x v="1"/>
    <x v="1"/>
    <s v="Otorrinolaringologia"/>
    <n v="50359"/>
    <n v="50359"/>
  </r>
  <r>
    <d v="2008-05-15T00:00:00"/>
    <s v="Diego  Castrillon Velez"/>
    <s v="RC"/>
    <s v="32342918"/>
    <x v="3"/>
    <x v="1"/>
    <x v="3"/>
    <s v="Anestesiologia"/>
    <n v="92695"/>
    <n v="92695"/>
  </r>
  <r>
    <d v="2007-03-09T00:00:00"/>
    <s v="Samara  Mu?Oz Hoyos"/>
    <s v="RC"/>
    <s v="32345625"/>
    <x v="2"/>
    <x v="0"/>
    <x v="2"/>
    <s v="Cirugia General"/>
    <n v="77251"/>
    <n v="73388.45"/>
  </r>
  <r>
    <d v="2004-04-14T00:00:00"/>
    <s v="Sofia  Molina Passos"/>
    <s v="RC"/>
    <s v="32399710"/>
    <x v="1"/>
    <x v="0"/>
    <x v="1"/>
    <s v="Ortopedia Y Traumatologia"/>
    <n v="20193"/>
    <n v="19183.349999999999"/>
  </r>
  <r>
    <d v="2005-07-23T00:00:00"/>
    <s v="Esteban Xxxxxxx Parra Alvarez"/>
    <s v="RC"/>
    <s v="32400993"/>
    <x v="5"/>
    <x v="1"/>
    <x v="1"/>
    <s v="Dermatologia"/>
    <n v="41813"/>
    <n v="41813"/>
  </r>
  <r>
    <d v="2006-07-05T00:00:00"/>
    <s v="Maria Paula Pati?O Zapata"/>
    <s v="RC"/>
    <s v="32408770"/>
    <x v="4"/>
    <x v="0"/>
    <x v="1"/>
    <s v="Pediatria"/>
    <n v="17045"/>
    <n v="16192.75"/>
  </r>
  <r>
    <d v="2005-10-01T00:00:00"/>
    <s v="Karla Mireth Torres Rodriguez"/>
    <s v="RC"/>
    <s v="32413487"/>
    <x v="5"/>
    <x v="0"/>
    <x v="3"/>
    <s v="Nefrologia"/>
    <n v="32226"/>
    <n v="30614.7"/>
  </r>
  <r>
    <d v="2004-06-14T00:00:00"/>
    <s v="Sebastian  Casta?O Ramirez"/>
    <s v="RC"/>
    <s v="32444884"/>
    <x v="1"/>
    <x v="1"/>
    <x v="3"/>
    <s v="Cirugia Plastica Maxilofacial"/>
    <n v="16441"/>
    <n v="16441"/>
  </r>
  <r>
    <d v="2004-08-05T00:00:00"/>
    <s v="Jacob  Montoya Quiroz"/>
    <s v="CC"/>
    <s v="32455615"/>
    <x v="1"/>
    <x v="0"/>
    <x v="3"/>
    <s v="Otorrinolaringologia"/>
    <n v="50461"/>
    <n v="47937.95"/>
  </r>
  <r>
    <d v="2005-11-21T00:00:00"/>
    <s v="Yeison  Montoya Montoya"/>
    <s v="RC"/>
    <s v="32457173"/>
    <x v="5"/>
    <x v="1"/>
    <x v="1"/>
    <s v="Pediatria"/>
    <n v="35795"/>
    <n v="35795"/>
  </r>
  <r>
    <d v="2007-09-18T00:00:00"/>
    <s v="Danna Nikole Rios Mu?Oz"/>
    <s v="RC"/>
    <s v="32461460"/>
    <x v="2"/>
    <x v="0"/>
    <x v="2"/>
    <s v="Medicina General"/>
    <n v="70915"/>
    <n v="67369.25"/>
  </r>
  <r>
    <d v="2007-08-21T00:00:00"/>
    <s v="Sara Ines Viana Usuga"/>
    <s v="RC"/>
    <s v="32486543"/>
    <x v="2"/>
    <x v="0"/>
    <x v="1"/>
    <s v="Pediatria"/>
    <n v="62203"/>
    <n v="59092.85"/>
  </r>
  <r>
    <d v="2007-01-30T00:00:00"/>
    <s v="Samuel  Espinal Rodriguez"/>
    <s v="RC"/>
    <s v="32488384"/>
    <x v="2"/>
    <x v="1"/>
    <x v="3"/>
    <s v="Ortopedia Y Traumatologia"/>
    <n v="87547"/>
    <n v="87547"/>
  </r>
  <r>
    <d v="2005-07-28T00:00:00"/>
    <s v="Maria Isabel Restrepo Uribe"/>
    <s v="RC"/>
    <s v="32520569"/>
    <x v="5"/>
    <x v="0"/>
    <x v="1"/>
    <s v="Ortopedia Y Traumatologia"/>
    <n v="35317"/>
    <n v="33551.15"/>
  </r>
  <r>
    <d v="2007-09-18T00:00:00"/>
    <s v="Danna Nikole Rios Mu?Oz"/>
    <s v="RC"/>
    <s v="33038259"/>
    <x v="2"/>
    <x v="0"/>
    <x v="2"/>
    <s v="Medicina General"/>
    <n v="70519"/>
    <n v="66993.05"/>
  </r>
  <r>
    <d v="2005-07-20T00:00:00"/>
    <s v="Juan  Restrepo Mesa"/>
    <s v="RC"/>
    <s v="3304902"/>
    <x v="5"/>
    <x v="1"/>
    <x v="1"/>
    <s v="Oftalmologia"/>
    <n v="23262"/>
    <n v="23262"/>
  </r>
  <r>
    <d v="2005-07-25T00:00:00"/>
    <s v="Diego Alejandro Hernandez Urueta"/>
    <s v="RC"/>
    <s v="33060729"/>
    <x v="5"/>
    <x v="1"/>
    <x v="2"/>
    <s v="Medicina General"/>
    <n v="59827"/>
    <n v="59827"/>
  </r>
  <r>
    <d v="2005-01-31T00:00:00"/>
    <s v="Alexis  Casta?Eda Buritica"/>
    <s v="RC"/>
    <s v="3306558"/>
    <x v="5"/>
    <x v="1"/>
    <x v="3"/>
    <s v="Oftalmologia"/>
    <n v="35449"/>
    <n v="35449"/>
  </r>
  <r>
    <d v="2008-02-17T00:00:00"/>
    <s v="Nicolas  Saldarriaga Merchan"/>
    <s v="RC"/>
    <s v="33088914"/>
    <x v="3"/>
    <x v="1"/>
    <x v="1"/>
    <s v="Medicina General"/>
    <n v="66955"/>
    <n v="66955"/>
  </r>
  <r>
    <d v="2006-10-08T00:00:00"/>
    <s v="Manuel Esteban Jimenez De Hoyos"/>
    <s v="RC"/>
    <s v="33132883"/>
    <x v="4"/>
    <x v="1"/>
    <x v="2"/>
    <s v="Medicina General"/>
    <n v="21583"/>
    <n v="21583"/>
  </r>
  <r>
    <d v="2004-12-01T00:00:00"/>
    <s v="Jose David Borja Bedoya"/>
    <s v="RC"/>
    <s v="33287713"/>
    <x v="1"/>
    <x v="1"/>
    <x v="2"/>
    <s v="Cirugia General"/>
    <n v="27670"/>
    <n v="27670"/>
  </r>
  <r>
    <d v="2005-07-15T00:00:00"/>
    <s v="Wilmer Yosman Bohorquez Garcia"/>
    <s v="TI"/>
    <s v="3331174"/>
    <x v="5"/>
    <x v="1"/>
    <x v="3"/>
    <s v="Dermatologia"/>
    <n v="19929"/>
    <n v="19929"/>
  </r>
  <r>
    <d v="2005-11-09T00:00:00"/>
    <s v="Samuel  Granda Arango"/>
    <s v="RC"/>
    <s v="3331552"/>
    <x v="5"/>
    <x v="1"/>
    <x v="1"/>
    <s v="Urologia"/>
    <n v="19724"/>
    <n v="19724"/>
  </r>
  <r>
    <d v="2006-08-15T00:00:00"/>
    <s v="Maria Catalina Arango Ramirez"/>
    <s v="RC"/>
    <s v="3341032"/>
    <x v="4"/>
    <x v="0"/>
    <x v="2"/>
    <s v="Medicina General"/>
    <n v="54120"/>
    <n v="51414"/>
  </r>
  <r>
    <d v="2004-12-11T00:00:00"/>
    <s v="Tomas  Henao Metaute"/>
    <s v="RC"/>
    <s v="3345797"/>
    <x v="1"/>
    <x v="1"/>
    <x v="1"/>
    <s v="Pediatria"/>
    <n v="45431"/>
    <n v="45431"/>
  </r>
  <r>
    <d v="2005-08-08T00:00:00"/>
    <s v="Angel Miguel Alvarez Correa"/>
    <s v="RC"/>
    <s v="3358914"/>
    <x v="5"/>
    <x v="1"/>
    <x v="2"/>
    <s v="Medicina General"/>
    <n v="16477"/>
    <n v="16477"/>
  </r>
  <r>
    <d v="2007-06-29T00:00:00"/>
    <s v="Jorge Eduardo Cardona Mu?Oz"/>
    <s v="RC"/>
    <s v="3372470"/>
    <x v="2"/>
    <x v="1"/>
    <x v="2"/>
    <s v="Medicina General"/>
    <n v="93883"/>
    <n v="93883"/>
  </r>
  <r>
    <d v="2007-08-23T00:00:00"/>
    <s v="Sebastian  Ospina Ortiz"/>
    <s v="RC"/>
    <s v="33987437"/>
    <x v="2"/>
    <x v="1"/>
    <x v="2"/>
    <s v="Medicina General"/>
    <n v="75667"/>
    <n v="75667"/>
  </r>
  <r>
    <d v="2007-10-09T00:00:00"/>
    <s v="Daniel  Erazo Betancur"/>
    <s v="RC"/>
    <s v="3471812"/>
    <x v="2"/>
    <x v="1"/>
    <x v="1"/>
    <s v="Neurocirugia"/>
    <n v="87943"/>
    <n v="87943"/>
  </r>
  <r>
    <d v="2004-10-24T00:00:00"/>
    <s v="Juan Jose Mena Morales"/>
    <s v="RC"/>
    <s v="34969847"/>
    <x v="1"/>
    <x v="1"/>
    <x v="1"/>
    <s v="Pediatria"/>
    <n v="37667"/>
    <n v="37667"/>
  </r>
  <r>
    <d v="2008-05-27T00:00:00"/>
    <s v="Isabella  Vasquez "/>
    <s v="RC"/>
    <s v="34969890"/>
    <x v="3"/>
    <x v="0"/>
    <x v="1"/>
    <s v="Pediatria"/>
    <n v="89527"/>
    <n v="85050.65"/>
  </r>
  <r>
    <d v="2006-03-01T00:00:00"/>
    <s v="Valeria  Flores Alzate"/>
    <s v="RC"/>
    <s v="35154665"/>
    <x v="4"/>
    <x v="0"/>
    <x v="1"/>
    <s v="Pediatria"/>
    <n v="50973"/>
    <n v="48424.35"/>
  </r>
  <r>
    <d v="2007-06-28T00:00:00"/>
    <s v="Santiago  Ramirez Aristizabal"/>
    <s v="RC"/>
    <s v="35204465"/>
    <x v="2"/>
    <x v="1"/>
    <x v="1"/>
    <s v="Pediatria"/>
    <n v="72103"/>
    <n v="72103"/>
  </r>
  <r>
    <d v="2008-01-04T00:00:00"/>
    <s v="Laura Sofia Torres Orlas"/>
    <s v="RC"/>
    <s v="35292341"/>
    <x v="2"/>
    <x v="0"/>
    <x v="0"/>
    <s v="Pediatria"/>
    <n v="63391"/>
    <n v="60221.45"/>
  </r>
  <r>
    <d v="2004-06-08T00:00:00"/>
    <s v="Mariana  Alzate Lopez"/>
    <s v="RC"/>
    <s v="35352268"/>
    <x v="1"/>
    <x v="0"/>
    <x v="2"/>
    <s v="Medicina General"/>
    <n v="48602"/>
    <n v="46171.9"/>
  </r>
  <r>
    <d v="2006-04-30T00:00:00"/>
    <s v="Luis Mateo Mazo Flores"/>
    <s v="RC"/>
    <s v="35379111"/>
    <x v="4"/>
    <x v="1"/>
    <x v="2"/>
    <s v="Medicina General"/>
    <n v="46316"/>
    <n v="46316"/>
  </r>
  <r>
    <d v="2005-06-19T00:00:00"/>
    <s v="Vanessa  Benjumea Cortes"/>
    <s v="RC"/>
    <s v="35420173"/>
    <x v="5"/>
    <x v="0"/>
    <x v="2"/>
    <s v="Medicina General"/>
    <n v="23727"/>
    <n v="22540.65"/>
  </r>
  <r>
    <d v="2006-09-26T00:00:00"/>
    <s v="Deiby  Atehortua Meneses"/>
    <s v="RC"/>
    <s v="35420546"/>
    <x v="4"/>
    <x v="1"/>
    <x v="2"/>
    <s v="Medicina General"/>
    <n v="23191"/>
    <n v="23191"/>
  </r>
  <r>
    <d v="2006-02-26T00:00:00"/>
    <s v="Luisa Fernanda Hoyos Parra"/>
    <s v="RC"/>
    <s v="3620687"/>
    <x v="4"/>
    <x v="0"/>
    <x v="1"/>
    <s v="Medicina General"/>
    <n v="45557"/>
    <n v="43279.15"/>
  </r>
  <r>
    <d v="2007-12-23T00:00:00"/>
    <s v="Cristian David Betancur Ortega"/>
    <s v="RC"/>
    <s v="3658718"/>
    <x v="2"/>
    <x v="1"/>
    <x v="2"/>
    <s v="Medicina General"/>
    <n v="96655"/>
    <n v="96655"/>
  </r>
  <r>
    <d v="2006-02-05T00:00:00"/>
    <s v="Valeria  Bilbao Cordoba"/>
    <s v="TI"/>
    <s v="36931969"/>
    <x v="4"/>
    <x v="0"/>
    <x v="2"/>
    <s v="Medicina General"/>
    <n v="17167"/>
    <n v="16308.65"/>
  </r>
  <r>
    <d v="2005-08-11T00:00:00"/>
    <s v="Natalia  Hernandez Restrepo"/>
    <s v="RC"/>
    <s v="36940045"/>
    <x v="5"/>
    <x v="0"/>
    <x v="1"/>
    <s v="Pediatria"/>
    <n v="34994"/>
    <n v="33244.300000000003"/>
  </r>
  <r>
    <d v="2007-01-30T00:00:00"/>
    <s v="Samuel  Rodriguez Rodriguez"/>
    <s v="RC"/>
    <s v="37192805"/>
    <x v="2"/>
    <x v="1"/>
    <x v="2"/>
    <s v="Medicina General"/>
    <n v="70123"/>
    <n v="70123"/>
  </r>
  <r>
    <d v="2004-07-07T00:00:00"/>
    <s v="Darwin  Lopez Delgado"/>
    <s v="RC"/>
    <s v="37281727"/>
    <x v="1"/>
    <x v="1"/>
    <x v="2"/>
    <s v="Medicina General"/>
    <n v="24814"/>
    <n v="24814"/>
  </r>
  <r>
    <d v="2004-07-03T00:00:00"/>
    <s v="Kevin Jhoan Jimenez Gonzalez"/>
    <s v="RC"/>
    <s v="37375500"/>
    <x v="1"/>
    <x v="1"/>
    <x v="0"/>
    <s v="Pediatria"/>
    <n v="19558"/>
    <n v="19558"/>
  </r>
  <r>
    <d v="2007-04-23T00:00:00"/>
    <s v="Josue  Cata?O Arroyave"/>
    <s v="RC"/>
    <s v="37526646"/>
    <x v="2"/>
    <x v="1"/>
    <x v="0"/>
    <s v="Pediatria"/>
    <n v="92299"/>
    <n v="92299"/>
  </r>
  <r>
    <d v="2005-06-27T00:00:00"/>
    <s v="Daniel Aaron Valencia Cardenas"/>
    <s v="RC"/>
    <s v="37576130"/>
    <x v="5"/>
    <x v="1"/>
    <x v="3"/>
    <s v="Cirugia Pediatrica"/>
    <n v="50846"/>
    <n v="50846"/>
  </r>
  <r>
    <d v="2006-12-18T00:00:00"/>
    <s v="Ana Sofia Berrio Correa"/>
    <s v="RC"/>
    <s v="39204619"/>
    <x v="4"/>
    <x v="0"/>
    <x v="1"/>
    <s v="Pediatria"/>
    <n v="43554"/>
    <n v="41376.300000000003"/>
  </r>
  <r>
    <d v="2005-04-21T00:00:00"/>
    <s v="Daniel Alejandro Gomez Goez"/>
    <s v="RC"/>
    <s v="39204619"/>
    <x v="5"/>
    <x v="1"/>
    <x v="1"/>
    <s v="Pediatria"/>
    <n v="25396"/>
    <n v="25396"/>
  </r>
  <r>
    <d v="2005-09-05T00:00:00"/>
    <s v="Samuel  Seguro Tobias"/>
    <s v="RC"/>
    <s v="39204640"/>
    <x v="5"/>
    <x v="1"/>
    <x v="1"/>
    <s v="Pediatria"/>
    <n v="33797"/>
    <n v="33797"/>
  </r>
  <r>
    <d v="2006-08-03T00:00:00"/>
    <s v="Jeronimo  Moreno Garcia"/>
    <s v="RC"/>
    <s v="39350663"/>
    <x v="4"/>
    <x v="1"/>
    <x v="1"/>
    <s v="Neurologia"/>
    <n v="19415"/>
    <n v="19415"/>
  </r>
  <r>
    <d v="2008-05-10T00:00:00"/>
    <s v="Sofia  Perez Arias"/>
    <s v="RC"/>
    <s v="39381077"/>
    <x v="3"/>
    <x v="0"/>
    <x v="1"/>
    <s v="Pediatria"/>
    <n v="74479"/>
    <n v="70755.05"/>
  </r>
  <r>
    <d v="2005-06-06T00:00:00"/>
    <s v="Wendy Yadaly Arango Lopez"/>
    <s v="RC"/>
    <s v="39412464"/>
    <x v="5"/>
    <x v="0"/>
    <x v="1"/>
    <s v="Otorrinolaringologia"/>
    <n v="52144"/>
    <n v="49536.800000000003"/>
  </r>
  <r>
    <d v="2005-08-13T00:00:00"/>
    <s v="Jose Alejandro Ramirez Jaramillo"/>
    <s v="RC"/>
    <s v="40093434"/>
    <x v="5"/>
    <x v="1"/>
    <x v="1"/>
    <s v="Pediatria"/>
    <n v="53957"/>
    <n v="53957"/>
  </r>
  <r>
    <d v="2004-12-11T00:00:00"/>
    <s v="Tomas  Metaute Metaute"/>
    <s v="RC"/>
    <s v="40093932"/>
    <x v="1"/>
    <x v="1"/>
    <x v="0"/>
    <s v="Pediatria"/>
    <n v="51511"/>
    <n v="51511"/>
  </r>
  <r>
    <d v="2004-03-08T00:00:00"/>
    <s v="Juliana  Posada Ayala"/>
    <s v="RC"/>
    <s v="40281021"/>
    <x v="1"/>
    <x v="0"/>
    <x v="1"/>
    <s v="Pediatria"/>
    <n v="41555"/>
    <n v="39477.25"/>
  </r>
  <r>
    <d v="2007-05-20T00:00:00"/>
    <s v="Diana Angel Bonilla Salcedo"/>
    <s v="RC"/>
    <s v="40282224"/>
    <x v="2"/>
    <x v="0"/>
    <x v="0"/>
    <s v="Pediatria"/>
    <n v="95467"/>
    <n v="90693.65"/>
  </r>
  <r>
    <d v="2007-09-03T00:00:00"/>
    <s v="Vanesa  Rojas Arango"/>
    <s v="RC"/>
    <s v="40455579"/>
    <x v="2"/>
    <x v="0"/>
    <x v="1"/>
    <s v="Neurologia"/>
    <n v="69331"/>
    <n v="65864.45"/>
  </r>
  <r>
    <d v="2004-03-23T00:00:00"/>
    <s v="Jose Sebastian Mu?Oz Herrera"/>
    <s v="RC"/>
    <s v="42871658"/>
    <x v="1"/>
    <x v="1"/>
    <x v="3"/>
    <s v="Otorrinolaringologia"/>
    <n v="21952"/>
    <n v="21952"/>
  </r>
  <r>
    <d v="2007-10-23T00:00:00"/>
    <s v="Mariana  Metaute Gaviria"/>
    <s v="RC"/>
    <s v="42987180"/>
    <x v="2"/>
    <x v="0"/>
    <x v="1"/>
    <s v="Ortopedia Y Traumatologia"/>
    <n v="83983"/>
    <n v="79783.850000000006"/>
  </r>
  <r>
    <d v="2008-04-24T00:00:00"/>
    <s v="Andres  Lopez Jaramillo"/>
    <s v="RC"/>
    <s v="43003354"/>
    <x v="3"/>
    <x v="1"/>
    <x v="1"/>
    <s v="Cirugia Pediatrica"/>
    <n v="82003"/>
    <n v="82003"/>
  </r>
  <r>
    <d v="2007-12-08T00:00:00"/>
    <s v="Samanta  Echeverri Alzate"/>
    <s v="RC"/>
    <s v="43005915"/>
    <x v="2"/>
    <x v="0"/>
    <x v="0"/>
    <s v="Pediatria"/>
    <n v="88339"/>
    <n v="83922.05"/>
  </r>
  <r>
    <d v="2008-05-19T00:00:00"/>
    <s v="Juan Jose Berrio Vahos"/>
    <s v="RC"/>
    <s v="43029617"/>
    <x v="3"/>
    <x v="1"/>
    <x v="2"/>
    <s v="Medicina General"/>
    <n v="97447"/>
    <n v="97447"/>
  </r>
  <r>
    <d v="2006-08-22T00:00:00"/>
    <s v="Andres  Upegui Ruiz"/>
    <s v="RC"/>
    <s v="43045194"/>
    <x v="4"/>
    <x v="1"/>
    <x v="3"/>
    <s v="Cirugia Pediatrica"/>
    <n v="20693"/>
    <n v="20693"/>
  </r>
  <r>
    <d v="2007-12-11T00:00:00"/>
    <s v="Samuel  Baena Velez"/>
    <s v="RC"/>
    <s v="43056162"/>
    <x v="2"/>
    <x v="1"/>
    <x v="0"/>
    <s v="Pediatria"/>
    <n v="98635"/>
    <n v="98635"/>
  </r>
  <r>
    <d v="2006-05-19T00:00:00"/>
    <s v="Daniel Giovanny Montoya Hernandez"/>
    <s v="RC"/>
    <s v="43086138"/>
    <x v="4"/>
    <x v="1"/>
    <x v="2"/>
    <s v="Medicina General"/>
    <n v="26974"/>
    <n v="26974"/>
  </r>
  <r>
    <d v="2007-12-23T00:00:00"/>
    <s v="Cristian David Betancur Ortega"/>
    <s v="RC"/>
    <s v="43098242"/>
    <x v="2"/>
    <x v="1"/>
    <x v="2"/>
    <s v="Cirugia General"/>
    <n v="96259"/>
    <n v="96259"/>
  </r>
  <r>
    <d v="2007-06-09T00:00:00"/>
    <s v="Valeria  Asprilla Moreno"/>
    <s v="RC"/>
    <s v="43200018"/>
    <x v="2"/>
    <x v="0"/>
    <x v="0"/>
    <s v="Pediatria"/>
    <n v="55008"/>
    <n v="52257.599999999999"/>
  </r>
  <r>
    <d v="2006-07-05T00:00:00"/>
    <s v="Maria Paula Pati?O Zapata"/>
    <s v="RC"/>
    <s v="43200018"/>
    <x v="4"/>
    <x v="0"/>
    <x v="0"/>
    <s v="Medicina General"/>
    <n v="55008"/>
    <n v="52257.599999999999"/>
  </r>
  <r>
    <d v="2008-02-17T00:00:00"/>
    <s v="Santiago  Saldarriaga Merchan"/>
    <s v="RC"/>
    <s v="43263564"/>
    <x v="3"/>
    <x v="1"/>
    <x v="2"/>
    <s v="Medicina General"/>
    <n v="64975"/>
    <n v="64975"/>
  </r>
  <r>
    <d v="2005-09-22T00:00:00"/>
    <s v="Kevin Andres Hincapie Granda"/>
    <s v="RC"/>
    <s v="43524513"/>
    <x v="5"/>
    <x v="1"/>
    <x v="2"/>
    <s v="Medicina General"/>
    <n v="29088"/>
    <n v="29088"/>
  </r>
  <r>
    <d v="2008-01-18T00:00:00"/>
    <s v="Valery  Valencia Quintero"/>
    <s v="RC"/>
    <s v="43525285"/>
    <x v="3"/>
    <x v="0"/>
    <x v="0"/>
    <s v="Pediatria"/>
    <n v="62599"/>
    <n v="59469.05"/>
  </r>
  <r>
    <d v="2008-07-18T00:00:00"/>
    <s v="Hijo De Yineth Damiana Mena Garcia"/>
    <s v="MS"/>
    <s v="43553223"/>
    <x v="3"/>
    <x v="1"/>
    <x v="0"/>
    <s v="Pediatria"/>
    <n v="78439"/>
    <n v="78439"/>
  </r>
  <r>
    <d v="2007-12-23T00:00:00"/>
    <s v="Marina  Palacios Asprilla"/>
    <s v="RC"/>
    <s v="43567683"/>
    <x v="2"/>
    <x v="0"/>
    <x v="2"/>
    <s v="Medicina General"/>
    <n v="74875"/>
    <n v="71131.25"/>
  </r>
  <r>
    <d v="2006-11-15T00:00:00"/>
    <s v="Isabela  Cuadrado Valdes"/>
    <s v="RC"/>
    <s v="43570595"/>
    <x v="4"/>
    <x v="0"/>
    <x v="0"/>
    <s v="Pediatria"/>
    <n v="58087"/>
    <n v="55182.65"/>
  </r>
  <r>
    <d v="2004-12-02T00:00:00"/>
    <s v="Maira Alejandra Londo?O Serrano"/>
    <s v="RC"/>
    <s v="43575491"/>
    <x v="1"/>
    <x v="0"/>
    <x v="0"/>
    <s v="Cirugia General"/>
    <n v="50821"/>
    <n v="48279.95"/>
  </r>
  <r>
    <d v="2004-06-02T00:00:00"/>
    <s v="Juan David Lopez Cubides"/>
    <s v="RC"/>
    <s v="43591418"/>
    <x v="1"/>
    <x v="1"/>
    <x v="0"/>
    <s v="Pediatria"/>
    <n v="47890"/>
    <n v="47890"/>
  </r>
  <r>
    <d v="2005-07-05T00:00:00"/>
    <s v="Juan Felipe Ramos Ortiz"/>
    <s v="RC"/>
    <s v="43748759"/>
    <x v="5"/>
    <x v="1"/>
    <x v="0"/>
    <s v="Pediatria"/>
    <n v="37348"/>
    <n v="37348"/>
  </r>
  <r>
    <d v="2006-12-22T00:00:00"/>
    <s v="Sofia  Moreno Gallego"/>
    <s v="RC"/>
    <s v="43794374"/>
    <x v="4"/>
    <x v="0"/>
    <x v="0"/>
    <s v="Pediatria"/>
    <n v="32274"/>
    <n v="30660.3"/>
  </r>
  <r>
    <d v="2005-12-18T00:00:00"/>
    <s v="Maria Jose Gaviria Mazo"/>
    <s v="RC"/>
    <s v="43811601"/>
    <x v="5"/>
    <x v="0"/>
    <x v="0"/>
    <s v="Pediatria"/>
    <n v="34517"/>
    <n v="32791.15"/>
  </r>
  <r>
    <d v="2007-04-04T00:00:00"/>
    <s v="Valentina  Giraldo Lopez"/>
    <s v="RC"/>
    <s v="43811601"/>
    <x v="2"/>
    <x v="0"/>
    <x v="0"/>
    <s v="Pediatria"/>
    <n v="84775"/>
    <n v="80536.25"/>
  </r>
  <r>
    <d v="2007-12-28T00:00:00"/>
    <s v="Tomas  Galvis Oquendo"/>
    <s v="RC"/>
    <s v="43837362"/>
    <x v="2"/>
    <x v="1"/>
    <x v="0"/>
    <s v="Pediatria"/>
    <n v="87151"/>
    <n v="87151"/>
  </r>
  <r>
    <d v="2008-01-01T00:00:00"/>
    <s v="Jhoan  Ortiz Figueroa"/>
    <s v="RC"/>
    <s v="4462053"/>
    <x v="2"/>
    <x v="1"/>
    <x v="1"/>
    <s v="Neurologia"/>
    <n v="76459"/>
    <n v="76459"/>
  </r>
  <r>
    <d v="2005-12-07T00:00:00"/>
    <s v="Juan  Alzate Quintero"/>
    <s v="RC"/>
    <s v="4592937"/>
    <x v="5"/>
    <x v="1"/>
    <x v="2"/>
    <s v="Medicina General"/>
    <n v="48602"/>
    <n v="48602"/>
  </r>
  <r>
    <d v="2003-12-20T00:00:00"/>
    <s v="Susana  Gil Yarce"/>
    <s v="RC"/>
    <s v="4792999"/>
    <x v="0"/>
    <x v="0"/>
    <x v="1"/>
    <s v="Otorrinolaringologia"/>
    <n v="37376"/>
    <n v="35507.199999999997"/>
  </r>
  <r>
    <d v="2004-06-14T00:00:00"/>
    <s v="Sebastian  Casta?O Ramirez"/>
    <s v="RC"/>
    <s v="503863"/>
    <x v="1"/>
    <x v="1"/>
    <x v="3"/>
    <s v="Otorrinolaringologia"/>
    <n v="47139"/>
    <n v="47139"/>
  </r>
  <r>
    <d v="2004-07-09T00:00:00"/>
    <s v="Carol Valeria Estrada Alvarez"/>
    <s v="RC"/>
    <s v="537681"/>
    <x v="1"/>
    <x v="0"/>
    <x v="2"/>
    <s v="Medicina General"/>
    <n v="17716"/>
    <n v="16830.2"/>
  </r>
  <r>
    <d v="2006-12-24T00:00:00"/>
    <s v="Emmanuel  Mu?Oz Escobar"/>
    <s v="RC"/>
    <s v="552744"/>
    <x v="4"/>
    <x v="1"/>
    <x v="2"/>
    <s v="Cirugia General"/>
    <n v="45527"/>
    <n v="45527"/>
  </r>
  <r>
    <d v="2005-01-31T00:00:00"/>
    <s v="Alejandro  David Gutierrez"/>
    <s v="RC"/>
    <s v="553366"/>
    <x v="5"/>
    <x v="1"/>
    <x v="2"/>
    <s v="Medicina General"/>
    <n v="44392"/>
    <n v="44392"/>
  </r>
  <r>
    <d v="2006-09-26T00:00:00"/>
    <s v="Deiby  Atehortua Meneses"/>
    <s v="RC"/>
    <s v="661597"/>
    <x v="4"/>
    <x v="1"/>
    <x v="2"/>
    <s v="Medicina General"/>
    <n v="32511"/>
    <n v="32511"/>
  </r>
  <r>
    <d v="2007-08-17T00:00:00"/>
    <s v="Andres  Villa Loaiza"/>
    <s v="RC"/>
    <s v="6876618"/>
    <x v="2"/>
    <x v="1"/>
    <x v="3"/>
    <s v="Ortopedia Y Traumatologia"/>
    <n v="61807"/>
    <n v="61807"/>
  </r>
  <r>
    <d v="2004-10-28T00:00:00"/>
    <s v="Blanca Ximena Metaute Restrepo"/>
    <s v="CC"/>
    <s v="691686"/>
    <x v="1"/>
    <x v="0"/>
    <x v="3"/>
    <s v="Anestesiologia"/>
    <n v="39092"/>
    <n v="37137.4"/>
  </r>
  <r>
    <d v="2008-06-27T00:00:00"/>
    <s v="Hija De Ronny Yadira Renteria Sanabria"/>
    <s v="MS"/>
    <s v="70050882"/>
    <x v="3"/>
    <x v="0"/>
    <x v="0"/>
    <s v="Pediatria"/>
    <n v="71707"/>
    <n v="68121.649999999994"/>
  </r>
  <r>
    <d v="2008-12-30T00:00:00"/>
    <s v="Alicia  Zuluaga De Marin"/>
    <s v="CC"/>
    <s v="70056256"/>
    <x v="3"/>
    <x v="0"/>
    <x v="2"/>
    <s v="Cirugia General"/>
    <n v="60223"/>
    <n v="57211.85"/>
  </r>
  <r>
    <d v="2008-05-01T00:00:00"/>
    <s v="Ismael  Loaiza Marin"/>
    <s v="RC"/>
    <s v="70080078"/>
    <x v="3"/>
    <x v="1"/>
    <x v="3"/>
    <s v="Cirugia Pediatrica"/>
    <n v="80419"/>
    <n v="80419"/>
  </r>
  <r>
    <d v="2008-01-23T00:00:00"/>
    <s v="Isabela  Cardona Gil"/>
    <s v="RC"/>
    <s v="70097147"/>
    <x v="3"/>
    <x v="0"/>
    <x v="2"/>
    <s v="Medicina General"/>
    <n v="94279"/>
    <n v="89565.05"/>
  </r>
  <r>
    <d v="2004-06-14T00:00:00"/>
    <s v="Sebastian  Casta?O Ramirez"/>
    <s v="RC"/>
    <s v="701535"/>
    <x v="1"/>
    <x v="1"/>
    <x v="3"/>
    <s v="Cirugia Plastica Maxilofacial"/>
    <n v="20509"/>
    <n v="20509"/>
  </r>
  <r>
    <d v="2007-05-04T00:00:00"/>
    <s v="Humberto  Morales Jaramillo"/>
    <s v="RC"/>
    <s v="70564571"/>
    <x v="2"/>
    <x v="1"/>
    <x v="1"/>
    <s v="Ortopedia Y Traumatologia"/>
    <n v="78043"/>
    <n v="78043"/>
  </r>
  <r>
    <d v="2007-10-22T00:00:00"/>
    <s v="Sara  Gomez Cadavid"/>
    <s v="RC"/>
    <s v="70877125"/>
    <x v="2"/>
    <x v="0"/>
    <x v="2"/>
    <s v="Medicina General"/>
    <n v="84379"/>
    <n v="80160.05"/>
  </r>
  <r>
    <d v="2006-11-22T00:00:00"/>
    <s v="Miguel Angel Orrego Benitez"/>
    <s v="RC"/>
    <s v="71589330"/>
    <x v="4"/>
    <x v="1"/>
    <x v="1"/>
    <s v="Medicina General"/>
    <n v="27944"/>
    <n v="27944"/>
  </r>
  <r>
    <d v="2009-05-23T00:00:00"/>
    <s v="Carlos Enrique Marin Mesa"/>
    <s v="CC"/>
    <s v="71595452"/>
    <x v="6"/>
    <x v="1"/>
    <x v="2"/>
    <s v="Medicina General"/>
    <n v="80023"/>
    <n v="80023"/>
  </r>
  <r>
    <d v="2007-02-28T00:00:00"/>
    <s v="Elizabeth  Zapata Sierra"/>
    <s v="RC"/>
    <s v="71639297"/>
    <x v="2"/>
    <x v="0"/>
    <x v="1"/>
    <s v="Ortopedia Y Traumatologia"/>
    <n v="61015"/>
    <n v="57964.25"/>
  </r>
  <r>
    <d v="2008-05-09T00:00:00"/>
    <s v="Sofia  Giraldo Duque"/>
    <s v="RC"/>
    <s v="71696519"/>
    <x v="3"/>
    <x v="0"/>
    <x v="2"/>
    <s v="Medicina General"/>
    <n v="85171"/>
    <n v="80912.45"/>
  </r>
  <r>
    <d v="2007-12-11T00:00:00"/>
    <s v="Samuel  Baena Velez"/>
    <s v="RC"/>
    <s v="71699183"/>
    <x v="2"/>
    <x v="1"/>
    <x v="2"/>
    <s v="Medicina General"/>
    <n v="98239"/>
    <n v="98239"/>
  </r>
  <r>
    <d v="2008-01-01T00:00:00"/>
    <s v="Jhoan  Ortiz Tobon"/>
    <s v="RC"/>
    <s v="71722499"/>
    <x v="2"/>
    <x v="1"/>
    <x v="3"/>
    <s v="Otorrinolaringologia"/>
    <n v="76063"/>
    <n v="76063"/>
  </r>
  <r>
    <d v="2008-04-24T00:00:00"/>
    <s v="Andres  Lopez Diaz"/>
    <s v="RC"/>
    <s v="71944312"/>
    <x v="3"/>
    <x v="1"/>
    <x v="1"/>
    <s v="Pediatria"/>
    <n v="82795"/>
    <n v="82795"/>
  </r>
  <r>
    <d v="2008-02-24T00:00:00"/>
    <s v="Juan Angel Charris Suarez"/>
    <s v="RC"/>
    <s v="8213548"/>
    <x v="3"/>
    <x v="1"/>
    <x v="2"/>
    <s v="Medicina General"/>
    <n v="91903"/>
    <n v="91903"/>
  </r>
  <r>
    <d v="2004-07-07T00:00:00"/>
    <s v="Maria Camila Gil Lopez"/>
    <s v="RC"/>
    <s v="90071258377"/>
    <x v="1"/>
    <x v="0"/>
    <x v="0"/>
    <s v="Pediatria"/>
    <n v="33802"/>
    <n v="32111.9"/>
  </r>
  <r>
    <d v="2007-07-28T00:00:00"/>
    <s v="Edelmira  Loaiza Julio"/>
    <s v="CC"/>
    <s v="90080859340"/>
    <x v="2"/>
    <x v="0"/>
    <x v="2"/>
    <s v="Medicina General"/>
    <n v="81607"/>
    <n v="77526.649999999994"/>
  </r>
  <r>
    <d v="2007-01-20T00:00:00"/>
    <s v="Deiny Manuela Franco Durango"/>
    <s v="RC"/>
    <s v="90092871656"/>
    <x v="2"/>
    <x v="0"/>
    <x v="0"/>
    <s v="Pediatria"/>
    <n v="19795"/>
    <n v="18805.25"/>
  </r>
  <r>
    <d v="2009-05-23T00:00:00"/>
    <s v="Carlos Enrique Loaiza Mesa"/>
    <s v="CC"/>
    <s v="91091204687"/>
    <x v="6"/>
    <x v="1"/>
    <x v="3"/>
    <s v="Medicina Interna"/>
    <n v="79627"/>
    <n v="79627"/>
  </r>
  <r>
    <d v="2006-04-26T00:00:00"/>
    <s v="Johan Alexis Vasquez Alzate"/>
    <s v="RC"/>
    <s v="92062526299"/>
    <x v="4"/>
    <x v="1"/>
    <x v="2"/>
    <s v="Medicina General"/>
    <n v="45066"/>
    <n v="45066"/>
  </r>
  <r>
    <d v="2003-12-20T00:00:00"/>
    <s v="Susana  Gil Yarce"/>
    <s v="RC"/>
    <s v="93092432619"/>
    <x v="0"/>
    <x v="0"/>
    <x v="0"/>
    <s v="Pediatria"/>
    <n v="43347"/>
    <n v="41179.65"/>
  </r>
  <r>
    <d v="2008-05-30T00:00:00"/>
    <s v="Manuela  Aricapa Sepulveda"/>
    <s v="RC"/>
    <s v="93092601003"/>
    <x v="3"/>
    <x v="0"/>
    <x v="1"/>
    <s v="Pediatria"/>
    <n v="54120"/>
    <n v="51414"/>
  </r>
  <r>
    <d v="2004-05-19T00:00:00"/>
    <s v="Maria Paulina Valencia Castro"/>
    <s v="RC"/>
    <s v="93111700387"/>
    <x v="1"/>
    <x v="0"/>
    <x v="3"/>
    <s v="Cirugia Pediatrica"/>
    <n v="43481"/>
    <n v="41306.949999999997"/>
  </r>
  <r>
    <d v="2006-09-26T00:00:00"/>
    <s v="Deiby  Atehortua Meneses"/>
    <s v="RC"/>
    <s v="94090124824"/>
    <x v="4"/>
    <x v="1"/>
    <x v="0"/>
    <s v="Pediatria"/>
    <n v="48636"/>
    <n v="48636"/>
  </r>
  <r>
    <d v="2007-08-16T00:00:00"/>
    <s v="Luis Esteban Arroyave Alzate"/>
    <s v="RC"/>
    <s v="94100927556"/>
    <x v="2"/>
    <x v="1"/>
    <x v="2"/>
    <s v="Medicina General"/>
    <n v="54120"/>
    <n v="54120"/>
  </r>
  <r>
    <d v="2005-04-12T00:00:00"/>
    <s v="Dahiana  Valencia Arango"/>
    <s v="RC"/>
    <s v="94112314185"/>
    <x v="5"/>
    <x v="0"/>
    <x v="0"/>
    <s v="Pediatria"/>
    <n v="15850"/>
    <n v="15057.5"/>
  </r>
  <r>
    <d v="2004-09-19T00:00:00"/>
    <s v="Mariana  Cabezas Ceferino"/>
    <s v="RC"/>
    <s v="95011322140"/>
    <x v="1"/>
    <x v="0"/>
    <x v="2"/>
    <s v="Medicina General"/>
    <n v="44608"/>
    <n v="42377.599999999999"/>
  </r>
  <r>
    <d v="2006-04-30T00:00:00"/>
    <s v="Luis Mateo Mazo Flores"/>
    <s v="RC"/>
    <s v="95020216183"/>
    <x v="4"/>
    <x v="1"/>
    <x v="1"/>
    <s v="Pediatria"/>
    <n v="30496"/>
    <n v="30496"/>
  </r>
  <r>
    <d v="2005-01-03T00:00:00"/>
    <s v="Yesid  Tobon Zapata"/>
    <s v="RC"/>
    <s v="95030623150"/>
    <x v="1"/>
    <x v="1"/>
    <x v="2"/>
    <s v="Cirugia General"/>
    <n v="30840"/>
    <n v="30840"/>
  </r>
  <r>
    <d v="2006-02-24T00:00:00"/>
    <s v="Juan Sebastian Rave Martinez"/>
    <s v="RC"/>
    <s v="95050514898"/>
    <x v="4"/>
    <x v="0"/>
    <x v="2"/>
    <s v="Pediatria"/>
    <n v="33361"/>
    <n v="31692.95"/>
  </r>
  <r>
    <d v="2006-09-28T00:00:00"/>
    <s v="Valentina  Garcia Araque"/>
    <s v="RC"/>
    <s v="95050921698"/>
    <x v="4"/>
    <x v="0"/>
    <x v="2"/>
    <s v="Medicina General"/>
    <n v="42873"/>
    <n v="40729.35"/>
  </r>
  <r>
    <d v="2006-08-03T00:00:00"/>
    <s v="Jeronimo  Moreno Garcia"/>
    <s v="RC"/>
    <s v="95053023240"/>
    <x v="4"/>
    <x v="1"/>
    <x v="0"/>
    <s v="Pediatria"/>
    <n v="25622"/>
    <n v="25622"/>
  </r>
  <r>
    <d v="2006-06-28T00:00:00"/>
    <s v="Mariana  Salazar Garcia"/>
    <s v="RC"/>
    <s v="95071318762"/>
    <x v="4"/>
    <x v="0"/>
    <x v="1"/>
    <s v="Pediatria"/>
    <n v="57397"/>
    <n v="54527.15"/>
  </r>
  <r>
    <d v="2005-12-26T00:00:00"/>
    <s v="Jorge Andres Quintero Duque"/>
    <s v="TI"/>
    <s v="95071520707"/>
    <x v="5"/>
    <x v="1"/>
    <x v="1"/>
    <s v="Urologia"/>
    <n v="43159"/>
    <n v="43159"/>
  </r>
  <r>
    <d v="2004-10-18T00:00:00"/>
    <s v="Luis Felipe Moreno Herrera"/>
    <s v="RC"/>
    <s v="95100517982"/>
    <x v="1"/>
    <x v="1"/>
    <x v="1"/>
    <s v="Neurologia"/>
    <n v="53211"/>
    <n v="53211"/>
  </r>
  <r>
    <d v="2006-05-05T00:00:00"/>
    <s v="Cristian David Corrales Pecerra"/>
    <s v="CC"/>
    <s v="96010418639"/>
    <x v="4"/>
    <x v="1"/>
    <x v="1"/>
    <s v="Cirugia Pediatrica"/>
    <n v="17293"/>
    <n v="17293"/>
  </r>
  <r>
    <d v="2005-07-28T00:00:00"/>
    <s v="Andres  Flores Botero"/>
    <s v="RC"/>
    <s v="96021616912"/>
    <x v="5"/>
    <x v="1"/>
    <x v="0"/>
    <s v="Pediatria"/>
    <n v="25622"/>
    <n v="25622"/>
  </r>
  <r>
    <d v="2007-09-12T00:00:00"/>
    <s v="Jhonatan  David Ibarra"/>
    <s v="RC"/>
    <s v="96040417564"/>
    <x v="2"/>
    <x v="1"/>
    <x v="0"/>
    <s v="Pediatria"/>
    <n v="25622"/>
    <n v="25622"/>
  </r>
  <r>
    <d v="2007-01-26T00:00:00"/>
    <s v="Asly Dahiana Narvaez Tobon"/>
    <s v="RC"/>
    <s v="96060716282"/>
    <x v="2"/>
    <x v="0"/>
    <x v="2"/>
    <s v="Medicina General"/>
    <n v="19710"/>
    <n v="18724.5"/>
  </r>
  <r>
    <d v="2005-09-04T00:00:00"/>
    <s v="Daniel Alexander Gonzalez Fernandez"/>
    <s v="RC"/>
    <s v="96062115960"/>
    <x v="5"/>
    <x v="1"/>
    <x v="0"/>
    <s v="Pediatria"/>
    <n v="25622"/>
    <n v="25622"/>
  </r>
  <r>
    <d v="2008-04-04T00:00:00"/>
    <s v="Maria Paulina Bermudez Correa"/>
    <s v="RC"/>
    <s v="96110204768"/>
    <x v="3"/>
    <x v="0"/>
    <x v="0"/>
    <s v="Pediatria"/>
    <n v="25622"/>
    <n v="24340.9"/>
  </r>
  <r>
    <d v="2005-02-12T00:00:00"/>
    <s v="Veronica  Trivi?O Sepulveda"/>
    <s v="RC"/>
    <s v="96121813790"/>
    <x v="5"/>
    <x v="0"/>
    <x v="1"/>
    <s v="Neurologia"/>
    <n v="22261"/>
    <n v="21147.95"/>
  </r>
  <r>
    <d v="2007-04-20T00:00:00"/>
    <s v="Celeni  Alvarez Gomez"/>
    <s v="RC"/>
    <s v="97011313411"/>
    <x v="2"/>
    <x v="0"/>
    <x v="2"/>
    <s v="Cirugia General"/>
    <n v="48602"/>
    <n v="46171.9"/>
  </r>
  <r>
    <d v="2005-04-30T00:00:00"/>
    <s v="Paulina  Piedrahita Maya"/>
    <s v="RC"/>
    <s v="97012609772"/>
    <x v="5"/>
    <x v="0"/>
    <x v="0"/>
    <s v="Pediatria"/>
    <n v="25622"/>
    <n v="24340.9"/>
  </r>
  <r>
    <d v="2007-04-19T00:00:00"/>
    <s v="Simon  Ossa Correa"/>
    <s v="RC"/>
    <s v="97031309291"/>
    <x v="2"/>
    <x v="1"/>
    <x v="0"/>
    <s v="Pediatria"/>
    <n v="25622"/>
    <n v="25622"/>
  </r>
  <r>
    <d v="2006-08-06T00:00:00"/>
    <s v="Isabela  Henao Ramirez"/>
    <s v="RC"/>
    <s v="97041613835"/>
    <x v="4"/>
    <x v="0"/>
    <x v="1"/>
    <s v="Pediatria"/>
    <n v="55307"/>
    <n v="52541.65"/>
  </r>
  <r>
    <d v="2005-07-29T00:00:00"/>
    <s v="Alejandro  Pelaez Mora"/>
    <s v="RC"/>
    <s v="97042420976"/>
    <x v="5"/>
    <x v="1"/>
    <x v="2"/>
    <s v="Cirugia General"/>
    <n v="47311"/>
    <n v="47311"/>
  </r>
  <r>
    <d v="2008-01-12T00:00:00"/>
    <s v="Sara  Quintero Osorio"/>
    <s v="RC"/>
    <s v="97050207742"/>
    <x v="2"/>
    <x v="0"/>
    <x v="2"/>
    <s v="Cirugia General"/>
    <n v="72499"/>
    <n v="68874.05"/>
  </r>
  <r>
    <d v="2005-10-01T00:00:00"/>
    <s v="Jonatan Arley Loaiza Corpa"/>
    <s v="RC"/>
    <s v="98012757549"/>
    <x v="5"/>
    <x v="1"/>
    <x v="0"/>
    <s v="Pediatria"/>
    <n v="25622"/>
    <n v="25622"/>
  </r>
  <r>
    <d v="2006-09-08T00:00:00"/>
    <s v="Sara  Moreno Zapata"/>
    <s v="RC"/>
    <s v="98020260874"/>
    <x v="4"/>
    <x v="0"/>
    <x v="3"/>
    <s v="Otorrinolaringologia"/>
    <n v="58618"/>
    <n v="55687.1"/>
  </r>
  <r>
    <d v="2006-05-22T00:00:00"/>
    <s v="Carolina  Blandon Yanes"/>
    <s v="RC"/>
    <s v="98031252245"/>
    <x v="4"/>
    <x v="0"/>
    <x v="0"/>
    <s v="Pediatria"/>
    <n v="25622"/>
    <n v="24340.9"/>
  </r>
  <r>
    <d v="2006-09-26T00:00:00"/>
    <s v="Deiby  Atehortua Meneses"/>
    <s v="RC"/>
    <s v="98031454085"/>
    <x v="4"/>
    <x v="1"/>
    <x v="0"/>
    <s v="Pediatria"/>
    <n v="25622"/>
    <n v="25622"/>
  </r>
  <r>
    <d v="2004-03-29T00:00:00"/>
    <s v="Sofia  Zapata Olarte"/>
    <s v="RC"/>
    <s v="98032262279"/>
    <x v="1"/>
    <x v="0"/>
    <x v="2"/>
    <s v="Cirugia General"/>
    <n v="41599"/>
    <n v="39519.050000000003"/>
  </r>
  <r>
    <d v="2005-10-01T00:00:00"/>
    <s v="Karla Mireth Torres Rodriguez"/>
    <s v="RC"/>
    <s v="98042560405"/>
    <x v="5"/>
    <x v="0"/>
    <x v="1"/>
    <s v="Neurologia"/>
    <n v="39341"/>
    <n v="37373.949999999997"/>
  </r>
  <r>
    <d v="2004-07-28T00:00:00"/>
    <s v="Carolina  Zapata Jimenez"/>
    <s v="RC"/>
    <s v="98073054508"/>
    <x v="1"/>
    <x v="0"/>
    <x v="0"/>
    <s v="Pediatria"/>
    <n v="55792"/>
    <n v="53002.400000000001"/>
  </r>
  <r>
    <d v="2007-04-04T00:00:00"/>
    <s v="Evelyn Andrea Quintana Mejia"/>
    <s v="RC"/>
    <s v="98101503267"/>
    <x v="2"/>
    <x v="0"/>
    <x v="0"/>
    <s v="Pediatria"/>
    <n v="55792"/>
    <n v="53002.400000000001"/>
  </r>
  <r>
    <d v="2006-08-03T00:00:00"/>
    <s v="Junior Andres Quintero Bustamante"/>
    <s v="RC"/>
    <s v="98102166990"/>
    <x v="4"/>
    <x v="1"/>
    <x v="0"/>
    <s v="Pediatria"/>
    <n v="55792"/>
    <n v="55792"/>
  </r>
  <r>
    <d v="2008-02-27T00:00:00"/>
    <s v="Keith  Restrepo Moreno"/>
    <s v="RC"/>
    <s v="98102355270"/>
    <x v="3"/>
    <x v="1"/>
    <x v="1"/>
    <s v="Pediatria"/>
    <n v="71311"/>
    <n v="71311"/>
  </r>
  <r>
    <d v="2004-07-01T00:00:00"/>
    <s v="Santiago  Londo?O "/>
    <s v="RC"/>
    <s v="98112709185"/>
    <x v="1"/>
    <x v="1"/>
    <x v="1"/>
    <s v="Ortopedia Y Traumatologia"/>
    <n v="44193"/>
    <n v="44193"/>
  </r>
  <r>
    <d v="2006-07-22T00:00:00"/>
    <s v="Johan Stivenson Hurtado Mosquera"/>
    <s v="RC"/>
    <s v="98564683"/>
    <x v="4"/>
    <x v="1"/>
    <x v="3"/>
    <s v="Ortopedia Y Traumatologia"/>
    <n v="50334"/>
    <n v="50334"/>
  </r>
  <r>
    <d v="2008-02-14T00:00:00"/>
    <s v="Esteban  Salazar Alcalde"/>
    <s v="RC"/>
    <s v="99050902656"/>
    <x v="3"/>
    <x v="1"/>
    <x v="2"/>
    <s v="Medicina General"/>
    <n v="67747"/>
    <n v="67747"/>
  </r>
  <r>
    <d v="2008-04-24T00:00:00"/>
    <s v="Andres  Lopez Osorio"/>
    <s v="RC"/>
    <s v="99070602764"/>
    <x v="3"/>
    <x v="1"/>
    <x v="1"/>
    <s v="Neurologia"/>
    <n v="81211"/>
    <n v="81211"/>
  </r>
  <r>
    <d v="2007-04-20T00:00:00"/>
    <s v="Celeni  Alvarez Gomez"/>
    <s v="RC"/>
    <s v="99072610586"/>
    <x v="2"/>
    <x v="0"/>
    <x v="0"/>
    <s v="Pediatria"/>
    <n v="25622"/>
    <n v="24340.9"/>
  </r>
  <r>
    <d v="2005-02-14T00:00:00"/>
    <s v="Carolina  Garcia Jimenez"/>
    <s v="RC"/>
    <s v="99082403864"/>
    <x v="5"/>
    <x v="0"/>
    <x v="3"/>
    <s v="Cirugia Pediatrica"/>
    <n v="19806"/>
    <n v="18815.7"/>
  </r>
  <r>
    <d v="2004-11-24T00:00:00"/>
    <s v="Juan David Martinez Arismendi"/>
    <s v="RC"/>
    <s v="99092009315"/>
    <x v="1"/>
    <x v="1"/>
    <x v="2"/>
    <s v="Medicina General"/>
    <n v="20677"/>
    <n v="206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61F433-C999-4045-A044-D1A5A4158E0E}"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C7" firstHeaderRow="0" firstDataRow="1" firstDataCol="1"/>
  <pivotFields count="14">
    <pivotField showAll="0"/>
    <pivotField showAll="0"/>
    <pivotField showAll="0"/>
    <pivotField showAll="0"/>
    <pivotField showAll="0"/>
    <pivotField axis="axisRow" showAll="0">
      <items count="4">
        <item x="0"/>
        <item x="1"/>
        <item x="2"/>
        <item t="default"/>
      </items>
    </pivotField>
    <pivotField dataField="1" showAll="0"/>
    <pivotField showAll="0"/>
    <pivotField showAll="0"/>
    <pivotField showAll="0"/>
    <pivotField showAll="0">
      <items count="14">
        <item x="11"/>
        <item x="5"/>
        <item x="8"/>
        <item x="4"/>
        <item x="7"/>
        <item x="3"/>
        <item x="10"/>
        <item x="6"/>
        <item x="9"/>
        <item x="2"/>
        <item x="1"/>
        <item x="0"/>
        <item x="12"/>
        <item t="default"/>
      </items>
    </pivotField>
    <pivotField showAll="0"/>
    <pivotField dragToRow="0" dragToCol="0" dragToPage="0" showAll="0" defaultSubtotal="0"/>
    <pivotField dragToRow="0" dragToCol="0" dragToPage="0" showAll="0" defaultSubtotal="0"/>
  </pivotFields>
  <rowFields count="1">
    <field x="5"/>
  </rowFields>
  <rowItems count="4">
    <i>
      <x/>
    </i>
    <i>
      <x v="1"/>
    </i>
    <i>
      <x v="2"/>
    </i>
    <i t="grand">
      <x/>
    </i>
  </rowItems>
  <colFields count="1">
    <field x="-2"/>
  </colFields>
  <colItems count="2">
    <i>
      <x/>
    </i>
    <i i="1">
      <x v="1"/>
    </i>
  </colItems>
  <dataFields count="2">
    <dataField name="Cuenta de TIPO DE CONSULTA" fld="6" subtotal="count" showDataAs="percentOfCol" baseField="5" baseItem="0" numFmtId="10"/>
    <dataField name="Cuenta de TIPO DE CONSULTA2" fld="6"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D5EEDD-A4E1-403F-A8F0-33D029D88C18}" name="TablaDinámica2"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C11" firstHeaderRow="0" firstDataRow="1" firstDataCol="1"/>
  <pivotFields count="10">
    <pivotField numFmtId="14" showAll="0"/>
    <pivotField showAll="0"/>
    <pivotField showAll="0"/>
    <pivotField showAll="0"/>
    <pivotField axis="axisRow" numFmtId="1" showAll="0">
      <items count="8">
        <item x="6"/>
        <item x="3"/>
        <item x="2"/>
        <item x="4"/>
        <item x="5"/>
        <item x="1"/>
        <item x="0"/>
        <item t="default"/>
      </items>
    </pivotField>
    <pivotField dataField="1" showAll="0"/>
    <pivotField showAll="0"/>
    <pivotField showAll="0"/>
    <pivotField numFmtId="165" showAll="0"/>
    <pivotField numFmtId="1" showAll="0"/>
  </pivotFields>
  <rowFields count="1">
    <field x="4"/>
  </rowFields>
  <rowItems count="8">
    <i>
      <x/>
    </i>
    <i>
      <x v="1"/>
    </i>
    <i>
      <x v="2"/>
    </i>
    <i>
      <x v="3"/>
    </i>
    <i>
      <x v="4"/>
    </i>
    <i>
      <x v="5"/>
    </i>
    <i>
      <x v="6"/>
    </i>
    <i t="grand">
      <x/>
    </i>
  </rowItems>
  <colFields count="1">
    <field x="-2"/>
  </colFields>
  <colItems count="2">
    <i>
      <x/>
    </i>
    <i i="1">
      <x v="1"/>
    </i>
  </colItems>
  <dataFields count="2">
    <dataField name="Cuenta de Sexo" fld="5" subtotal="count" baseField="0" baseItem="0"/>
    <dataField name="Cuenta de Sexo2" fld="5" subtotal="count" showDataAs="percentOfCol" baseField="4" baseItem="0" numFmtId="10"/>
  </dataFields>
  <formats count="12">
    <format dxfId="35">
      <pivotArea collapsedLevelsAreSubtotals="1" fieldPosition="0">
        <references count="2">
          <reference field="4294967294" count="1" selected="0">
            <x v="1"/>
          </reference>
          <reference field="4" count="1">
            <x v="0"/>
          </reference>
        </references>
      </pivotArea>
    </format>
    <format dxfId="34">
      <pivotArea collapsedLevelsAreSubtotals="1" fieldPosition="0">
        <references count="2">
          <reference field="4294967294" count="1" selected="0">
            <x v="1"/>
          </reference>
          <reference field="4" count="1">
            <x v="1"/>
          </reference>
        </references>
      </pivotArea>
    </format>
    <format dxfId="33">
      <pivotArea type="all" dataOnly="0" outline="0" fieldPosition="0"/>
    </format>
    <format dxfId="32">
      <pivotArea outline="0" collapsedLevelsAreSubtotals="1" fieldPosition="0"/>
    </format>
    <format dxfId="31">
      <pivotArea field="4" type="button" dataOnly="0" labelOnly="1" outline="0" axis="axisRow" fieldPosition="0"/>
    </format>
    <format dxfId="30">
      <pivotArea dataOnly="0" labelOnly="1" fieldPosition="0">
        <references count="1">
          <reference field="4" count="0"/>
        </references>
      </pivotArea>
    </format>
    <format dxfId="29">
      <pivotArea dataOnly="0" labelOnly="1" grandRow="1" outline="0" fieldPosition="0"/>
    </format>
    <format dxfId="28">
      <pivotArea dataOnly="0" labelOnly="1" outline="0" fieldPosition="0">
        <references count="1">
          <reference field="4294967294" count="2">
            <x v="0"/>
            <x v="1"/>
          </reference>
        </references>
      </pivotArea>
    </format>
    <format dxfId="27">
      <pivotArea field="4" type="button" dataOnly="0" labelOnly="1" outline="0" axis="axisRow" fieldPosition="0"/>
    </format>
    <format dxfId="26">
      <pivotArea dataOnly="0" labelOnly="1" outline="0" fieldPosition="0">
        <references count="1">
          <reference field="4294967294" count="2">
            <x v="0"/>
            <x v="1"/>
          </reference>
        </references>
      </pivotArea>
    </format>
    <format dxfId="25">
      <pivotArea grandRow="1" outline="0" collapsedLevelsAreSubtotals="1" fieldPosition="0"/>
    </format>
    <format dxfId="2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832FEE-CB45-44FC-85FB-F57C4BDA3F83}" name="TablaDinámica5"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G41" firstHeaderRow="1" firstDataRow="2" firstDataCol="1"/>
  <pivotFields count="14">
    <pivotField showAll="0">
      <items count="203">
        <item x="10"/>
        <item x="9"/>
        <item x="8"/>
        <item x="7"/>
        <item x="6"/>
        <item x="5"/>
        <item x="4"/>
        <item x="3"/>
        <item x="2"/>
        <item x="1"/>
        <item x="0"/>
        <item x="11"/>
        <item x="58"/>
        <item x="61"/>
        <item x="43"/>
        <item x="139"/>
        <item x="88"/>
        <item x="140"/>
        <item x="194"/>
        <item x="13"/>
        <item x="100"/>
        <item x="56"/>
        <item x="19"/>
        <item x="173"/>
        <item x="152"/>
        <item x="125"/>
        <item x="103"/>
        <item x="12"/>
        <item x="197"/>
        <item x="132"/>
        <item x="131"/>
        <item x="159"/>
        <item x="195"/>
        <item x="80"/>
        <item x="35"/>
        <item x="104"/>
        <item x="72"/>
        <item x="62"/>
        <item x="176"/>
        <item x="182"/>
        <item x="73"/>
        <item x="121"/>
        <item x="42"/>
        <item x="84"/>
        <item x="200"/>
        <item x="112"/>
        <item x="151"/>
        <item x="116"/>
        <item x="177"/>
        <item x="82"/>
        <item x="187"/>
        <item x="199"/>
        <item x="23"/>
        <item x="28"/>
        <item x="51"/>
        <item x="175"/>
        <item x="135"/>
        <item x="189"/>
        <item x="47"/>
        <item x="48"/>
        <item x="95"/>
        <item x="20"/>
        <item x="89"/>
        <item x="127"/>
        <item x="134"/>
        <item x="153"/>
        <item x="113"/>
        <item x="109"/>
        <item x="101"/>
        <item x="110"/>
        <item x="69"/>
        <item x="192"/>
        <item x="117"/>
        <item x="30"/>
        <item x="138"/>
        <item x="17"/>
        <item x="92"/>
        <item x="185"/>
        <item x="99"/>
        <item x="53"/>
        <item x="59"/>
        <item x="46"/>
        <item x="114"/>
        <item x="105"/>
        <item x="66"/>
        <item x="158"/>
        <item x="155"/>
        <item x="181"/>
        <item x="52"/>
        <item x="64"/>
        <item x="130"/>
        <item x="178"/>
        <item x="128"/>
        <item x="122"/>
        <item x="24"/>
        <item x="50"/>
        <item x="171"/>
        <item x="126"/>
        <item x="21"/>
        <item x="26"/>
        <item x="193"/>
        <item x="90"/>
        <item x="180"/>
        <item x="102"/>
        <item x="198"/>
        <item x="136"/>
        <item x="16"/>
        <item x="191"/>
        <item x="115"/>
        <item x="145"/>
        <item x="57"/>
        <item x="60"/>
        <item x="36"/>
        <item x="44"/>
        <item x="40"/>
        <item x="179"/>
        <item x="91"/>
        <item x="78"/>
        <item x="94"/>
        <item x="45"/>
        <item x="150"/>
        <item x="18"/>
        <item x="167"/>
        <item x="31"/>
        <item x="54"/>
        <item x="154"/>
        <item x="160"/>
        <item x="39"/>
        <item x="33"/>
        <item x="184"/>
        <item x="108"/>
        <item x="14"/>
        <item x="85"/>
        <item x="98"/>
        <item x="41"/>
        <item x="68"/>
        <item x="156"/>
        <item x="190"/>
        <item x="188"/>
        <item x="133"/>
        <item x="165"/>
        <item x="81"/>
        <item x="34"/>
        <item x="147"/>
        <item x="74"/>
        <item x="123"/>
        <item x="118"/>
        <item x="79"/>
        <item x="32"/>
        <item x="170"/>
        <item x="96"/>
        <item x="93"/>
        <item x="174"/>
        <item x="83"/>
        <item x="107"/>
        <item x="119"/>
        <item x="76"/>
        <item x="25"/>
        <item x="183"/>
        <item x="106"/>
        <item x="75"/>
        <item x="120"/>
        <item x="166"/>
        <item x="141"/>
        <item x="143"/>
        <item x="146"/>
        <item x="129"/>
        <item x="29"/>
        <item x="157"/>
        <item x="124"/>
        <item x="63"/>
        <item x="55"/>
        <item x="37"/>
        <item x="148"/>
        <item x="164"/>
        <item x="70"/>
        <item x="15"/>
        <item x="71"/>
        <item x="97"/>
        <item x="111"/>
        <item x="65"/>
        <item x="196"/>
        <item x="87"/>
        <item x="186"/>
        <item x="27"/>
        <item x="142"/>
        <item x="163"/>
        <item x="169"/>
        <item x="137"/>
        <item x="77"/>
        <item x="144"/>
        <item x="49"/>
        <item x="38"/>
        <item x="172"/>
        <item x="86"/>
        <item x="22"/>
        <item x="161"/>
        <item x="149"/>
        <item x="162"/>
        <item x="67"/>
        <item x="168"/>
        <item x="201"/>
        <item t="default"/>
      </items>
    </pivotField>
    <pivotField showAll="0"/>
    <pivotField showAll="0"/>
    <pivotField showAll="0"/>
    <pivotField showAll="0"/>
    <pivotField axis="axisRow" showAll="0">
      <items count="4">
        <item x="0"/>
        <item x="1"/>
        <item x="2"/>
        <item t="default"/>
      </items>
    </pivotField>
    <pivotField axis="axisCol" dataField="1" showAll="0">
      <items count="7">
        <item x="1"/>
        <item x="3"/>
        <item x="0"/>
        <item x="2"/>
        <item x="4"/>
        <item h="1" x="5"/>
        <item t="default"/>
      </items>
    </pivotField>
    <pivotField showAll="0"/>
    <pivotField showAll="0"/>
    <pivotField showAll="0"/>
    <pivotField axis="axisRow" showAll="0">
      <items count="14">
        <item x="11"/>
        <item x="5"/>
        <item x="8"/>
        <item x="4"/>
        <item x="7"/>
        <item x="3"/>
        <item x="10"/>
        <item x="6"/>
        <item x="9"/>
        <item x="2"/>
        <item x="1"/>
        <item x="0"/>
        <item x="12"/>
        <item t="default"/>
      </items>
    </pivotField>
    <pivotField showAll="0"/>
    <pivotField dragToRow="0" dragToCol="0" dragToPage="0" showAll="0" defaultSubtotal="0"/>
    <pivotField dragToRow="0" dragToCol="0" dragToPage="0" showAll="0" defaultSubtotal="0"/>
  </pivotFields>
  <rowFields count="2">
    <field x="10"/>
    <field x="5"/>
  </rowFields>
  <rowItems count="37">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x v="11"/>
    </i>
    <i r="1">
      <x/>
    </i>
    <i r="1">
      <x v="1"/>
    </i>
    <i t="grand">
      <x/>
    </i>
  </rowItems>
  <colFields count="1">
    <field x="6"/>
  </colFields>
  <colItems count="6">
    <i>
      <x/>
    </i>
    <i>
      <x v="1"/>
    </i>
    <i>
      <x v="2"/>
    </i>
    <i>
      <x v="3"/>
    </i>
    <i>
      <x v="4"/>
    </i>
    <i t="grand">
      <x/>
    </i>
  </colItems>
  <dataFields count="1">
    <dataField name="Cuenta de TIPO DE CONSULTA" fld="6" subtotal="count" baseField="0" baseItem="0"/>
  </dataFields>
  <formats count="5">
    <format dxfId="23">
      <pivotArea dataOnly="0" labelOnly="1" fieldPosition="0">
        <references count="1">
          <reference field="6" count="1">
            <x v="0"/>
          </reference>
        </references>
      </pivotArea>
    </format>
    <format dxfId="22">
      <pivotArea dataOnly="0" labelOnly="1" fieldPosition="0">
        <references count="1">
          <reference field="6" count="1">
            <x v="1"/>
          </reference>
        </references>
      </pivotArea>
    </format>
    <format dxfId="21">
      <pivotArea dataOnly="0" labelOnly="1" fieldPosition="0">
        <references count="1">
          <reference field="6" count="1">
            <x v="2"/>
          </reference>
        </references>
      </pivotArea>
    </format>
    <format dxfId="20">
      <pivotArea dataOnly="0" labelOnly="1" fieldPosition="0">
        <references count="1">
          <reference field="6" count="1">
            <x v="3"/>
          </reference>
        </references>
      </pivotArea>
    </format>
    <format dxfId="19">
      <pivotArea dataOnly="0" labelOnly="1" fieldPosition="0">
        <references count="1">
          <reference field="6"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C813C7-97E3-4A62-897D-B6C4E5CA5E3A}" name="TablaDinámica6" cacheId="0" applyNumberFormats="0" applyBorderFormats="0" applyFontFormats="0" applyPatternFormats="0" applyAlignmentFormats="0" applyWidthHeightFormats="1" dataCaption="Valores" updatedVersion="6" minRefreshableVersion="5" useAutoFormatting="1" itemPrintTitles="1" createdVersion="6" indent="0" outline="1" outlineData="1" multipleFieldFilters="0">
  <location ref="A3:B16" firstHeaderRow="1" firstDataRow="1" firstDataCol="1"/>
  <pivotFields count="14">
    <pivotField showAll="0">
      <items count="203">
        <item x="10"/>
        <item x="9"/>
        <item x="8"/>
        <item x="7"/>
        <item x="6"/>
        <item x="5"/>
        <item x="4"/>
        <item x="3"/>
        <item x="2"/>
        <item x="1"/>
        <item x="0"/>
        <item x="11"/>
        <item x="58"/>
        <item x="61"/>
        <item x="43"/>
        <item x="139"/>
        <item x="88"/>
        <item x="140"/>
        <item x="194"/>
        <item x="13"/>
        <item x="100"/>
        <item x="56"/>
        <item x="19"/>
        <item x="173"/>
        <item x="152"/>
        <item x="125"/>
        <item x="103"/>
        <item x="12"/>
        <item x="197"/>
        <item x="132"/>
        <item x="131"/>
        <item x="159"/>
        <item x="195"/>
        <item x="80"/>
        <item x="35"/>
        <item x="104"/>
        <item x="72"/>
        <item x="62"/>
        <item x="176"/>
        <item x="182"/>
        <item x="73"/>
        <item x="121"/>
        <item x="42"/>
        <item x="84"/>
        <item x="200"/>
        <item x="112"/>
        <item x="151"/>
        <item x="116"/>
        <item x="177"/>
        <item x="82"/>
        <item x="187"/>
        <item x="199"/>
        <item x="23"/>
        <item x="28"/>
        <item x="51"/>
        <item x="175"/>
        <item x="135"/>
        <item x="189"/>
        <item x="47"/>
        <item x="48"/>
        <item x="95"/>
        <item x="20"/>
        <item x="89"/>
        <item x="127"/>
        <item x="134"/>
        <item x="153"/>
        <item x="113"/>
        <item x="109"/>
        <item x="101"/>
        <item x="110"/>
        <item x="69"/>
        <item x="192"/>
        <item x="117"/>
        <item x="30"/>
        <item x="138"/>
        <item x="17"/>
        <item x="92"/>
        <item x="185"/>
        <item x="99"/>
        <item x="53"/>
        <item x="59"/>
        <item x="46"/>
        <item x="114"/>
        <item x="105"/>
        <item x="66"/>
        <item x="158"/>
        <item x="155"/>
        <item x="181"/>
        <item x="52"/>
        <item x="64"/>
        <item x="130"/>
        <item x="178"/>
        <item x="128"/>
        <item x="122"/>
        <item x="24"/>
        <item x="50"/>
        <item x="171"/>
        <item x="126"/>
        <item x="21"/>
        <item x="26"/>
        <item x="193"/>
        <item x="90"/>
        <item x="180"/>
        <item x="102"/>
        <item x="198"/>
        <item x="136"/>
        <item x="16"/>
        <item x="191"/>
        <item x="115"/>
        <item x="145"/>
        <item x="57"/>
        <item x="60"/>
        <item x="36"/>
        <item x="44"/>
        <item x="40"/>
        <item x="179"/>
        <item x="91"/>
        <item x="78"/>
        <item x="94"/>
        <item x="45"/>
        <item x="150"/>
        <item x="18"/>
        <item x="167"/>
        <item x="31"/>
        <item x="54"/>
        <item x="154"/>
        <item x="160"/>
        <item x="39"/>
        <item x="33"/>
        <item x="184"/>
        <item x="108"/>
        <item x="14"/>
        <item x="85"/>
        <item x="98"/>
        <item x="41"/>
        <item x="68"/>
        <item x="156"/>
        <item x="190"/>
        <item x="188"/>
        <item x="133"/>
        <item x="165"/>
        <item x="81"/>
        <item x="34"/>
        <item x="147"/>
        <item x="74"/>
        <item x="123"/>
        <item x="118"/>
        <item x="79"/>
        <item x="32"/>
        <item x="170"/>
        <item x="96"/>
        <item x="93"/>
        <item x="174"/>
        <item x="83"/>
        <item x="107"/>
        <item x="119"/>
        <item x="76"/>
        <item x="25"/>
        <item x="183"/>
        <item x="106"/>
        <item x="75"/>
        <item x="120"/>
        <item x="166"/>
        <item x="141"/>
        <item x="143"/>
        <item x="146"/>
        <item x="129"/>
        <item x="29"/>
        <item x="157"/>
        <item x="124"/>
        <item x="63"/>
        <item x="55"/>
        <item x="37"/>
        <item x="148"/>
        <item x="164"/>
        <item x="70"/>
        <item x="15"/>
        <item x="71"/>
        <item x="97"/>
        <item x="111"/>
        <item x="65"/>
        <item x="196"/>
        <item x="87"/>
        <item x="186"/>
        <item x="27"/>
        <item x="142"/>
        <item x="163"/>
        <item x="169"/>
        <item x="137"/>
        <item x="77"/>
        <item x="144"/>
        <item x="49"/>
        <item x="38"/>
        <item x="172"/>
        <item x="86"/>
        <item x="22"/>
        <item x="161"/>
        <item x="149"/>
        <item x="162"/>
        <item x="67"/>
        <item x="168"/>
        <item x="201"/>
        <item t="default"/>
      </items>
    </pivotField>
    <pivotField showAll="0"/>
    <pivotField showAll="0"/>
    <pivotField showAll="0"/>
    <pivotField showAll="0"/>
    <pivotField showAll="0">
      <items count="4">
        <item x="0"/>
        <item x="1"/>
        <item x="2"/>
        <item t="default"/>
      </items>
    </pivotField>
    <pivotField showAll="0">
      <items count="7">
        <item x="1"/>
        <item h="1" x="3"/>
        <item h="1" x="0"/>
        <item h="1" x="2"/>
        <item h="1" x="4"/>
        <item h="1" x="5"/>
        <item t="default"/>
      </items>
    </pivotField>
    <pivotField showAll="0">
      <items count="19">
        <item x="4"/>
        <item x="11"/>
        <item x="0"/>
        <item x="9"/>
        <item x="13"/>
        <item x="8"/>
        <item x="3"/>
        <item x="16"/>
        <item x="12"/>
        <item x="10"/>
        <item x="15"/>
        <item x="1"/>
        <item x="14"/>
        <item x="7"/>
        <item x="5"/>
        <item x="2"/>
        <item x="6"/>
        <item x="17"/>
        <item t="default"/>
      </items>
    </pivotField>
    <pivotField showAll="0"/>
    <pivotField showAll="0"/>
    <pivotField axis="axisRow" dataField="1" showAll="0">
      <items count="14">
        <item x="11"/>
        <item x="5"/>
        <item x="8"/>
        <item x="4"/>
        <item x="7"/>
        <item x="3"/>
        <item x="10"/>
        <item x="6"/>
        <item x="9"/>
        <item x="2"/>
        <item x="1"/>
        <item x="0"/>
        <item x="12"/>
        <item t="default"/>
      </items>
    </pivotField>
    <pivotField showAll="0"/>
    <pivotField dragToRow="0" dragToCol="0" dragToPage="0" showAll="0" defaultSubtotal="0"/>
    <pivotField dragToRow="0" dragToCol="0" dragToPage="0" showAll="0" defaultSubtotal="0"/>
  </pivotFields>
  <rowFields count="1">
    <field x="10"/>
  </rowFields>
  <rowItems count="13">
    <i>
      <x/>
    </i>
    <i>
      <x v="1"/>
    </i>
    <i>
      <x v="2"/>
    </i>
    <i>
      <x v="3"/>
    </i>
    <i>
      <x v="4"/>
    </i>
    <i>
      <x v="5"/>
    </i>
    <i>
      <x v="6"/>
    </i>
    <i>
      <x v="7"/>
    </i>
    <i>
      <x v="8"/>
    </i>
    <i>
      <x v="9"/>
    </i>
    <i>
      <x v="10"/>
    </i>
    <i>
      <x v="11"/>
    </i>
    <i t="grand">
      <x/>
    </i>
  </rowItems>
  <colItems count="1">
    <i/>
  </colItems>
  <dataFields count="1">
    <dataField name="Cuenta de Mes" fld="1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06A510-8D8C-4C63-88D1-CEC8F4771195}" name="TablaDinámica10"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I12" firstHeaderRow="1" firstDataRow="3" firstDataCol="1"/>
  <pivotFields count="14">
    <pivotField showAll="0"/>
    <pivotField showAll="0"/>
    <pivotField showAll="0"/>
    <pivotField showAll="0"/>
    <pivotField showAll="0"/>
    <pivotField axis="axisCol" showAll="0">
      <items count="4">
        <item x="0"/>
        <item x="1"/>
        <item x="2"/>
        <item t="default"/>
      </items>
    </pivotField>
    <pivotField axis="axisRow" showAll="0">
      <items count="7">
        <item x="1"/>
        <item x="3"/>
        <item x="0"/>
        <item x="2"/>
        <item x="4"/>
        <item x="5"/>
        <item t="default"/>
      </items>
    </pivotField>
    <pivotField showAll="0"/>
    <pivotField showAll="0"/>
    <pivotField showAll="0"/>
    <pivotField showAll="0"/>
    <pivotField dataField="1" showAll="0"/>
    <pivotField dragToRow="0" dragToCol="0" dragToPage="0" showAll="0" defaultSubtotal="0"/>
    <pivotField dragToRow="0" dragToCol="0" dragToPage="0" showAll="0" defaultSubtotal="0"/>
  </pivotFields>
  <rowFields count="1">
    <field x="6"/>
  </rowFields>
  <rowItems count="7">
    <i>
      <x/>
    </i>
    <i>
      <x v="1"/>
    </i>
    <i>
      <x v="2"/>
    </i>
    <i>
      <x v="3"/>
    </i>
    <i>
      <x v="4"/>
    </i>
    <i>
      <x v="5"/>
    </i>
    <i t="grand">
      <x/>
    </i>
  </rowItems>
  <colFields count="2">
    <field x="5"/>
    <field x="-2"/>
  </colFields>
  <colItems count="8">
    <i>
      <x/>
      <x/>
    </i>
    <i r="1" i="1">
      <x v="1"/>
    </i>
    <i>
      <x v="1"/>
      <x/>
    </i>
    <i r="1" i="1">
      <x v="1"/>
    </i>
    <i>
      <x v="2"/>
      <x/>
    </i>
    <i r="1" i="1">
      <x v="1"/>
    </i>
    <i t="grand">
      <x/>
    </i>
    <i t="grand" i="1">
      <x/>
    </i>
  </colItems>
  <dataFields count="2">
    <dataField name="Suma de Descuento por Genero y Edad promedio" fld="11" baseField="0" baseItem="0"/>
    <dataField name="Suma de Descuento por Genero y Edad promedio2" fld="11" showDataAs="percentOfCol" baseField="6" baseItem="0" numFmtId="10"/>
  </dataFields>
  <formats count="19">
    <format dxfId="18">
      <pivotArea collapsedLevelsAreSubtotals="1" fieldPosition="0">
        <references count="1">
          <reference field="6" count="5">
            <x v="0"/>
            <x v="1"/>
            <x v="2"/>
            <x v="3"/>
            <x v="4"/>
          </reference>
        </references>
      </pivotArea>
    </format>
    <format dxfId="17">
      <pivotArea outline="0" fieldPosition="0">
        <references count="1">
          <reference field="4294967294" count="1">
            <x v="1"/>
          </reference>
        </references>
      </pivotArea>
    </format>
    <format dxfId="16">
      <pivotArea dataOnly="0" labelOnly="1" outline="0" fieldPosition="0">
        <references count="2">
          <reference field="4294967294" count="1">
            <x v="0"/>
          </reference>
          <reference field="5" count="1" selected="0">
            <x v="0"/>
          </reference>
        </references>
      </pivotArea>
    </format>
    <format dxfId="15">
      <pivotArea dataOnly="0" labelOnly="1" outline="0" fieldPosition="0">
        <references count="2">
          <reference field="4294967294" count="1">
            <x v="1"/>
          </reference>
          <reference field="5" count="1" selected="0">
            <x v="0"/>
          </reference>
        </references>
      </pivotArea>
    </format>
    <format dxfId="14">
      <pivotArea dataOnly="0" labelOnly="1" outline="0" fieldPosition="0">
        <references count="2">
          <reference field="4294967294" count="1">
            <x v="0"/>
          </reference>
          <reference field="5" count="1" selected="0">
            <x v="1"/>
          </reference>
        </references>
      </pivotArea>
    </format>
    <format dxfId="13">
      <pivotArea dataOnly="0" labelOnly="1" outline="0" fieldPosition="0">
        <references count="2">
          <reference field="4294967294" count="1">
            <x v="1"/>
          </reference>
          <reference field="5" count="1" selected="0">
            <x v="1"/>
          </reference>
        </references>
      </pivotArea>
    </format>
    <format dxfId="12">
      <pivotArea dataOnly="0" labelOnly="1" outline="0" fieldPosition="0">
        <references count="2">
          <reference field="4294967294" count="1">
            <x v="0"/>
          </reference>
          <reference field="5" count="1" selected="0">
            <x v="2"/>
          </reference>
        </references>
      </pivotArea>
    </format>
    <format dxfId="11">
      <pivotArea dataOnly="0" labelOnly="1" outline="0" fieldPosition="0">
        <references count="2">
          <reference field="4294967294" count="1">
            <x v="1"/>
          </reference>
          <reference field="5" count="1" selected="0">
            <x v="2"/>
          </reference>
        </references>
      </pivotArea>
    </format>
    <format dxfId="10">
      <pivotArea field="5" dataOnly="0" labelOnly="1" grandCol="1" outline="0" axis="axisCol" fieldPosition="0">
        <references count="1">
          <reference field="4294967294" count="1" selected="0">
            <x v="0"/>
          </reference>
        </references>
      </pivotArea>
    </format>
    <format dxfId="9">
      <pivotArea field="5" dataOnly="0" labelOnly="1" grandCol="1" outline="0" axis="axisCol" fieldPosition="0">
        <references count="1">
          <reference field="4294967294" count="1" selected="0">
            <x v="1"/>
          </reference>
        </references>
      </pivotArea>
    </format>
    <format dxfId="8">
      <pivotArea dataOnly="0" labelOnly="1" fieldPosition="0">
        <references count="1">
          <reference field="6" count="1">
            <x v="0"/>
          </reference>
        </references>
      </pivotArea>
    </format>
    <format dxfId="7">
      <pivotArea dataOnly="0" labelOnly="1" fieldPosition="0">
        <references count="1">
          <reference field="6" count="1">
            <x v="1"/>
          </reference>
        </references>
      </pivotArea>
    </format>
    <format dxfId="6">
      <pivotArea dataOnly="0" labelOnly="1" fieldPosition="0">
        <references count="1">
          <reference field="6" count="1">
            <x v="2"/>
          </reference>
        </references>
      </pivotArea>
    </format>
    <format dxfId="5">
      <pivotArea dataOnly="0" labelOnly="1" fieldPosition="0">
        <references count="1">
          <reference field="6" count="1">
            <x v="3"/>
          </reference>
        </references>
      </pivotArea>
    </format>
    <format dxfId="4">
      <pivotArea dataOnly="0" labelOnly="1" fieldPosition="0">
        <references count="1">
          <reference field="6" count="1">
            <x v="4"/>
          </reference>
        </references>
      </pivotArea>
    </format>
    <format dxfId="3">
      <pivotArea field="5" grandRow="1" outline="0" collapsedLevelsAreSubtotals="1" axis="axisCol" fieldPosition="0">
        <references count="2">
          <reference field="4294967294" count="1" selected="0">
            <x v="0"/>
          </reference>
          <reference field="5" count="1" selected="0">
            <x v="0"/>
          </reference>
        </references>
      </pivotArea>
    </format>
    <format dxfId="2">
      <pivotArea field="5" grandRow="1" outline="0" collapsedLevelsAreSubtotals="1" axis="axisCol" fieldPosition="0">
        <references count="2">
          <reference field="4294967294" count="1" selected="0">
            <x v="0"/>
          </reference>
          <reference field="5" count="1" selected="0">
            <x v="1"/>
          </reference>
        </references>
      </pivotArea>
    </format>
    <format dxfId="1">
      <pivotArea grandRow="1" grandCol="1" outline="0" collapsedLevelsAreSubtotals="1" fieldPosition="0">
        <references count="1">
          <reference field="4294967294" count="1" selected="0">
            <x v="0"/>
          </reference>
        </references>
      </pivotArea>
    </format>
    <format dxfId="0">
      <pivotArea grandRow="1" grandCol="1"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xo" xr10:uid="{BB8465D2-34C4-4A9D-8420-2EB0ABF702B8}" sourceName="Sexo">
  <pivotTables>
    <pivotTable tabId="18" name="TablaDinámica6"/>
  </pivotTables>
  <data>
    <tabular pivotCacheId="1493314132">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IPO_DE_CONSULTA" xr10:uid="{E0D7A038-652C-49F9-BED9-7AD4BEDF8824}" sourceName="TIPO DE CONSULTA">
  <pivotTables>
    <pivotTable tabId="18" name="TablaDinámica6"/>
  </pivotTables>
  <data>
    <tabular pivotCacheId="1493314132">
      <items count="6">
        <i x="1" s="1"/>
        <i x="3"/>
        <i x="0"/>
        <i x="2"/>
        <i x="4"/>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pecialidad" xr10:uid="{EA8AB32F-B602-4D9F-8380-E703810C2FEC}" sourceName="Especialidad">
  <pivotTables>
    <pivotTable tabId="18" name="TablaDinámica6"/>
  </pivotTables>
  <data>
    <tabular pivotCacheId="1493314132">
      <items count="18">
        <i x="11" s="1"/>
        <i x="9" s="1"/>
        <i x="8" s="1"/>
        <i x="3" s="1"/>
        <i x="10" s="1"/>
        <i x="15" s="1"/>
        <i x="1" s="1"/>
        <i x="14" s="1"/>
        <i x="7" s="1"/>
        <i x="5" s="1"/>
        <i x="2" s="1"/>
        <i x="6" s="1"/>
        <i x="4" s="1" nd="1"/>
        <i x="0" s="1" nd="1"/>
        <i x="13" s="1" nd="1"/>
        <i x="16" s="1" nd="1"/>
        <i x="12" s="1" nd="1"/>
        <i x="1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o" xr10:uid="{DE84A7C6-0FBF-4DC5-ADCF-28A7EE7B363A}" cache="SegmentaciónDeDatos_Sexo" caption="Sexo" rowHeight="241300"/>
  <slicer name="TIPO DE CONSULTA" xr10:uid="{CEF0BE38-8193-44BB-B165-EF03DE135A69}" cache="SegmentaciónDeDatos_TIPO_DE_CONSULTA" caption="TIPO DE CONSULTA" rowHeight="241300"/>
  <slicer name="Especialidad" xr10:uid="{32771576-E640-4ACB-84CB-7F050ACC50AE}" cache="SegmentaciónDeDatos_Especialidad" caption="Especialidad" rowHeight="241300"/>
</slicer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FechaNacimiento" xr10:uid="{990E94F8-2C40-4751-AABC-D27DEB2204EE}" sourceName="FechaNacimiento">
  <pivotTables>
    <pivotTable tabId="18" name="TablaDinámica6"/>
  </pivotTables>
  <state minimalRefreshVersion="6" lastRefreshVersion="6" pivotCacheId="1493314132" filterType="unknown">
    <bounds startDate="2003-01-01T00:00:00" endDate="201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echaNacimiento" xr10:uid="{00CA37D8-DF3C-49A1-ADD0-F979A72B1768}" cache="NativeTimeline_FechaNacimiento" caption="FechaNacimiento" level="2" selectionLevel="2" scrollPosition="2009-05-29T00:00:00"/>
</timeline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C54E7-C813-4818-A845-C416AF0C603B}">
  <dimension ref="A1:P3"/>
  <sheetViews>
    <sheetView workbookViewId="0">
      <selection activeCell="H7" sqref="H7"/>
    </sheetView>
  </sheetViews>
  <sheetFormatPr baseColWidth="10" defaultRowHeight="15" x14ac:dyDescent="0.25"/>
  <sheetData>
    <row r="1" spans="1:16" ht="14.25" customHeight="1" x14ac:dyDescent="0.25">
      <c r="A1" s="89" t="s">
        <v>679</v>
      </c>
      <c r="B1" s="89"/>
      <c r="C1" s="89"/>
      <c r="D1" s="89"/>
      <c r="E1" s="89"/>
      <c r="F1" s="89"/>
      <c r="G1" s="89"/>
      <c r="H1" s="89"/>
      <c r="I1" s="89"/>
      <c r="J1" s="89"/>
      <c r="K1" s="89"/>
      <c r="L1" s="89"/>
      <c r="M1" s="89"/>
      <c r="N1" s="89"/>
      <c r="O1" s="89"/>
      <c r="P1" s="89"/>
    </row>
    <row r="2" spans="1:16" x14ac:dyDescent="0.25">
      <c r="A2" t="s">
        <v>680</v>
      </c>
    </row>
    <row r="3" spans="1:16" x14ac:dyDescent="0.25">
      <c r="A3" s="22" t="s">
        <v>681</v>
      </c>
      <c r="B3" s="90" t="s">
        <v>706</v>
      </c>
      <c r="C3" s="90"/>
      <c r="D3" s="90"/>
      <c r="E3" s="90"/>
      <c r="F3" s="90"/>
      <c r="G3" s="90"/>
      <c r="H3" s="90"/>
    </row>
  </sheetData>
  <mergeCells count="2">
    <mergeCell ref="A1:P1"/>
    <mergeCell ref="B3:H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9AFD4-F29F-49F8-A20B-3C4FCE8B0CDE}">
  <dimension ref="A1:P7"/>
  <sheetViews>
    <sheetView workbookViewId="0">
      <selection activeCell="A6" sqref="A6:P6"/>
    </sheetView>
  </sheetViews>
  <sheetFormatPr baseColWidth="10" defaultRowHeight="15" x14ac:dyDescent="0.25"/>
  <cols>
    <col min="9" max="9" width="26.42578125" bestFit="1" customWidth="1"/>
    <col min="16" max="16" width="50" customWidth="1"/>
  </cols>
  <sheetData>
    <row r="1" spans="1:16" ht="26.25" x14ac:dyDescent="0.4">
      <c r="A1" s="96" t="s">
        <v>668</v>
      </c>
      <c r="B1" s="96"/>
      <c r="C1" s="96"/>
      <c r="D1" s="96"/>
      <c r="E1" s="96"/>
      <c r="F1" s="96"/>
      <c r="G1" s="96"/>
      <c r="H1" s="96"/>
      <c r="I1" s="96"/>
      <c r="J1" s="96"/>
      <c r="K1" s="96"/>
      <c r="L1" s="96"/>
      <c r="M1" s="96"/>
      <c r="N1" s="96"/>
      <c r="O1" s="96"/>
      <c r="P1" s="96"/>
    </row>
    <row r="3" spans="1:16" x14ac:dyDescent="0.25">
      <c r="A3" s="99" t="s">
        <v>669</v>
      </c>
      <c r="B3" s="99"/>
      <c r="C3" s="99"/>
      <c r="D3" s="99"/>
      <c r="E3" s="99"/>
      <c r="F3" s="99"/>
      <c r="G3" s="99"/>
      <c r="H3" s="99"/>
      <c r="I3" s="99"/>
      <c r="J3" s="99"/>
      <c r="K3" s="99"/>
      <c r="L3" s="99"/>
      <c r="M3" s="99"/>
      <c r="N3" s="99"/>
      <c r="O3" s="99"/>
      <c r="P3" s="99"/>
    </row>
    <row r="4" spans="1:16" ht="13.5" customHeight="1" x14ac:dyDescent="0.25">
      <c r="A4" s="99" t="s">
        <v>670</v>
      </c>
      <c r="B4" s="99"/>
      <c r="C4" s="99"/>
      <c r="D4" s="99"/>
      <c r="E4" s="99"/>
      <c r="F4" s="99"/>
      <c r="G4" s="99"/>
      <c r="H4" s="99"/>
      <c r="I4" s="99"/>
      <c r="J4" s="99"/>
      <c r="K4" s="99"/>
      <c r="L4" s="99"/>
      <c r="M4" s="99"/>
      <c r="N4" s="99"/>
      <c r="O4" s="99"/>
      <c r="P4" s="99"/>
    </row>
    <row r="5" spans="1:16" ht="41.25" customHeight="1" x14ac:dyDescent="0.25">
      <c r="A5" s="91" t="s">
        <v>699</v>
      </c>
      <c r="B5" s="91"/>
      <c r="C5" s="91"/>
      <c r="D5" s="91"/>
      <c r="E5" s="91"/>
      <c r="F5" s="91"/>
      <c r="G5" s="91"/>
      <c r="H5" s="91"/>
      <c r="I5" s="91"/>
      <c r="J5" s="91"/>
      <c r="K5" s="91"/>
      <c r="L5" s="91"/>
      <c r="M5" s="91"/>
      <c r="N5" s="91"/>
      <c r="O5" s="91"/>
      <c r="P5" s="91"/>
    </row>
    <row r="6" spans="1:16" ht="16.5" customHeight="1" x14ac:dyDescent="0.25">
      <c r="A6" s="100" t="s">
        <v>700</v>
      </c>
      <c r="B6" s="100"/>
      <c r="C6" s="100"/>
      <c r="D6" s="100"/>
      <c r="E6" s="100"/>
      <c r="F6" s="100"/>
      <c r="G6" s="100"/>
      <c r="H6" s="100"/>
      <c r="I6" s="100"/>
      <c r="J6" s="100"/>
      <c r="K6" s="100"/>
      <c r="L6" s="100"/>
      <c r="M6" s="100"/>
      <c r="N6" s="100"/>
      <c r="O6" s="100"/>
      <c r="P6" s="100"/>
    </row>
    <row r="7" spans="1:16" ht="27.75" customHeight="1" x14ac:dyDescent="0.25">
      <c r="A7" s="99" t="s">
        <v>701</v>
      </c>
      <c r="B7" s="99"/>
      <c r="C7" s="99"/>
      <c r="D7" s="99"/>
      <c r="E7" s="99"/>
      <c r="F7" s="99"/>
      <c r="G7" s="99"/>
      <c r="H7" s="99"/>
      <c r="I7" s="99"/>
      <c r="J7" s="99"/>
      <c r="K7" s="99"/>
      <c r="L7" s="99"/>
      <c r="M7" s="99"/>
      <c r="N7" s="99"/>
      <c r="O7" s="99"/>
      <c r="P7" s="99"/>
    </row>
  </sheetData>
  <mergeCells count="6">
    <mergeCell ref="A7:P7"/>
    <mergeCell ref="A1:P1"/>
    <mergeCell ref="A3:P3"/>
    <mergeCell ref="A4:P4"/>
    <mergeCell ref="A5:P5"/>
    <mergeCell ref="A6:P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18845-51BA-4BB5-943B-A6A1E4B4FCB8}">
  <dimension ref="A1:C7"/>
  <sheetViews>
    <sheetView workbookViewId="0">
      <selection activeCell="E1" sqref="E1"/>
    </sheetView>
  </sheetViews>
  <sheetFormatPr baseColWidth="10" defaultRowHeight="15" x14ac:dyDescent="0.25"/>
  <cols>
    <col min="1" max="1" width="17.5703125" bestFit="1" customWidth="1"/>
    <col min="2" max="2" width="27.7109375" bestFit="1" customWidth="1"/>
    <col min="3" max="3" width="28.7109375" bestFit="1" customWidth="1"/>
  </cols>
  <sheetData>
    <row r="1" spans="1:3" x14ac:dyDescent="0.25">
      <c r="A1" t="s">
        <v>744</v>
      </c>
    </row>
    <row r="3" spans="1:3" x14ac:dyDescent="0.25">
      <c r="A3" s="73" t="s">
        <v>735</v>
      </c>
      <c r="B3" t="s">
        <v>738</v>
      </c>
      <c r="C3" t="s">
        <v>739</v>
      </c>
    </row>
    <row r="4" spans="1:3" x14ac:dyDescent="0.25">
      <c r="A4" s="49" t="s">
        <v>1</v>
      </c>
      <c r="B4" s="75">
        <v>0.47565543071161048</v>
      </c>
      <c r="C4" s="74">
        <v>127</v>
      </c>
    </row>
    <row r="5" spans="1:3" x14ac:dyDescent="0.25">
      <c r="A5" s="49" t="s">
        <v>3</v>
      </c>
      <c r="B5" s="75">
        <v>0.52434456928838946</v>
      </c>
      <c r="C5" s="74">
        <v>140</v>
      </c>
    </row>
    <row r="6" spans="1:3" x14ac:dyDescent="0.25">
      <c r="A6" s="49" t="s">
        <v>736</v>
      </c>
      <c r="B6" s="75">
        <v>0</v>
      </c>
      <c r="C6" s="74"/>
    </row>
    <row r="7" spans="1:3" x14ac:dyDescent="0.25">
      <c r="A7" s="49" t="s">
        <v>737</v>
      </c>
      <c r="B7" s="75">
        <v>1</v>
      </c>
      <c r="C7" s="74">
        <v>267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17736-D4CD-409D-8BE2-1B5E63CE0543}">
  <dimension ref="A1:E15"/>
  <sheetViews>
    <sheetView workbookViewId="0">
      <selection activeCell="C4" sqref="C4"/>
    </sheetView>
  </sheetViews>
  <sheetFormatPr baseColWidth="10" defaultRowHeight="15" x14ac:dyDescent="0.25"/>
  <cols>
    <col min="1" max="1" width="19.28515625" customWidth="1"/>
    <col min="2" max="2" width="14.7109375" bestFit="1" customWidth="1"/>
    <col min="3" max="3" width="15.7109375" bestFit="1" customWidth="1"/>
    <col min="4" max="4" width="17" customWidth="1"/>
    <col min="5" max="5" width="13.28515625" customWidth="1"/>
  </cols>
  <sheetData>
    <row r="1" spans="1:5" x14ac:dyDescent="0.25">
      <c r="A1" t="s">
        <v>745</v>
      </c>
    </row>
    <row r="3" spans="1:5" ht="30" x14ac:dyDescent="0.25">
      <c r="A3" s="77" t="s">
        <v>735</v>
      </c>
      <c r="B3" s="77" t="s">
        <v>740</v>
      </c>
      <c r="C3" s="77" t="s">
        <v>741</v>
      </c>
      <c r="D3" s="79" t="s">
        <v>742</v>
      </c>
      <c r="E3" s="79" t="s">
        <v>743</v>
      </c>
    </row>
    <row r="4" spans="1:5" x14ac:dyDescent="0.25">
      <c r="A4" s="80">
        <v>11</v>
      </c>
      <c r="B4" s="81">
        <v>2</v>
      </c>
      <c r="C4" s="82">
        <v>7.4906367041198503E-3</v>
      </c>
      <c r="D4" s="18">
        <f>GETPIVOTDATA("Cuenta de Sexo",$A$3,"Edad",11)</f>
        <v>2</v>
      </c>
      <c r="E4" s="82">
        <f>GETPIVOTDATA("Cuenta de Sexo2",$A$3,"Edad",11)</f>
        <v>7.4906367041198503E-3</v>
      </c>
    </row>
    <row r="5" spans="1:5" x14ac:dyDescent="0.25">
      <c r="A5" s="80">
        <v>12</v>
      </c>
      <c r="B5" s="81">
        <v>35</v>
      </c>
      <c r="C5" s="82">
        <v>0.13108614232209737</v>
      </c>
      <c r="D5" s="18">
        <f>D4+GETPIVOTDATA("Cuenta de Sexo",$A$3,"Edad",12)</f>
        <v>37</v>
      </c>
      <c r="E5" s="82">
        <f>E4+GETPIVOTDATA("Cuenta de Sexo2",$A$3,"Edad",12)</f>
        <v>0.13857677902621721</v>
      </c>
    </row>
    <row r="6" spans="1:5" x14ac:dyDescent="0.25">
      <c r="A6" s="80">
        <v>13</v>
      </c>
      <c r="B6" s="81">
        <v>66</v>
      </c>
      <c r="C6" s="82">
        <v>0.24719101123595505</v>
      </c>
      <c r="D6" s="18">
        <f>D5+GETPIVOTDATA("Cuenta de Sexo",$A$3,"Edad",13)</f>
        <v>103</v>
      </c>
      <c r="E6" s="82">
        <f>E5+GETPIVOTDATA("Cuenta de Sexo2",$A$3,"Edad",13)</f>
        <v>0.38576779026217223</v>
      </c>
    </row>
    <row r="7" spans="1:5" x14ac:dyDescent="0.25">
      <c r="A7" s="80">
        <v>14</v>
      </c>
      <c r="B7" s="81">
        <v>56</v>
      </c>
      <c r="C7" s="82">
        <v>0.20973782771535582</v>
      </c>
      <c r="D7" s="18">
        <f>D6+GETPIVOTDATA("Cuenta de Sexo",$A$3,"Edad",14)</f>
        <v>159</v>
      </c>
      <c r="E7" s="82">
        <f>E6+GETPIVOTDATA("Cuenta de Sexo2",$A$3,"Edad",14)</f>
        <v>0.59550561797752799</v>
      </c>
    </row>
    <row r="8" spans="1:5" x14ac:dyDescent="0.25">
      <c r="A8" s="80">
        <v>15</v>
      </c>
      <c r="B8" s="81">
        <v>52</v>
      </c>
      <c r="C8" s="82">
        <v>0.19475655430711611</v>
      </c>
      <c r="D8" s="18">
        <f>D7+GETPIVOTDATA("Cuenta de Sexo",$A$3,"Edad",15)</f>
        <v>211</v>
      </c>
      <c r="E8" s="82">
        <f>E7+GETPIVOTDATA("Cuenta de Sexo2",$A$3,"Edad",15)</f>
        <v>0.79026217228464413</v>
      </c>
    </row>
    <row r="9" spans="1:5" x14ac:dyDescent="0.25">
      <c r="A9" s="80">
        <v>16</v>
      </c>
      <c r="B9" s="81">
        <v>41</v>
      </c>
      <c r="C9" s="82">
        <v>0.15355805243445692</v>
      </c>
      <c r="D9" s="18">
        <f>D8+GETPIVOTDATA("Cuenta de Sexo",$A$3,"Edad",16)</f>
        <v>252</v>
      </c>
      <c r="E9" s="82">
        <f>E8+GETPIVOTDATA("Cuenta de Sexo2",$A$3,"Edad",16)</f>
        <v>0.94382022471910099</v>
      </c>
    </row>
    <row r="10" spans="1:5" x14ac:dyDescent="0.25">
      <c r="A10" s="80">
        <v>17</v>
      </c>
      <c r="B10" s="81">
        <v>15</v>
      </c>
      <c r="C10" s="82">
        <v>5.6179775280898875E-2</v>
      </c>
      <c r="D10" s="18">
        <f>D9+GETPIVOTDATA("Cuenta de Sexo",$A$3,"Edad",17)</f>
        <v>267</v>
      </c>
      <c r="E10" s="82">
        <f>E9+GETPIVOTDATA("Cuenta de Sexo2",$A$3,"Edad",17)</f>
        <v>0.99999999999999989</v>
      </c>
    </row>
    <row r="11" spans="1:5" x14ac:dyDescent="0.25">
      <c r="A11" s="83" t="s">
        <v>737</v>
      </c>
      <c r="B11" s="84">
        <v>267</v>
      </c>
      <c r="C11" s="85">
        <v>1</v>
      </c>
      <c r="D11" s="77"/>
      <c r="E11" s="77"/>
    </row>
    <row r="13" spans="1:5" x14ac:dyDescent="0.25">
      <c r="A13" s="77" t="s">
        <v>746</v>
      </c>
      <c r="B13" s="18">
        <f>MIN(B4:B10)</f>
        <v>2</v>
      </c>
    </row>
    <row r="14" spans="1:5" x14ac:dyDescent="0.25">
      <c r="A14" s="77" t="s">
        <v>747</v>
      </c>
      <c r="B14" s="78">
        <f>AVERAGE(B4:B10)</f>
        <v>38.142857142857146</v>
      </c>
    </row>
    <row r="15" spans="1:5" x14ac:dyDescent="0.25">
      <c r="A15" s="77" t="s">
        <v>748</v>
      </c>
      <c r="B15" s="78">
        <f>STDEVA(B4:B10)</f>
        <v>22.901445161303478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E947E-B372-402F-A0AE-02C4005622DA}">
  <dimension ref="A1:G41"/>
  <sheetViews>
    <sheetView workbookViewId="0">
      <selection activeCell="B17" sqref="B17"/>
    </sheetView>
  </sheetViews>
  <sheetFormatPr baseColWidth="10" defaultRowHeight="15" x14ac:dyDescent="0.25"/>
  <cols>
    <col min="1" max="1" width="27.7109375" bestFit="1" customWidth="1"/>
    <col min="2" max="2" width="27.140625" bestFit="1" customWidth="1"/>
    <col min="3" max="3" width="28.5703125" bestFit="1" customWidth="1"/>
    <col min="4" max="4" width="16.28515625" bestFit="1" customWidth="1"/>
    <col min="5" max="5" width="18.85546875" bestFit="1" customWidth="1"/>
    <col min="6" max="6" width="20" customWidth="1"/>
    <col min="7" max="8" width="12.5703125" bestFit="1" customWidth="1"/>
  </cols>
  <sheetData>
    <row r="1" spans="1:7" x14ac:dyDescent="0.25">
      <c r="A1" t="s">
        <v>749</v>
      </c>
    </row>
    <row r="3" spans="1:7" x14ac:dyDescent="0.25">
      <c r="A3" s="73" t="s">
        <v>738</v>
      </c>
      <c r="B3" s="73" t="s">
        <v>750</v>
      </c>
    </row>
    <row r="4" spans="1:7" ht="60" x14ac:dyDescent="0.25">
      <c r="A4" s="73" t="s">
        <v>735</v>
      </c>
      <c r="B4" s="76" t="s">
        <v>29</v>
      </c>
      <c r="C4" s="76" t="s">
        <v>45</v>
      </c>
      <c r="D4" s="76" t="s">
        <v>26</v>
      </c>
      <c r="E4" s="76" t="s">
        <v>35</v>
      </c>
      <c r="F4" s="76" t="s">
        <v>55</v>
      </c>
      <c r="G4" t="s">
        <v>737</v>
      </c>
    </row>
    <row r="5" spans="1:7" x14ac:dyDescent="0.25">
      <c r="A5" s="49">
        <v>1</v>
      </c>
      <c r="B5" s="74">
        <v>4</v>
      </c>
      <c r="C5" s="74">
        <v>5</v>
      </c>
      <c r="D5" s="74">
        <v>6</v>
      </c>
      <c r="E5" s="74">
        <v>10</v>
      </c>
      <c r="F5" s="74"/>
      <c r="G5" s="74">
        <v>25</v>
      </c>
    </row>
    <row r="6" spans="1:7" x14ac:dyDescent="0.25">
      <c r="A6" s="86" t="s">
        <v>1</v>
      </c>
      <c r="B6" s="74">
        <v>3</v>
      </c>
      <c r="C6" s="74"/>
      <c r="D6" s="74">
        <v>6</v>
      </c>
      <c r="E6" s="74">
        <v>7</v>
      </c>
      <c r="F6" s="74"/>
      <c r="G6" s="74">
        <v>16</v>
      </c>
    </row>
    <row r="7" spans="1:7" x14ac:dyDescent="0.25">
      <c r="A7" s="86" t="s">
        <v>3</v>
      </c>
      <c r="B7" s="74">
        <v>1</v>
      </c>
      <c r="C7" s="74">
        <v>5</v>
      </c>
      <c r="D7" s="74"/>
      <c r="E7" s="74">
        <v>3</v>
      </c>
      <c r="F7" s="74"/>
      <c r="G7" s="74">
        <v>9</v>
      </c>
    </row>
    <row r="8" spans="1:7" x14ac:dyDescent="0.25">
      <c r="A8" s="49">
        <v>2</v>
      </c>
      <c r="B8" s="74">
        <v>8</v>
      </c>
      <c r="C8" s="74">
        <v>2</v>
      </c>
      <c r="D8" s="74">
        <v>1</v>
      </c>
      <c r="E8" s="74">
        <v>7</v>
      </c>
      <c r="F8" s="74"/>
      <c r="G8" s="74">
        <v>18</v>
      </c>
    </row>
    <row r="9" spans="1:7" x14ac:dyDescent="0.25">
      <c r="A9" s="86" t="s">
        <v>1</v>
      </c>
      <c r="B9" s="74">
        <v>5</v>
      </c>
      <c r="C9" s="74">
        <v>1</v>
      </c>
      <c r="D9" s="74">
        <v>1</v>
      </c>
      <c r="E9" s="74">
        <v>3</v>
      </c>
      <c r="F9" s="74"/>
      <c r="G9" s="74">
        <v>10</v>
      </c>
    </row>
    <row r="10" spans="1:7" x14ac:dyDescent="0.25">
      <c r="A10" s="86" t="s">
        <v>3</v>
      </c>
      <c r="B10" s="74">
        <v>3</v>
      </c>
      <c r="C10" s="74">
        <v>1</v>
      </c>
      <c r="D10" s="74"/>
      <c r="E10" s="74">
        <v>4</v>
      </c>
      <c r="F10" s="74"/>
      <c r="G10" s="74">
        <v>8</v>
      </c>
    </row>
    <row r="11" spans="1:7" x14ac:dyDescent="0.25">
      <c r="A11" s="49">
        <v>3</v>
      </c>
      <c r="B11" s="74">
        <v>3</v>
      </c>
      <c r="C11" s="74">
        <v>1</v>
      </c>
      <c r="D11" s="74">
        <v>1</v>
      </c>
      <c r="E11" s="74">
        <v>9</v>
      </c>
      <c r="F11" s="74"/>
      <c r="G11" s="74">
        <v>14</v>
      </c>
    </row>
    <row r="12" spans="1:7" x14ac:dyDescent="0.25">
      <c r="A12" s="86" t="s">
        <v>1</v>
      </c>
      <c r="B12" s="74">
        <v>3</v>
      </c>
      <c r="C12" s="74"/>
      <c r="D12" s="74"/>
      <c r="E12" s="74">
        <v>5</v>
      </c>
      <c r="F12" s="74"/>
      <c r="G12" s="74">
        <v>8</v>
      </c>
    </row>
    <row r="13" spans="1:7" x14ac:dyDescent="0.25">
      <c r="A13" s="86" t="s">
        <v>3</v>
      </c>
      <c r="B13" s="74"/>
      <c r="C13" s="74">
        <v>1</v>
      </c>
      <c r="D13" s="74">
        <v>1</v>
      </c>
      <c r="E13" s="74">
        <v>4</v>
      </c>
      <c r="F13" s="74"/>
      <c r="G13" s="74">
        <v>6</v>
      </c>
    </row>
    <row r="14" spans="1:7" x14ac:dyDescent="0.25">
      <c r="A14" s="49">
        <v>4</v>
      </c>
      <c r="B14" s="74">
        <v>8</v>
      </c>
      <c r="C14" s="74"/>
      <c r="D14" s="74">
        <v>10</v>
      </c>
      <c r="E14" s="74">
        <v>3</v>
      </c>
      <c r="F14" s="74"/>
      <c r="G14" s="74">
        <v>21</v>
      </c>
    </row>
    <row r="15" spans="1:7" x14ac:dyDescent="0.25">
      <c r="A15" s="86" t="s">
        <v>1</v>
      </c>
      <c r="B15" s="74">
        <v>3</v>
      </c>
      <c r="C15" s="74"/>
      <c r="D15" s="74">
        <v>7</v>
      </c>
      <c r="E15" s="74">
        <v>1</v>
      </c>
      <c r="F15" s="74"/>
      <c r="G15" s="74">
        <v>11</v>
      </c>
    </row>
    <row r="16" spans="1:7" x14ac:dyDescent="0.25">
      <c r="A16" s="86" t="s">
        <v>3</v>
      </c>
      <c r="B16" s="74">
        <v>5</v>
      </c>
      <c r="C16" s="74"/>
      <c r="D16" s="74">
        <v>3</v>
      </c>
      <c r="E16" s="74">
        <v>2</v>
      </c>
      <c r="F16" s="74"/>
      <c r="G16" s="74">
        <v>10</v>
      </c>
    </row>
    <row r="17" spans="1:7" x14ac:dyDescent="0.25">
      <c r="A17" s="49">
        <v>5</v>
      </c>
      <c r="B17" s="74">
        <v>8</v>
      </c>
      <c r="C17" s="74">
        <v>6</v>
      </c>
      <c r="D17" s="74">
        <v>7</v>
      </c>
      <c r="E17" s="74">
        <v>8</v>
      </c>
      <c r="F17" s="74"/>
      <c r="G17" s="74">
        <v>29</v>
      </c>
    </row>
    <row r="18" spans="1:7" x14ac:dyDescent="0.25">
      <c r="A18" s="86" t="s">
        <v>1</v>
      </c>
      <c r="B18" s="74">
        <v>4</v>
      </c>
      <c r="C18" s="74">
        <v>1</v>
      </c>
      <c r="D18" s="74">
        <v>4</v>
      </c>
      <c r="E18" s="74">
        <v>3</v>
      </c>
      <c r="F18" s="74"/>
      <c r="G18" s="74">
        <v>12</v>
      </c>
    </row>
    <row r="19" spans="1:7" x14ac:dyDescent="0.25">
      <c r="A19" s="86" t="s">
        <v>3</v>
      </c>
      <c r="B19" s="74">
        <v>4</v>
      </c>
      <c r="C19" s="74">
        <v>5</v>
      </c>
      <c r="D19" s="74">
        <v>3</v>
      </c>
      <c r="E19" s="74">
        <v>5</v>
      </c>
      <c r="F19" s="74"/>
      <c r="G19" s="74">
        <v>17</v>
      </c>
    </row>
    <row r="20" spans="1:7" x14ac:dyDescent="0.25">
      <c r="A20" s="49">
        <v>6</v>
      </c>
      <c r="B20" s="74">
        <v>5</v>
      </c>
      <c r="C20" s="74">
        <v>6</v>
      </c>
      <c r="D20" s="74">
        <v>4</v>
      </c>
      <c r="E20" s="74">
        <v>7</v>
      </c>
      <c r="F20" s="74"/>
      <c r="G20" s="74">
        <v>22</v>
      </c>
    </row>
    <row r="21" spans="1:7" x14ac:dyDescent="0.25">
      <c r="A21" s="86" t="s">
        <v>1</v>
      </c>
      <c r="B21" s="74">
        <v>3</v>
      </c>
      <c r="C21" s="74"/>
      <c r="D21" s="74">
        <v>2</v>
      </c>
      <c r="E21" s="74">
        <v>5</v>
      </c>
      <c r="F21" s="74"/>
      <c r="G21" s="74">
        <v>10</v>
      </c>
    </row>
    <row r="22" spans="1:7" x14ac:dyDescent="0.25">
      <c r="A22" s="86" t="s">
        <v>3</v>
      </c>
      <c r="B22" s="74">
        <v>2</v>
      </c>
      <c r="C22" s="74">
        <v>6</v>
      </c>
      <c r="D22" s="74">
        <v>2</v>
      </c>
      <c r="E22" s="74">
        <v>2</v>
      </c>
      <c r="F22" s="74"/>
      <c r="G22" s="74">
        <v>12</v>
      </c>
    </row>
    <row r="23" spans="1:7" x14ac:dyDescent="0.25">
      <c r="A23" s="49">
        <v>7</v>
      </c>
      <c r="B23" s="74">
        <v>7</v>
      </c>
      <c r="C23" s="74">
        <v>2</v>
      </c>
      <c r="D23" s="74">
        <v>7</v>
      </c>
      <c r="E23" s="74">
        <v>8</v>
      </c>
      <c r="F23" s="74"/>
      <c r="G23" s="74">
        <v>24</v>
      </c>
    </row>
    <row r="24" spans="1:7" x14ac:dyDescent="0.25">
      <c r="A24" s="86" t="s">
        <v>1</v>
      </c>
      <c r="B24" s="74">
        <v>4</v>
      </c>
      <c r="C24" s="74"/>
      <c r="D24" s="74">
        <v>3</v>
      </c>
      <c r="E24" s="74">
        <v>2</v>
      </c>
      <c r="F24" s="74"/>
      <c r="G24" s="74">
        <v>9</v>
      </c>
    </row>
    <row r="25" spans="1:7" x14ac:dyDescent="0.25">
      <c r="A25" s="86" t="s">
        <v>3</v>
      </c>
      <c r="B25" s="74">
        <v>3</v>
      </c>
      <c r="C25" s="74">
        <v>2</v>
      </c>
      <c r="D25" s="74">
        <v>4</v>
      </c>
      <c r="E25" s="74">
        <v>6</v>
      </c>
      <c r="F25" s="74"/>
      <c r="G25" s="74">
        <v>15</v>
      </c>
    </row>
    <row r="26" spans="1:7" x14ac:dyDescent="0.25">
      <c r="A26" s="49">
        <v>8</v>
      </c>
      <c r="B26" s="74">
        <v>9</v>
      </c>
      <c r="C26" s="74">
        <v>4</v>
      </c>
      <c r="D26" s="74">
        <v>6</v>
      </c>
      <c r="E26" s="74">
        <v>6</v>
      </c>
      <c r="F26" s="74"/>
      <c r="G26" s="74">
        <v>25</v>
      </c>
    </row>
    <row r="27" spans="1:7" x14ac:dyDescent="0.25">
      <c r="A27" s="86" t="s">
        <v>1</v>
      </c>
      <c r="B27" s="74">
        <v>6</v>
      </c>
      <c r="C27" s="74">
        <v>1</v>
      </c>
      <c r="D27" s="74">
        <v>3</v>
      </c>
      <c r="E27" s="74">
        <v>3</v>
      </c>
      <c r="F27" s="74"/>
      <c r="G27" s="74">
        <v>13</v>
      </c>
    </row>
    <row r="28" spans="1:7" x14ac:dyDescent="0.25">
      <c r="A28" s="86" t="s">
        <v>3</v>
      </c>
      <c r="B28" s="74">
        <v>3</v>
      </c>
      <c r="C28" s="74">
        <v>3</v>
      </c>
      <c r="D28" s="74">
        <v>3</v>
      </c>
      <c r="E28" s="74">
        <v>3</v>
      </c>
      <c r="F28" s="74"/>
      <c r="G28" s="74">
        <v>12</v>
      </c>
    </row>
    <row r="29" spans="1:7" x14ac:dyDescent="0.25">
      <c r="A29" s="49">
        <v>9</v>
      </c>
      <c r="B29" s="74">
        <v>5</v>
      </c>
      <c r="C29" s="74">
        <v>1</v>
      </c>
      <c r="D29" s="74">
        <v>6</v>
      </c>
      <c r="E29" s="74">
        <v>13</v>
      </c>
      <c r="F29" s="74"/>
      <c r="G29" s="74">
        <v>25</v>
      </c>
    </row>
    <row r="30" spans="1:7" x14ac:dyDescent="0.25">
      <c r="A30" s="86" t="s">
        <v>1</v>
      </c>
      <c r="B30" s="74">
        <v>3</v>
      </c>
      <c r="C30" s="74">
        <v>1</v>
      </c>
      <c r="D30" s="74">
        <v>1</v>
      </c>
      <c r="E30" s="74">
        <v>7</v>
      </c>
      <c r="F30" s="74"/>
      <c r="G30" s="74">
        <v>12</v>
      </c>
    </row>
    <row r="31" spans="1:7" x14ac:dyDescent="0.25">
      <c r="A31" s="86" t="s">
        <v>3</v>
      </c>
      <c r="B31" s="74">
        <v>2</v>
      </c>
      <c r="C31" s="74"/>
      <c r="D31" s="74">
        <v>5</v>
      </c>
      <c r="E31" s="74">
        <v>6</v>
      </c>
      <c r="F31" s="74"/>
      <c r="G31" s="74">
        <v>13</v>
      </c>
    </row>
    <row r="32" spans="1:7" x14ac:dyDescent="0.25">
      <c r="A32" s="49">
        <v>10</v>
      </c>
      <c r="B32" s="74">
        <v>8</v>
      </c>
      <c r="C32" s="74">
        <v>3</v>
      </c>
      <c r="D32" s="74">
        <v>4</v>
      </c>
      <c r="E32" s="74">
        <v>5</v>
      </c>
      <c r="F32" s="74"/>
      <c r="G32" s="74">
        <v>20</v>
      </c>
    </row>
    <row r="33" spans="1:7" x14ac:dyDescent="0.25">
      <c r="A33" s="86" t="s">
        <v>1</v>
      </c>
      <c r="B33" s="74">
        <v>3</v>
      </c>
      <c r="C33" s="74">
        <v>3</v>
      </c>
      <c r="D33" s="74">
        <v>2</v>
      </c>
      <c r="E33" s="74">
        <v>2</v>
      </c>
      <c r="F33" s="74"/>
      <c r="G33" s="74">
        <v>10</v>
      </c>
    </row>
    <row r="34" spans="1:7" x14ac:dyDescent="0.25">
      <c r="A34" s="86" t="s">
        <v>3</v>
      </c>
      <c r="B34" s="74">
        <v>5</v>
      </c>
      <c r="C34" s="74"/>
      <c r="D34" s="74">
        <v>2</v>
      </c>
      <c r="E34" s="74">
        <v>3</v>
      </c>
      <c r="F34" s="74"/>
      <c r="G34" s="74">
        <v>10</v>
      </c>
    </row>
    <row r="35" spans="1:7" x14ac:dyDescent="0.25">
      <c r="A35" s="49">
        <v>11</v>
      </c>
      <c r="B35" s="74">
        <v>5</v>
      </c>
      <c r="C35" s="74">
        <v>2</v>
      </c>
      <c r="D35" s="74">
        <v>1</v>
      </c>
      <c r="E35" s="74">
        <v>6</v>
      </c>
      <c r="F35" s="74"/>
      <c r="G35" s="74">
        <v>14</v>
      </c>
    </row>
    <row r="36" spans="1:7" x14ac:dyDescent="0.25">
      <c r="A36" s="86" t="s">
        <v>1</v>
      </c>
      <c r="B36" s="74">
        <v>1</v>
      </c>
      <c r="C36" s="74"/>
      <c r="D36" s="74">
        <v>1</v>
      </c>
      <c r="E36" s="74">
        <v>1</v>
      </c>
      <c r="F36" s="74"/>
      <c r="G36" s="74">
        <v>3</v>
      </c>
    </row>
    <row r="37" spans="1:7" x14ac:dyDescent="0.25">
      <c r="A37" s="86" t="s">
        <v>3</v>
      </c>
      <c r="B37" s="74">
        <v>4</v>
      </c>
      <c r="C37" s="74">
        <v>2</v>
      </c>
      <c r="D37" s="74"/>
      <c r="E37" s="74">
        <v>5</v>
      </c>
      <c r="F37" s="74"/>
      <c r="G37" s="74">
        <v>11</v>
      </c>
    </row>
    <row r="38" spans="1:7" x14ac:dyDescent="0.25">
      <c r="A38" s="49">
        <v>12</v>
      </c>
      <c r="B38" s="74">
        <v>9</v>
      </c>
      <c r="C38" s="74"/>
      <c r="D38" s="74">
        <v>10</v>
      </c>
      <c r="E38" s="74">
        <v>10</v>
      </c>
      <c r="F38" s="74">
        <v>1</v>
      </c>
      <c r="G38" s="74">
        <v>30</v>
      </c>
    </row>
    <row r="39" spans="1:7" x14ac:dyDescent="0.25">
      <c r="A39" s="86" t="s">
        <v>1</v>
      </c>
      <c r="B39" s="74">
        <v>3</v>
      </c>
      <c r="C39" s="74"/>
      <c r="D39" s="74">
        <v>6</v>
      </c>
      <c r="E39" s="74">
        <v>3</v>
      </c>
      <c r="F39" s="74">
        <v>1</v>
      </c>
      <c r="G39" s="74">
        <v>13</v>
      </c>
    </row>
    <row r="40" spans="1:7" x14ac:dyDescent="0.25">
      <c r="A40" s="86" t="s">
        <v>3</v>
      </c>
      <c r="B40" s="74">
        <v>6</v>
      </c>
      <c r="C40" s="74"/>
      <c r="D40" s="74">
        <v>4</v>
      </c>
      <c r="E40" s="74">
        <v>7</v>
      </c>
      <c r="F40" s="74"/>
      <c r="G40" s="74">
        <v>17</v>
      </c>
    </row>
    <row r="41" spans="1:7" x14ac:dyDescent="0.25">
      <c r="A41" s="49" t="s">
        <v>737</v>
      </c>
      <c r="B41" s="74">
        <v>79</v>
      </c>
      <c r="C41" s="74">
        <v>32</v>
      </c>
      <c r="D41" s="74">
        <v>63</v>
      </c>
      <c r="E41" s="74">
        <v>92</v>
      </c>
      <c r="F41" s="74">
        <v>1</v>
      </c>
      <c r="G41" s="74">
        <v>267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59D0A-F440-4908-8FF1-F493C8F3E2A1}">
  <dimension ref="A1:B16"/>
  <sheetViews>
    <sheetView workbookViewId="0">
      <selection activeCell="A4" sqref="A4"/>
    </sheetView>
  </sheetViews>
  <sheetFormatPr baseColWidth="10" defaultRowHeight="15" x14ac:dyDescent="0.25"/>
  <cols>
    <col min="1" max="1" width="17.5703125" bestFit="1" customWidth="1"/>
    <col min="2" max="2" width="14.28515625" bestFit="1" customWidth="1"/>
  </cols>
  <sheetData>
    <row r="1" spans="1:2" x14ac:dyDescent="0.25">
      <c r="A1" t="s">
        <v>751</v>
      </c>
    </row>
    <row r="3" spans="1:2" x14ac:dyDescent="0.25">
      <c r="A3" s="73" t="s">
        <v>735</v>
      </c>
      <c r="B3" t="s">
        <v>752</v>
      </c>
    </row>
    <row r="4" spans="1:2" x14ac:dyDescent="0.25">
      <c r="A4" s="49">
        <v>1</v>
      </c>
      <c r="B4" s="74">
        <v>4</v>
      </c>
    </row>
    <row r="5" spans="1:2" x14ac:dyDescent="0.25">
      <c r="A5" s="49">
        <v>2</v>
      </c>
      <c r="B5" s="74">
        <v>8</v>
      </c>
    </row>
    <row r="6" spans="1:2" x14ac:dyDescent="0.25">
      <c r="A6" s="49">
        <v>3</v>
      </c>
      <c r="B6" s="74">
        <v>3</v>
      </c>
    </row>
    <row r="7" spans="1:2" x14ac:dyDescent="0.25">
      <c r="A7" s="49">
        <v>4</v>
      </c>
      <c r="B7" s="74">
        <v>8</v>
      </c>
    </row>
    <row r="8" spans="1:2" x14ac:dyDescent="0.25">
      <c r="A8" s="49">
        <v>5</v>
      </c>
      <c r="B8" s="74">
        <v>8</v>
      </c>
    </row>
    <row r="9" spans="1:2" x14ac:dyDescent="0.25">
      <c r="A9" s="49">
        <v>6</v>
      </c>
      <c r="B9" s="74">
        <v>5</v>
      </c>
    </row>
    <row r="10" spans="1:2" x14ac:dyDescent="0.25">
      <c r="A10" s="49">
        <v>7</v>
      </c>
      <c r="B10" s="74">
        <v>7</v>
      </c>
    </row>
    <row r="11" spans="1:2" x14ac:dyDescent="0.25">
      <c r="A11" s="49">
        <v>8</v>
      </c>
      <c r="B11" s="74">
        <v>9</v>
      </c>
    </row>
    <row r="12" spans="1:2" x14ac:dyDescent="0.25">
      <c r="A12" s="49">
        <v>9</v>
      </c>
      <c r="B12" s="74">
        <v>5</v>
      </c>
    </row>
    <row r="13" spans="1:2" x14ac:dyDescent="0.25">
      <c r="A13" s="49">
        <v>10</v>
      </c>
      <c r="B13" s="74">
        <v>8</v>
      </c>
    </row>
    <row r="14" spans="1:2" x14ac:dyDescent="0.25">
      <c r="A14" s="49">
        <v>11</v>
      </c>
      <c r="B14" s="74">
        <v>5</v>
      </c>
    </row>
    <row r="15" spans="1:2" x14ac:dyDescent="0.25">
      <c r="A15" s="49">
        <v>12</v>
      </c>
      <c r="B15" s="74">
        <v>9</v>
      </c>
    </row>
    <row r="16" spans="1:2" x14ac:dyDescent="0.25">
      <c r="A16" s="49" t="s">
        <v>737</v>
      </c>
      <c r="B16" s="74">
        <v>79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41882-B0E8-4F65-9D83-3363D3E5C75A}">
  <dimension ref="A1:P12"/>
  <sheetViews>
    <sheetView topLeftCell="A10" workbookViewId="0">
      <selection activeCell="B29" sqref="B29"/>
    </sheetView>
  </sheetViews>
  <sheetFormatPr baseColWidth="10" defaultRowHeight="15" x14ac:dyDescent="0.25"/>
  <cols>
    <col min="1" max="1" width="36.140625" customWidth="1"/>
    <col min="2" max="2" width="19.28515625" customWidth="1"/>
    <col min="3" max="3" width="24.85546875" customWidth="1"/>
    <col min="4" max="4" width="23" customWidth="1"/>
    <col min="5" max="5" width="21.28515625" customWidth="1"/>
    <col min="6" max="6" width="13.85546875" customWidth="1"/>
    <col min="7" max="7" width="17.7109375" customWidth="1"/>
    <col min="8" max="8" width="28.7109375" customWidth="1"/>
    <col min="9" max="9" width="17.5703125" customWidth="1"/>
  </cols>
  <sheetData>
    <row r="1" spans="1:16" x14ac:dyDescent="0.25">
      <c r="A1" s="91" t="s">
        <v>699</v>
      </c>
      <c r="B1" s="91"/>
      <c r="C1" s="91"/>
      <c r="D1" s="91"/>
      <c r="E1" s="91"/>
      <c r="F1" s="91"/>
      <c r="G1" s="91"/>
      <c r="H1" s="91"/>
      <c r="I1" s="91"/>
      <c r="J1" s="91"/>
      <c r="K1" s="91"/>
      <c r="L1" s="91"/>
      <c r="M1" s="91"/>
      <c r="N1" s="91"/>
      <c r="O1" s="91"/>
      <c r="P1" s="91"/>
    </row>
    <row r="3" spans="1:16" x14ac:dyDescent="0.25">
      <c r="B3" s="73" t="s">
        <v>750</v>
      </c>
    </row>
    <row r="4" spans="1:16" ht="60" x14ac:dyDescent="0.25">
      <c r="B4" t="s">
        <v>1</v>
      </c>
      <c r="D4" t="s">
        <v>3</v>
      </c>
      <c r="F4" t="s">
        <v>736</v>
      </c>
      <c r="H4" s="76" t="s">
        <v>754</v>
      </c>
      <c r="I4" s="76" t="s">
        <v>755</v>
      </c>
    </row>
    <row r="5" spans="1:16" ht="60" x14ac:dyDescent="0.25">
      <c r="A5" s="73" t="s">
        <v>735</v>
      </c>
      <c r="B5" s="76" t="s">
        <v>753</v>
      </c>
      <c r="C5" s="76" t="s">
        <v>756</v>
      </c>
      <c r="D5" s="76" t="s">
        <v>753</v>
      </c>
      <c r="E5" s="76" t="s">
        <v>756</v>
      </c>
      <c r="F5" s="76" t="s">
        <v>753</v>
      </c>
      <c r="G5" s="76" t="s">
        <v>756</v>
      </c>
    </row>
    <row r="6" spans="1:16" ht="30" x14ac:dyDescent="0.25">
      <c r="A6" s="50" t="s">
        <v>29</v>
      </c>
      <c r="B6" s="87">
        <v>1497858.1</v>
      </c>
      <c r="C6" s="75">
        <v>0.29327753222540415</v>
      </c>
      <c r="D6" s="87">
        <v>530.14712420360297</v>
      </c>
      <c r="E6" s="75">
        <v>0.27153064019571366</v>
      </c>
      <c r="F6" s="87"/>
      <c r="G6" s="75" t="e">
        <v>#DIV/0!</v>
      </c>
      <c r="H6" s="87">
        <v>1498388.2471242037</v>
      </c>
      <c r="I6" s="75">
        <v>0.2932692219217371</v>
      </c>
    </row>
    <row r="7" spans="1:16" ht="30" x14ac:dyDescent="0.25">
      <c r="A7" s="50" t="s">
        <v>45</v>
      </c>
      <c r="B7" s="87">
        <v>133580.5</v>
      </c>
      <c r="C7" s="75">
        <v>2.6154786887646834E-2</v>
      </c>
      <c r="D7" s="87">
        <v>347.59860852164798</v>
      </c>
      <c r="E7" s="75">
        <v>0.1780329806462824</v>
      </c>
      <c r="F7" s="87"/>
      <c r="G7" s="75" t="e">
        <v>#DIV/0!</v>
      </c>
      <c r="H7" s="87">
        <v>133928.09860852166</v>
      </c>
      <c r="I7" s="75">
        <v>2.6212825245901104E-2</v>
      </c>
    </row>
    <row r="8" spans="1:16" ht="30" x14ac:dyDescent="0.25">
      <c r="A8" s="50" t="s">
        <v>26</v>
      </c>
      <c r="B8" s="87">
        <v>1489085.1000000006</v>
      </c>
      <c r="C8" s="75">
        <v>0.29155979688704781</v>
      </c>
      <c r="D8" s="87">
        <v>376.03290696276537</v>
      </c>
      <c r="E8" s="75">
        <v>0.19259645351399041</v>
      </c>
      <c r="F8" s="87"/>
      <c r="G8" s="75" t="e">
        <v>#DIV/0!</v>
      </c>
      <c r="H8" s="87">
        <v>1489461.1329069634</v>
      </c>
      <c r="I8" s="75">
        <v>0.29152197927917012</v>
      </c>
    </row>
    <row r="9" spans="1:16" ht="30" x14ac:dyDescent="0.25">
      <c r="A9" s="50" t="s">
        <v>35</v>
      </c>
      <c r="B9" s="87">
        <v>1979184.2000000002</v>
      </c>
      <c r="C9" s="75">
        <v>0.38752019166268875</v>
      </c>
      <c r="D9" s="87">
        <v>698.66077496325079</v>
      </c>
      <c r="E9" s="75">
        <v>0.35783992564401357</v>
      </c>
      <c r="F9" s="87"/>
      <c r="G9" s="75" t="e">
        <v>#DIV/0!</v>
      </c>
      <c r="H9" s="87">
        <v>1979882.8607749634</v>
      </c>
      <c r="I9" s="75">
        <v>0.38750884971905841</v>
      </c>
    </row>
    <row r="10" spans="1:16" x14ac:dyDescent="0.25">
      <c r="A10" s="50" t="s">
        <v>55</v>
      </c>
      <c r="B10" s="87">
        <v>7598.0999999999995</v>
      </c>
      <c r="C10" s="75">
        <v>1.4876923372126125E-3</v>
      </c>
      <c r="D10" s="87"/>
      <c r="E10" s="75">
        <v>0</v>
      </c>
      <c r="F10" s="87"/>
      <c r="G10" s="75" t="e">
        <v>#DIV/0!</v>
      </c>
      <c r="H10" s="87">
        <v>7598.0999999999995</v>
      </c>
      <c r="I10" s="75">
        <v>1.4871238341332533E-3</v>
      </c>
    </row>
    <row r="11" spans="1:16" x14ac:dyDescent="0.25">
      <c r="A11" s="49" t="s">
        <v>736</v>
      </c>
      <c r="B11" s="74"/>
      <c r="C11" s="75">
        <v>0</v>
      </c>
      <c r="D11" s="74"/>
      <c r="E11" s="75">
        <v>0</v>
      </c>
      <c r="F11" s="74"/>
      <c r="G11" s="75" t="e">
        <v>#DIV/0!</v>
      </c>
      <c r="H11" s="74"/>
      <c r="I11" s="75">
        <v>0</v>
      </c>
    </row>
    <row r="12" spans="1:16" x14ac:dyDescent="0.25">
      <c r="A12" s="49" t="s">
        <v>737</v>
      </c>
      <c r="B12" s="87">
        <v>5107306</v>
      </c>
      <c r="C12" s="75">
        <v>1</v>
      </c>
      <c r="D12" s="87">
        <v>1952.439414651267</v>
      </c>
      <c r="E12" s="75">
        <v>1</v>
      </c>
      <c r="F12" s="74"/>
      <c r="G12" s="75" t="e">
        <v>#DIV/0!</v>
      </c>
      <c r="H12" s="88">
        <v>5109258.4394146521</v>
      </c>
      <c r="I12" s="75">
        <v>1</v>
      </c>
    </row>
  </sheetData>
  <mergeCells count="1">
    <mergeCell ref="A1:P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71"/>
  <sheetViews>
    <sheetView tabSelected="1" topLeftCell="E1" zoomScale="70" zoomScaleNormal="70" workbookViewId="0">
      <selection activeCell="L2" sqref="L2"/>
    </sheetView>
  </sheetViews>
  <sheetFormatPr baseColWidth="10" defaultColWidth="22.140625" defaultRowHeight="15" x14ac:dyDescent="0.25"/>
  <cols>
    <col min="1" max="1" width="17.85546875" customWidth="1"/>
    <col min="2" max="2" width="35.5703125" customWidth="1"/>
    <col min="3" max="3" width="19" customWidth="1"/>
    <col min="5" max="5" width="12.42578125" customWidth="1"/>
    <col min="6" max="6" width="13.5703125" customWidth="1"/>
    <col min="7" max="7" width="56.28515625" customWidth="1"/>
    <col min="8" max="8" width="28.5703125" style="1" customWidth="1"/>
    <col min="9" max="9" width="22.140625" customWidth="1"/>
    <col min="10" max="10" width="22.140625" style="18"/>
    <col min="12" max="12" width="30.7109375" customWidth="1"/>
    <col min="13" max="13" width="25.140625" customWidth="1"/>
  </cols>
  <sheetData>
    <row r="1" spans="1:13" ht="26.25" x14ac:dyDescent="0.25">
      <c r="A1" s="2" t="s">
        <v>20</v>
      </c>
      <c r="B1" s="2" t="s">
        <v>704</v>
      </c>
      <c r="C1" s="2" t="s">
        <v>506</v>
      </c>
      <c r="D1" s="2" t="s">
        <v>16</v>
      </c>
      <c r="E1" s="2" t="s">
        <v>17</v>
      </c>
      <c r="F1" s="2" t="s">
        <v>18</v>
      </c>
      <c r="G1" s="2" t="s">
        <v>19</v>
      </c>
      <c r="H1" s="9" t="s">
        <v>21</v>
      </c>
      <c r="I1" s="25" t="s">
        <v>22</v>
      </c>
      <c r="J1" s="4" t="s">
        <v>705</v>
      </c>
      <c r="K1" s="43" t="s">
        <v>724</v>
      </c>
      <c r="L1" s="71" t="s">
        <v>732</v>
      </c>
    </row>
    <row r="2" spans="1:13" x14ac:dyDescent="0.25">
      <c r="A2" s="7">
        <v>37967</v>
      </c>
      <c r="B2" s="7" t="str">
        <f>PROPER(CONCATENATE(Datos_paciente!C2," ",Datos_paciente!A2," ",Datos_paciente!B2,""))</f>
        <v>Valentina  Sanchez Saldarriaga</v>
      </c>
      <c r="C2" s="5" t="s">
        <v>25</v>
      </c>
      <c r="D2" s="8" t="s">
        <v>507</v>
      </c>
      <c r="E2" s="8">
        <f t="shared" ref="E2:E33" ca="1" si="0">INT((TODAY()-A2)/365)</f>
        <v>17</v>
      </c>
      <c r="F2" s="5" t="s">
        <v>1</v>
      </c>
      <c r="G2" s="5" t="s">
        <v>26</v>
      </c>
      <c r="H2" s="10" t="s">
        <v>27</v>
      </c>
      <c r="I2" s="26">
        <v>32927</v>
      </c>
      <c r="J2" s="27">
        <f ca="1">I2-(IF(F2="F",(IF(E2&lt;18,I2*0.05,IF(E2&lt;34,I2*0.1,IF(E2&gt;62,I2*0.5,0)))),IF(F2="M",IF(E2&gt;65,I2*0.3,0),0)))</f>
        <v>31280.65</v>
      </c>
      <c r="K2" s="72">
        <f>MONTH(A2)</f>
        <v>12</v>
      </c>
      <c r="L2" s="10">
        <f ca="1">IF(F2="F",IF(E2&gt;AVERAGEIF(F2:F268,"F",E2:E268),I2*0.3,I2),AVERAGEIF(F2:F268,"M",E2:E268))</f>
        <v>9878.1</v>
      </c>
      <c r="M2">
        <v>14.08029197080292</v>
      </c>
    </row>
    <row r="3" spans="1:13" x14ac:dyDescent="0.25">
      <c r="A3" s="7">
        <v>37964</v>
      </c>
      <c r="B3" s="7" t="str">
        <f>PROPER(CONCATENATE(Datos_paciente!C3," ",Datos_paciente!A3," ",Datos_paciente!B3,""))</f>
        <v>Santiago  Alvarez Giraldo</v>
      </c>
      <c r="C3" s="5" t="s">
        <v>25</v>
      </c>
      <c r="D3" s="8" t="s">
        <v>508</v>
      </c>
      <c r="E3" s="8">
        <f t="shared" ca="1" si="0"/>
        <v>17</v>
      </c>
      <c r="F3" s="5" t="s">
        <v>3</v>
      </c>
      <c r="G3" s="5" t="s">
        <v>29</v>
      </c>
      <c r="H3" s="11" t="s">
        <v>667</v>
      </c>
      <c r="I3" s="26">
        <v>48602</v>
      </c>
      <c r="J3" s="27">
        <f t="shared" ref="J3:J65" ca="1" si="1">I3-(IF(F3="F",(IF(E3&lt;18,I3*0.05,IF(E3&lt;34,I3*0.1,IF(E3&gt;62,I3*0.5,0)))),IF(F3="M",IF(E3&gt;65,I3*0.3,0),0)))</f>
        <v>48602</v>
      </c>
      <c r="K3" s="72">
        <f t="shared" ref="K3:K66" si="2">MONTH(A3)</f>
        <v>12</v>
      </c>
      <c r="L3" s="10">
        <f ca="1">IF(F3="F",IF(E3&gt;AVERAGEIF(F3:F269,"F",E3:E269),I3*0.3,I3),AVERAGEIF(F3:F269,"M",E3:E269))</f>
        <v>14.178571428571429</v>
      </c>
    </row>
    <row r="4" spans="1:13" x14ac:dyDescent="0.25">
      <c r="A4" s="7">
        <v>37961</v>
      </c>
      <c r="B4" s="7" t="str">
        <f>PROPER(CONCATENATE(Datos_paciente!C4," ",Datos_paciente!A4," ",Datos_paciente!B4,""))</f>
        <v>Maria Isabel Arroyave Arredondo</v>
      </c>
      <c r="C4" s="5" t="s">
        <v>25</v>
      </c>
      <c r="D4" s="8" t="s">
        <v>509</v>
      </c>
      <c r="E4" s="8">
        <f t="shared" ca="1" si="0"/>
        <v>17</v>
      </c>
      <c r="F4" s="5" t="s">
        <v>1</v>
      </c>
      <c r="G4" s="5" t="s">
        <v>29</v>
      </c>
      <c r="H4" s="10" t="s">
        <v>32</v>
      </c>
      <c r="I4" s="26">
        <v>46232</v>
      </c>
      <c r="J4" s="27">
        <f t="shared" ca="1" si="1"/>
        <v>43920.4</v>
      </c>
      <c r="K4" s="72">
        <f t="shared" si="2"/>
        <v>12</v>
      </c>
      <c r="L4" s="10">
        <f t="shared" ref="L4:L66" ca="1" si="3">IF(F4="F",IF(E4&gt;AVERAGEIF(F4:F270,"F",E4:E270),I4*0.3,I4),AVERAGEIF(F4:F270,"M",E4:E270))</f>
        <v>13869.6</v>
      </c>
    </row>
    <row r="5" spans="1:13" x14ac:dyDescent="0.25">
      <c r="A5" s="7">
        <v>37960</v>
      </c>
      <c r="B5" s="7" t="str">
        <f>PROPER(CONCATENATE(Datos_paciente!C5," ",Datos_paciente!A5," ",Datos_paciente!B5,""))</f>
        <v>Johnatan  Pulgarin Gomez</v>
      </c>
      <c r="C5" s="5" t="s">
        <v>25</v>
      </c>
      <c r="D5" s="8" t="s">
        <v>510</v>
      </c>
      <c r="E5" s="8">
        <f t="shared" ca="1" si="0"/>
        <v>17</v>
      </c>
      <c r="F5" s="5" t="s">
        <v>3</v>
      </c>
      <c r="G5" s="5" t="s">
        <v>35</v>
      </c>
      <c r="H5" s="10" t="s">
        <v>36</v>
      </c>
      <c r="I5" s="26">
        <v>24550</v>
      </c>
      <c r="J5" s="27">
        <f t="shared" ca="1" si="1"/>
        <v>24550</v>
      </c>
      <c r="K5" s="72">
        <f t="shared" si="2"/>
        <v>12</v>
      </c>
      <c r="L5" s="10">
        <f t="shared" ca="1" si="3"/>
        <v>14.158273381294965</v>
      </c>
    </row>
    <row r="6" spans="1:13" x14ac:dyDescent="0.25">
      <c r="A6" s="7">
        <v>37955</v>
      </c>
      <c r="B6" s="7" t="str">
        <f>PROPER(CONCATENATE(Datos_paciente!C6," ",Datos_paciente!A6," ",Datos_paciente!B6,""))</f>
        <v>Julian Andres Ochoa Londo?O</v>
      </c>
      <c r="C6" s="5" t="s">
        <v>25</v>
      </c>
      <c r="D6" s="8" t="s">
        <v>511</v>
      </c>
      <c r="E6" s="8">
        <f t="shared" ca="1" si="0"/>
        <v>17</v>
      </c>
      <c r="F6" s="5" t="s">
        <v>3</v>
      </c>
      <c r="G6" s="5" t="s">
        <v>35</v>
      </c>
      <c r="H6" s="10" t="s">
        <v>36</v>
      </c>
      <c r="I6" s="26">
        <v>28497</v>
      </c>
      <c r="J6" s="27">
        <f t="shared" ca="1" si="1"/>
        <v>28497</v>
      </c>
      <c r="K6" s="72">
        <f t="shared" si="2"/>
        <v>11</v>
      </c>
      <c r="L6" s="10">
        <f t="shared" ca="1" si="3"/>
        <v>14.137681159420289</v>
      </c>
    </row>
    <row r="7" spans="1:13" x14ac:dyDescent="0.25">
      <c r="A7" s="7">
        <v>37952</v>
      </c>
      <c r="B7" s="7" t="str">
        <f>PROPER(CONCATENATE(Datos_paciente!C7," ",Datos_paciente!A7," ",Datos_paciente!B7,""))</f>
        <v>Samuel  Duarte Burgos</v>
      </c>
      <c r="C7" s="5" t="s">
        <v>25</v>
      </c>
      <c r="D7" s="8" t="s">
        <v>512</v>
      </c>
      <c r="E7" s="8">
        <f t="shared" ca="1" si="0"/>
        <v>17</v>
      </c>
      <c r="F7" s="5" t="s">
        <v>3</v>
      </c>
      <c r="G7" s="5" t="s">
        <v>35</v>
      </c>
      <c r="H7" s="10" t="s">
        <v>36</v>
      </c>
      <c r="I7" s="26">
        <v>16646</v>
      </c>
      <c r="J7" s="27">
        <f t="shared" ca="1" si="1"/>
        <v>16646</v>
      </c>
      <c r="K7" s="72">
        <f t="shared" si="2"/>
        <v>11</v>
      </c>
      <c r="L7" s="10">
        <f t="shared" ca="1" si="3"/>
        <v>14.116788321167883</v>
      </c>
    </row>
    <row r="8" spans="1:13" x14ac:dyDescent="0.25">
      <c r="A8" s="7">
        <v>37950</v>
      </c>
      <c r="B8" s="7" t="str">
        <f>PROPER(CONCATENATE(Datos_paciente!C8," ",Datos_paciente!A8," ",Datos_paciente!B8,""))</f>
        <v>Sebastian  Velez Perez</v>
      </c>
      <c r="C8" s="5" t="s">
        <v>25</v>
      </c>
      <c r="D8" s="8" t="s">
        <v>513</v>
      </c>
      <c r="E8" s="8">
        <f t="shared" ca="1" si="0"/>
        <v>17</v>
      </c>
      <c r="F8" s="5" t="s">
        <v>3</v>
      </c>
      <c r="G8" s="5" t="s">
        <v>35</v>
      </c>
      <c r="H8" s="10" t="s">
        <v>36</v>
      </c>
      <c r="I8" s="26">
        <v>22305</v>
      </c>
      <c r="J8" s="27">
        <f t="shared" ca="1" si="1"/>
        <v>22305</v>
      </c>
      <c r="K8" s="72">
        <f t="shared" si="2"/>
        <v>11</v>
      </c>
      <c r="L8" s="10">
        <f t="shared" ca="1" si="3"/>
        <v>14.095588235294118</v>
      </c>
    </row>
    <row r="9" spans="1:13" x14ac:dyDescent="0.25">
      <c r="A9" s="7">
        <v>37949</v>
      </c>
      <c r="B9" s="7" t="str">
        <f>PROPER(CONCATENATE(Datos_paciente!C9," ",Datos_paciente!A9," ",Datos_paciente!B9,""))</f>
        <v>David Alejandro Ortiz Tobon</v>
      </c>
      <c r="C9" s="5" t="s">
        <v>25</v>
      </c>
      <c r="D9" s="8" t="s">
        <v>514</v>
      </c>
      <c r="E9" s="8">
        <f t="shared" ca="1" si="0"/>
        <v>17</v>
      </c>
      <c r="F9" s="5" t="s">
        <v>3</v>
      </c>
      <c r="G9" s="5" t="s">
        <v>45</v>
      </c>
      <c r="H9" s="10" t="s">
        <v>46</v>
      </c>
      <c r="I9" s="26">
        <v>45267</v>
      </c>
      <c r="J9" s="27">
        <f t="shared" ca="1" si="1"/>
        <v>45267</v>
      </c>
      <c r="K9" s="72">
        <f t="shared" si="2"/>
        <v>11</v>
      </c>
      <c r="L9" s="10">
        <f t="shared" ca="1" si="3"/>
        <v>14.074074074074074</v>
      </c>
    </row>
    <row r="10" spans="1:13" x14ac:dyDescent="0.25">
      <c r="A10" s="7">
        <v>37935</v>
      </c>
      <c r="B10" s="7" t="str">
        <f>PROPER(CONCATENATE(Datos_paciente!C10," ",Datos_paciente!A10," ",Datos_paciente!B10,""))</f>
        <v>Miguel Angel Ciro Parra</v>
      </c>
      <c r="C10" s="5" t="s">
        <v>25</v>
      </c>
      <c r="D10" s="8" t="s">
        <v>515</v>
      </c>
      <c r="E10" s="8">
        <f t="shared" ca="1" si="0"/>
        <v>17</v>
      </c>
      <c r="F10" s="5" t="s">
        <v>3</v>
      </c>
      <c r="G10" s="5" t="s">
        <v>29</v>
      </c>
      <c r="H10" s="10" t="s">
        <v>32</v>
      </c>
      <c r="I10" s="26">
        <v>26538</v>
      </c>
      <c r="J10" s="27">
        <f t="shared" ca="1" si="1"/>
        <v>26538</v>
      </c>
      <c r="K10" s="72">
        <f t="shared" si="2"/>
        <v>11</v>
      </c>
      <c r="L10" s="10">
        <f t="shared" ca="1" si="3"/>
        <v>14.052238805970148</v>
      </c>
    </row>
    <row r="11" spans="1:13" x14ac:dyDescent="0.25">
      <c r="A11" s="7">
        <v>37910</v>
      </c>
      <c r="B11" s="7" t="str">
        <f>PROPER(CONCATENATE(Datos_paciente!C11," ",Datos_paciente!A11," ",Datos_paciente!B11,""))</f>
        <v>Manuela  Calle Perez</v>
      </c>
      <c r="C11" s="5" t="s">
        <v>25</v>
      </c>
      <c r="D11" s="8" t="s">
        <v>516</v>
      </c>
      <c r="E11" s="8">
        <f t="shared" ca="1" si="0"/>
        <v>17</v>
      </c>
      <c r="F11" s="5" t="s">
        <v>1</v>
      </c>
      <c r="G11" s="5" t="s">
        <v>45</v>
      </c>
      <c r="H11" s="10" t="s">
        <v>50</v>
      </c>
      <c r="I11" s="26">
        <v>18595</v>
      </c>
      <c r="J11" s="27">
        <f t="shared" ca="1" si="1"/>
        <v>17665.25</v>
      </c>
      <c r="K11" s="72">
        <f t="shared" si="2"/>
        <v>10</v>
      </c>
      <c r="L11" s="10">
        <f t="shared" ca="1" si="3"/>
        <v>5578.5</v>
      </c>
    </row>
    <row r="12" spans="1:13" x14ac:dyDescent="0.25">
      <c r="A12" s="7">
        <v>37902</v>
      </c>
      <c r="B12" s="7" t="str">
        <f>PROPER(CONCATENATE(Datos_paciente!C12," ",Datos_paciente!A12," ",Datos_paciente!B12,""))</f>
        <v>Miguel Angel Sarabia Fernandez</v>
      </c>
      <c r="C12" s="5" t="s">
        <v>25</v>
      </c>
      <c r="D12" s="8" t="s">
        <v>517</v>
      </c>
      <c r="E12" s="8">
        <f t="shared" ca="1" si="0"/>
        <v>17</v>
      </c>
      <c r="F12" s="5" t="s">
        <v>3</v>
      </c>
      <c r="G12" s="5" t="s">
        <v>29</v>
      </c>
      <c r="H12" s="10" t="s">
        <v>52</v>
      </c>
      <c r="I12" s="26">
        <v>57236</v>
      </c>
      <c r="J12" s="27">
        <f t="shared" ca="1" si="1"/>
        <v>57236</v>
      </c>
      <c r="K12" s="72">
        <f t="shared" si="2"/>
        <v>10</v>
      </c>
      <c r="L12" s="10">
        <f t="shared" ca="1" si="3"/>
        <v>14.030075187969924</v>
      </c>
    </row>
    <row r="13" spans="1:13" x14ac:dyDescent="0.25">
      <c r="A13" s="7">
        <v>37975</v>
      </c>
      <c r="B13" s="7" t="str">
        <f>PROPER(CONCATENATE(Datos_paciente!C13," ",Datos_paciente!A13," ",Datos_paciente!B13,""))</f>
        <v>Susana  Gil Yarce</v>
      </c>
      <c r="C13" s="5" t="s">
        <v>25</v>
      </c>
      <c r="D13" s="8" t="s">
        <v>518</v>
      </c>
      <c r="E13" s="8">
        <f t="shared" ca="1" si="0"/>
        <v>17</v>
      </c>
      <c r="F13" s="5" t="s">
        <v>1</v>
      </c>
      <c r="G13" s="5" t="s">
        <v>55</v>
      </c>
      <c r="H13" s="10" t="s">
        <v>50</v>
      </c>
      <c r="I13" s="26">
        <v>25327</v>
      </c>
      <c r="J13" s="27">
        <f t="shared" ca="1" si="1"/>
        <v>24060.65</v>
      </c>
      <c r="K13" s="72">
        <f t="shared" si="2"/>
        <v>12</v>
      </c>
      <c r="L13" s="10">
        <f t="shared" ca="1" si="3"/>
        <v>7598.0999999999995</v>
      </c>
    </row>
    <row r="14" spans="1:13" x14ac:dyDescent="0.25">
      <c r="A14" s="7">
        <v>38164</v>
      </c>
      <c r="B14" s="7" t="str">
        <f>PROPER(CONCATENATE(Datos_paciente!C14," ",Datos_paciente!A14," ",Datos_paciente!B14,""))</f>
        <v>Mariana  Londo?O Grajales</v>
      </c>
      <c r="C14" s="5" t="s">
        <v>25</v>
      </c>
      <c r="D14" s="8" t="s">
        <v>56</v>
      </c>
      <c r="E14" s="8">
        <f t="shared" ca="1" si="0"/>
        <v>16</v>
      </c>
      <c r="F14" s="5" t="s">
        <v>1</v>
      </c>
      <c r="G14" s="5" t="s">
        <v>35</v>
      </c>
      <c r="H14" s="10" t="s">
        <v>36</v>
      </c>
      <c r="I14" s="26">
        <v>16772</v>
      </c>
      <c r="J14" s="27">
        <f t="shared" ca="1" si="1"/>
        <v>15933.4</v>
      </c>
      <c r="K14" s="72">
        <f t="shared" si="2"/>
        <v>6</v>
      </c>
      <c r="L14" s="10">
        <f t="shared" ca="1" si="3"/>
        <v>5031.5999999999995</v>
      </c>
    </row>
    <row r="15" spans="1:13" x14ac:dyDescent="0.25">
      <c r="A15" s="7">
        <v>38088</v>
      </c>
      <c r="B15" s="7" t="str">
        <f>PROPER(CONCATENATE(Datos_paciente!C15," ",Datos_paciente!A15," ",Datos_paciente!B15,""))</f>
        <v>Maria Del Mar Alvarez Ruiz</v>
      </c>
      <c r="C15" s="5" t="s">
        <v>25</v>
      </c>
      <c r="D15" s="8" t="s">
        <v>58</v>
      </c>
      <c r="E15" s="8">
        <f t="shared" ca="1" si="0"/>
        <v>16</v>
      </c>
      <c r="F15" s="5" t="s">
        <v>1</v>
      </c>
      <c r="G15" s="5" t="s">
        <v>29</v>
      </c>
      <c r="H15" s="10" t="s">
        <v>32</v>
      </c>
      <c r="I15" s="26">
        <v>48602</v>
      </c>
      <c r="J15" s="27">
        <f t="shared" ca="1" si="1"/>
        <v>46171.9</v>
      </c>
      <c r="K15" s="72">
        <f t="shared" si="2"/>
        <v>4</v>
      </c>
      <c r="L15" s="10">
        <f t="shared" ca="1" si="3"/>
        <v>14580.6</v>
      </c>
    </row>
    <row r="16" spans="1:13" ht="15.75" customHeight="1" x14ac:dyDescent="0.25">
      <c r="A16" s="7">
        <v>39141</v>
      </c>
      <c r="B16" s="7" t="str">
        <f>PROPER(CONCATENATE(Datos_paciente!C16," ",Datos_paciente!A16," ",Datos_paciente!B16,""))</f>
        <v>Elizabeth  Zapata Sierra</v>
      </c>
      <c r="C16" s="5" t="s">
        <v>25</v>
      </c>
      <c r="D16" s="8" t="s">
        <v>58</v>
      </c>
      <c r="E16" s="8">
        <f t="shared" ca="1" si="0"/>
        <v>13</v>
      </c>
      <c r="F16" s="5" t="s">
        <v>1</v>
      </c>
      <c r="G16" s="5" t="s">
        <v>29</v>
      </c>
      <c r="H16" s="10" t="s">
        <v>61</v>
      </c>
      <c r="I16" s="26">
        <v>60619</v>
      </c>
      <c r="J16" s="27">
        <f t="shared" ca="1" si="1"/>
        <v>57588.05</v>
      </c>
      <c r="K16" s="72">
        <f t="shared" si="2"/>
        <v>2</v>
      </c>
      <c r="L16" s="10">
        <f t="shared" ca="1" si="3"/>
        <v>60619</v>
      </c>
    </row>
    <row r="17" spans="1:12" x14ac:dyDescent="0.25">
      <c r="A17" s="7">
        <v>39482</v>
      </c>
      <c r="B17" s="7" t="str">
        <f>PROPER(CONCATENATE(Datos_paciente!C17," ",Datos_paciente!A17," ",Datos_paciente!B17,""))</f>
        <v>Juliana  Henao Arboleda</v>
      </c>
      <c r="C17" s="5" t="s">
        <v>25</v>
      </c>
      <c r="D17" s="8" t="s">
        <v>64</v>
      </c>
      <c r="E17" s="8">
        <f t="shared" ca="1" si="0"/>
        <v>13</v>
      </c>
      <c r="F17" s="5" t="s">
        <v>1</v>
      </c>
      <c r="G17" s="5" t="s">
        <v>26</v>
      </c>
      <c r="H17" s="10" t="s">
        <v>32</v>
      </c>
      <c r="I17" s="26">
        <v>83587</v>
      </c>
      <c r="J17" s="27">
        <f t="shared" ca="1" si="1"/>
        <v>79407.649999999994</v>
      </c>
      <c r="K17" s="72">
        <f t="shared" si="2"/>
        <v>2</v>
      </c>
      <c r="L17" s="10">
        <f t="shared" ca="1" si="3"/>
        <v>83587</v>
      </c>
    </row>
    <row r="18" spans="1:12" x14ac:dyDescent="0.25">
      <c r="A18" s="7">
        <v>38934</v>
      </c>
      <c r="B18" s="7" t="str">
        <f>PROPER(CONCATENATE(Datos_paciente!C18," ",Datos_paciente!A18," ",Datos_paciente!B18,""))</f>
        <v>Maria Isabela Ruiz Henao</v>
      </c>
      <c r="C18" s="5" t="s">
        <v>25</v>
      </c>
      <c r="D18" s="8" t="s">
        <v>65</v>
      </c>
      <c r="E18" s="8">
        <f t="shared" ca="1" si="0"/>
        <v>14</v>
      </c>
      <c r="F18" s="5" t="s">
        <v>1</v>
      </c>
      <c r="G18" s="5" t="s">
        <v>26</v>
      </c>
      <c r="H18" s="10" t="s">
        <v>36</v>
      </c>
      <c r="I18" s="26">
        <v>42940</v>
      </c>
      <c r="J18" s="27">
        <f t="shared" ca="1" si="1"/>
        <v>40793</v>
      </c>
      <c r="K18" s="72">
        <f t="shared" si="2"/>
        <v>8</v>
      </c>
      <c r="L18" s="10">
        <f t="shared" ca="1" si="3"/>
        <v>42940</v>
      </c>
    </row>
    <row r="19" spans="1:12" x14ac:dyDescent="0.25">
      <c r="A19" s="7">
        <v>38579</v>
      </c>
      <c r="B19" s="7" t="str">
        <f>PROPER(CONCATENATE(Datos_paciente!C19," ",Datos_paciente!A19," ",Datos_paciente!B19,""))</f>
        <v>Xiemena  Agudelo Casta?O</v>
      </c>
      <c r="C19" s="5" t="s">
        <v>25</v>
      </c>
      <c r="D19" s="8" t="s">
        <v>68</v>
      </c>
      <c r="E19" s="8">
        <f t="shared" ca="1" si="0"/>
        <v>15</v>
      </c>
      <c r="F19" s="5" t="s">
        <v>1</v>
      </c>
      <c r="G19" s="5" t="s">
        <v>29</v>
      </c>
      <c r="H19" s="12" t="s">
        <v>32</v>
      </c>
      <c r="I19" s="26">
        <v>49607</v>
      </c>
      <c r="J19" s="27">
        <f t="shared" ca="1" si="1"/>
        <v>47126.65</v>
      </c>
      <c r="K19" s="72">
        <f t="shared" si="2"/>
        <v>8</v>
      </c>
      <c r="L19" s="10">
        <f t="shared" ca="1" si="3"/>
        <v>14882.099999999999</v>
      </c>
    </row>
    <row r="20" spans="1:12" x14ac:dyDescent="0.25">
      <c r="A20" s="7">
        <v>39037</v>
      </c>
      <c r="B20" s="7" t="str">
        <f>PROPER(CONCATENATE(Datos_paciente!C20," ",Datos_paciente!A20," ",Datos_paciente!B20,""))</f>
        <v>Jacobo  Martinez Rojas</v>
      </c>
      <c r="C20" s="5" t="s">
        <v>25</v>
      </c>
      <c r="D20" s="8" t="s">
        <v>70</v>
      </c>
      <c r="E20" s="8">
        <f t="shared" ca="1" si="0"/>
        <v>14</v>
      </c>
      <c r="F20" s="5" t="s">
        <v>3</v>
      </c>
      <c r="G20" s="5" t="s">
        <v>35</v>
      </c>
      <c r="H20" s="10" t="s">
        <v>36</v>
      </c>
      <c r="I20" s="26">
        <v>30610</v>
      </c>
      <c r="J20" s="27">
        <f t="shared" ca="1" si="1"/>
        <v>30610</v>
      </c>
      <c r="K20" s="72">
        <f t="shared" si="2"/>
        <v>11</v>
      </c>
      <c r="L20" s="10">
        <f t="shared" ca="1" si="3"/>
        <v>14.007575757575758</v>
      </c>
    </row>
    <row r="21" spans="1:12" x14ac:dyDescent="0.25">
      <c r="A21" s="7">
        <v>38116</v>
      </c>
      <c r="B21" s="7" t="str">
        <f>PROPER(CONCATENATE(Datos_paciente!C21," ",Datos_paciente!A21," ",Datos_paciente!B21,""))</f>
        <v>Jjeffry  Ocampo Alvarez</v>
      </c>
      <c r="C21" s="5" t="s">
        <v>25</v>
      </c>
      <c r="D21" s="8" t="s">
        <v>72</v>
      </c>
      <c r="E21" s="8">
        <f t="shared" ca="1" si="0"/>
        <v>16</v>
      </c>
      <c r="F21" s="5" t="s">
        <v>3</v>
      </c>
      <c r="G21" s="5" t="s">
        <v>35</v>
      </c>
      <c r="H21" s="10" t="s">
        <v>27</v>
      </c>
      <c r="I21" s="26">
        <v>38089</v>
      </c>
      <c r="J21" s="27">
        <f t="shared" ca="1" si="1"/>
        <v>38089</v>
      </c>
      <c r="K21" s="72">
        <f t="shared" si="2"/>
        <v>5</v>
      </c>
      <c r="L21" s="10">
        <f t="shared" ca="1" si="3"/>
        <v>14.007633587786259</v>
      </c>
    </row>
    <row r="22" spans="1:12" x14ac:dyDescent="0.25">
      <c r="A22" s="7">
        <v>38509</v>
      </c>
      <c r="B22" s="7" t="str">
        <f>PROPER(CONCATENATE(Datos_paciente!C22," ",Datos_paciente!A22," ",Datos_paciente!B22,""))</f>
        <v>Wendy Yadaly Arango Lopez</v>
      </c>
      <c r="C22" s="5" t="s">
        <v>25</v>
      </c>
      <c r="D22" s="8" t="s">
        <v>75</v>
      </c>
      <c r="E22" s="8">
        <f t="shared" ca="1" si="0"/>
        <v>15</v>
      </c>
      <c r="F22" s="5" t="s">
        <v>1</v>
      </c>
      <c r="G22" s="5" t="s">
        <v>29</v>
      </c>
      <c r="H22" s="10" t="s">
        <v>32</v>
      </c>
      <c r="I22" s="26">
        <v>33263</v>
      </c>
      <c r="J22" s="27">
        <f t="shared" ca="1" si="1"/>
        <v>31599.85</v>
      </c>
      <c r="K22" s="72">
        <f t="shared" si="2"/>
        <v>6</v>
      </c>
      <c r="L22" s="10">
        <f t="shared" ca="1" si="3"/>
        <v>9978.9</v>
      </c>
    </row>
    <row r="23" spans="1:12" x14ac:dyDescent="0.25">
      <c r="A23" s="7">
        <v>38842</v>
      </c>
      <c r="B23" s="7" t="str">
        <f>PROPER(CONCATENATE(Datos_paciente!C23," ",Datos_paciente!A23," ",Datos_paciente!B23,""))</f>
        <v>Cristian David Corrales Becerra</v>
      </c>
      <c r="C23" s="5" t="s">
        <v>25</v>
      </c>
      <c r="D23" s="8" t="s">
        <v>78</v>
      </c>
      <c r="E23" s="8">
        <f t="shared" ca="1" si="0"/>
        <v>14</v>
      </c>
      <c r="F23" s="5" t="s">
        <v>3</v>
      </c>
      <c r="G23" s="5" t="s">
        <v>26</v>
      </c>
      <c r="H23" s="10" t="s">
        <v>32</v>
      </c>
      <c r="I23" s="26">
        <v>44733</v>
      </c>
      <c r="J23" s="27">
        <f t="shared" ca="1" si="1"/>
        <v>44733</v>
      </c>
      <c r="K23" s="72">
        <f t="shared" si="2"/>
        <v>5</v>
      </c>
      <c r="L23" s="10">
        <f t="shared" ca="1" si="3"/>
        <v>13.992307692307692</v>
      </c>
    </row>
    <row r="24" spans="1:12" x14ac:dyDescent="0.25">
      <c r="A24" s="7">
        <v>39622</v>
      </c>
      <c r="B24" s="7" t="str">
        <f>PROPER(CONCATENATE(Datos_paciente!C24," ",Datos_paciente!A24," ",Datos_paciente!B24,""))</f>
        <v>Hijo De Cindy Vanessa Vaca Urrego</v>
      </c>
      <c r="C24" s="5" t="s">
        <v>81</v>
      </c>
      <c r="D24" s="8" t="s">
        <v>82</v>
      </c>
      <c r="E24" s="8">
        <f t="shared" ca="1" si="0"/>
        <v>12</v>
      </c>
      <c r="F24" s="5" t="s">
        <v>3</v>
      </c>
      <c r="G24" s="5" t="s">
        <v>35</v>
      </c>
      <c r="H24" s="10" t="s">
        <v>36</v>
      </c>
      <c r="I24" s="26">
        <v>62995</v>
      </c>
      <c r="J24" s="27">
        <f t="shared" ca="1" si="1"/>
        <v>62995</v>
      </c>
      <c r="K24" s="72">
        <f t="shared" si="2"/>
        <v>6</v>
      </c>
      <c r="L24" s="10">
        <f t="shared" ca="1" si="3"/>
        <v>13.992248062015504</v>
      </c>
    </row>
    <row r="25" spans="1:12" x14ac:dyDescent="0.25">
      <c r="A25" s="7">
        <v>38413</v>
      </c>
      <c r="B25" s="7" t="str">
        <f>PROPER(CONCATENATE(Datos_paciente!C25," ",Datos_paciente!A25," ",Datos_paciente!B25,""))</f>
        <v>Yully Daniela Franco Durango</v>
      </c>
      <c r="C25" s="5" t="s">
        <v>25</v>
      </c>
      <c r="D25" s="8" t="s">
        <v>85</v>
      </c>
      <c r="E25" s="8">
        <f t="shared" ca="1" si="0"/>
        <v>15</v>
      </c>
      <c r="F25" s="5" t="s">
        <v>1</v>
      </c>
      <c r="G25" s="5" t="s">
        <v>29</v>
      </c>
      <c r="H25" s="10" t="s">
        <v>32</v>
      </c>
      <c r="I25" s="26">
        <v>51998</v>
      </c>
      <c r="J25" s="27">
        <f t="shared" ca="1" si="1"/>
        <v>49398.1</v>
      </c>
      <c r="K25" s="72">
        <f t="shared" si="2"/>
        <v>3</v>
      </c>
      <c r="L25" s="10">
        <f t="shared" ca="1" si="3"/>
        <v>15599.4</v>
      </c>
    </row>
    <row r="26" spans="1:12" x14ac:dyDescent="0.25">
      <c r="A26" s="7">
        <v>38786</v>
      </c>
      <c r="B26" s="7" t="str">
        <f>PROPER(CONCATENATE(Datos_paciente!C26," ",Datos_paciente!A26," ",Datos_paciente!B26,""))</f>
        <v>Estefania  Villada Villada</v>
      </c>
      <c r="C26" s="5" t="s">
        <v>25</v>
      </c>
      <c r="D26" s="8" t="s">
        <v>87</v>
      </c>
      <c r="E26" s="8">
        <f t="shared" ca="1" si="0"/>
        <v>14</v>
      </c>
      <c r="F26" s="5" t="s">
        <v>1</v>
      </c>
      <c r="G26" s="5" t="s">
        <v>35</v>
      </c>
      <c r="H26" s="10" t="s">
        <v>36</v>
      </c>
      <c r="I26" s="26">
        <v>18470</v>
      </c>
      <c r="J26" s="27">
        <f t="shared" ca="1" si="1"/>
        <v>17546.5</v>
      </c>
      <c r="K26" s="72">
        <f t="shared" si="2"/>
        <v>3</v>
      </c>
      <c r="L26" s="10">
        <f t="shared" ca="1" si="3"/>
        <v>18470</v>
      </c>
    </row>
    <row r="27" spans="1:12" x14ac:dyDescent="0.25">
      <c r="A27" s="7">
        <v>39328</v>
      </c>
      <c r="B27" s="7" t="str">
        <f>PROPER(CONCATENATE(Datos_paciente!C27," ",Datos_paciente!A27," ",Datos_paciente!B27,""))</f>
        <v>Wilmer Darney Serna Durango</v>
      </c>
      <c r="C27" s="5" t="s">
        <v>25</v>
      </c>
      <c r="D27" s="8" t="s">
        <v>88</v>
      </c>
      <c r="E27" s="8">
        <f t="shared" ca="1" si="0"/>
        <v>13</v>
      </c>
      <c r="F27" s="5" t="s">
        <v>3</v>
      </c>
      <c r="G27" s="5" t="s">
        <v>26</v>
      </c>
      <c r="H27" s="10" t="s">
        <v>32</v>
      </c>
      <c r="I27" s="26">
        <v>64579</v>
      </c>
      <c r="J27" s="27">
        <f t="shared" ca="1" si="1"/>
        <v>64579</v>
      </c>
      <c r="K27" s="72">
        <f t="shared" si="2"/>
        <v>9</v>
      </c>
      <c r="L27" s="10">
        <f t="shared" ca="1" si="3"/>
        <v>14.0078125</v>
      </c>
    </row>
    <row r="28" spans="1:12" x14ac:dyDescent="0.25">
      <c r="A28" s="7">
        <v>38856</v>
      </c>
      <c r="B28" s="7" t="str">
        <f>PROPER(CONCATENATE(Datos_paciente!C28," ",Datos_paciente!A28," ",Datos_paciente!B28,""))</f>
        <v>Daniel Giovanny Montoya Hernandez</v>
      </c>
      <c r="C28" s="5" t="s">
        <v>25</v>
      </c>
      <c r="D28" s="8" t="s">
        <v>90</v>
      </c>
      <c r="E28" s="8">
        <f t="shared" ca="1" si="0"/>
        <v>14</v>
      </c>
      <c r="F28" s="5" t="s">
        <v>3</v>
      </c>
      <c r="G28" s="5" t="s">
        <v>26</v>
      </c>
      <c r="H28" s="10" t="s">
        <v>32</v>
      </c>
      <c r="I28" s="26">
        <v>23689</v>
      </c>
      <c r="J28" s="27">
        <f t="shared" ca="1" si="1"/>
        <v>23689</v>
      </c>
      <c r="K28" s="72">
        <f t="shared" si="2"/>
        <v>5</v>
      </c>
      <c r="L28" s="10">
        <f t="shared" ca="1" si="3"/>
        <v>14.015748031496063</v>
      </c>
    </row>
    <row r="29" spans="1:12" x14ac:dyDescent="0.25">
      <c r="A29" s="7">
        <v>39556</v>
      </c>
      <c r="B29" s="7" t="str">
        <f>PROPER(CONCATENATE(Datos_paciente!C29," ",Datos_paciente!A29," ",Datos_paciente!B29,""))</f>
        <v>Laura Isabel Quintero Monsalve</v>
      </c>
      <c r="C29" s="5" t="s">
        <v>25</v>
      </c>
      <c r="D29" s="8" t="s">
        <v>90</v>
      </c>
      <c r="E29" s="8">
        <f t="shared" ca="1" si="0"/>
        <v>12</v>
      </c>
      <c r="F29" s="5" t="s">
        <v>1</v>
      </c>
      <c r="G29" s="5" t="s">
        <v>29</v>
      </c>
      <c r="H29" s="10" t="s">
        <v>32</v>
      </c>
      <c r="I29" s="26">
        <v>73687</v>
      </c>
      <c r="J29" s="27">
        <f t="shared" ca="1" si="1"/>
        <v>70002.649999999994</v>
      </c>
      <c r="K29" s="72">
        <f t="shared" si="2"/>
        <v>4</v>
      </c>
      <c r="L29" s="10">
        <f t="shared" ca="1" si="3"/>
        <v>73687</v>
      </c>
    </row>
    <row r="30" spans="1:12" x14ac:dyDescent="0.25">
      <c r="A30" s="7">
        <v>38442</v>
      </c>
      <c r="B30" s="7" t="str">
        <f>PROPER(CONCATENATE(Datos_paciente!C30," ",Datos_paciente!A30," ",Datos_paciente!B30,""))</f>
        <v>Martin Eduardo Espinosa Higuita</v>
      </c>
      <c r="C30" s="5" t="s">
        <v>25</v>
      </c>
      <c r="D30" s="8" t="s">
        <v>95</v>
      </c>
      <c r="E30" s="8">
        <f t="shared" ca="1" si="0"/>
        <v>15</v>
      </c>
      <c r="F30" s="5" t="s">
        <v>3</v>
      </c>
      <c r="G30" s="5" t="s">
        <v>35</v>
      </c>
      <c r="H30" s="10" t="s">
        <v>36</v>
      </c>
      <c r="I30" s="26">
        <v>42877</v>
      </c>
      <c r="J30" s="27">
        <f t="shared" ca="1" si="1"/>
        <v>42877</v>
      </c>
      <c r="K30" s="72">
        <f t="shared" si="2"/>
        <v>3</v>
      </c>
      <c r="L30" s="10">
        <f t="shared" ca="1" si="3"/>
        <v>14.015873015873016</v>
      </c>
    </row>
    <row r="31" spans="1:12" x14ac:dyDescent="0.25">
      <c r="A31" s="7">
        <v>39444</v>
      </c>
      <c r="B31" s="7" t="str">
        <f>PROPER(CONCATENATE(Datos_paciente!C31," ",Datos_paciente!A31," ",Datos_paciente!B31,""))</f>
        <v>Tomas  Lopez Rendon</v>
      </c>
      <c r="C31" s="5" t="s">
        <v>25</v>
      </c>
      <c r="D31" s="8" t="s">
        <v>97</v>
      </c>
      <c r="E31" s="8">
        <f t="shared" ca="1" si="0"/>
        <v>13</v>
      </c>
      <c r="F31" s="5" t="s">
        <v>3</v>
      </c>
      <c r="G31" s="5" t="s">
        <v>26</v>
      </c>
      <c r="H31" s="10" t="s">
        <v>32</v>
      </c>
      <c r="I31" s="26">
        <v>86755</v>
      </c>
      <c r="J31" s="27">
        <f t="shared" ca="1" si="1"/>
        <v>86755</v>
      </c>
      <c r="K31" s="72">
        <f t="shared" si="2"/>
        <v>12</v>
      </c>
      <c r="L31" s="10">
        <f t="shared" ca="1" si="3"/>
        <v>14.007999999999999</v>
      </c>
    </row>
    <row r="32" spans="1:12" x14ac:dyDescent="0.25">
      <c r="A32" s="7">
        <v>38575</v>
      </c>
      <c r="B32" s="7" t="str">
        <f>PROPER(CONCATENATE(Datos_paciente!C32," ",Datos_paciente!A32," ",Datos_paciente!B32,""))</f>
        <v>Natalia  Metaute Suarez</v>
      </c>
      <c r="C32" s="5" t="s">
        <v>25</v>
      </c>
      <c r="D32" s="8" t="s">
        <v>100</v>
      </c>
      <c r="E32" s="8">
        <f t="shared" ca="1" si="0"/>
        <v>15</v>
      </c>
      <c r="F32" s="5" t="s">
        <v>1</v>
      </c>
      <c r="G32" s="5" t="s">
        <v>29</v>
      </c>
      <c r="H32" s="10" t="s">
        <v>32</v>
      </c>
      <c r="I32" s="26">
        <v>49533</v>
      </c>
      <c r="J32" s="27">
        <f t="shared" ca="1" si="1"/>
        <v>47056.35</v>
      </c>
      <c r="K32" s="72">
        <f t="shared" si="2"/>
        <v>8</v>
      </c>
      <c r="L32" s="10">
        <f t="shared" ca="1" si="3"/>
        <v>14859.9</v>
      </c>
    </row>
    <row r="33" spans="1:12" x14ac:dyDescent="0.25">
      <c r="A33" s="7">
        <v>39063</v>
      </c>
      <c r="B33" s="7" t="str">
        <f>PROPER(CONCATENATE(Datos_paciente!C33," ",Datos_paciente!A33," ",Datos_paciente!B33,""))</f>
        <v>Juan Felipe Quintero Lopez</v>
      </c>
      <c r="C33" s="5" t="s">
        <v>25</v>
      </c>
      <c r="D33" s="8" t="s">
        <v>101</v>
      </c>
      <c r="E33" s="8">
        <f t="shared" ca="1" si="0"/>
        <v>14</v>
      </c>
      <c r="F33" s="5" t="s">
        <v>3</v>
      </c>
      <c r="G33" s="5" t="s">
        <v>29</v>
      </c>
      <c r="H33" s="10" t="s">
        <v>32</v>
      </c>
      <c r="I33" s="26">
        <v>23535</v>
      </c>
      <c r="J33" s="27">
        <f t="shared" ca="1" si="1"/>
        <v>23535</v>
      </c>
      <c r="K33" s="72">
        <f t="shared" si="2"/>
        <v>12</v>
      </c>
      <c r="L33" s="10">
        <f t="shared" ca="1" si="3"/>
        <v>14.016129032258064</v>
      </c>
    </row>
    <row r="34" spans="1:12" x14ac:dyDescent="0.25">
      <c r="A34" s="7">
        <v>38856</v>
      </c>
      <c r="B34" s="7" t="str">
        <f>PROPER(CONCATENATE(Datos_paciente!C34," ",Datos_paciente!A34," ",Datos_paciente!B34,""))</f>
        <v>Victor Manuel Montoya Hernandez</v>
      </c>
      <c r="C34" s="5" t="s">
        <v>25</v>
      </c>
      <c r="D34" s="8" t="s">
        <v>102</v>
      </c>
      <c r="E34" s="8">
        <f t="shared" ref="E34:E51" ca="1" si="4">INT((TODAY()-A34)/365)</f>
        <v>14</v>
      </c>
      <c r="F34" s="5" t="s">
        <v>3</v>
      </c>
      <c r="G34" s="5" t="s">
        <v>26</v>
      </c>
      <c r="H34" s="10" t="s">
        <v>36</v>
      </c>
      <c r="I34" s="26">
        <v>45624</v>
      </c>
      <c r="J34" s="27">
        <f t="shared" ca="1" si="1"/>
        <v>45624</v>
      </c>
      <c r="K34" s="72">
        <f t="shared" si="2"/>
        <v>5</v>
      </c>
      <c r="L34" s="10">
        <f t="shared" ca="1" si="3"/>
        <v>14.016260162601625</v>
      </c>
    </row>
    <row r="35" spans="1:12" x14ac:dyDescent="0.25">
      <c r="A35" s="7">
        <v>39278</v>
      </c>
      <c r="B35" s="7" t="str">
        <f>PROPER(CONCATENATE(Datos_paciente!C35," ",Datos_paciente!A35," ",Datos_paciente!B35,""))</f>
        <v>Jhonny Alexander Casta?Eda Cardona</v>
      </c>
      <c r="C35" s="5" t="s">
        <v>25</v>
      </c>
      <c r="D35" s="8" t="s">
        <v>105</v>
      </c>
      <c r="E35" s="8">
        <f t="shared" ca="1" si="4"/>
        <v>13</v>
      </c>
      <c r="F35" s="5" t="s">
        <v>3</v>
      </c>
      <c r="G35" s="5" t="s">
        <v>35</v>
      </c>
      <c r="H35" s="10" t="s">
        <v>27</v>
      </c>
      <c r="I35" s="26">
        <v>93487</v>
      </c>
      <c r="J35" s="27">
        <f t="shared" ca="1" si="1"/>
        <v>93487</v>
      </c>
      <c r="K35" s="72">
        <f t="shared" si="2"/>
        <v>7</v>
      </c>
      <c r="L35" s="10">
        <f t="shared" ca="1" si="3"/>
        <v>14.016393442622951</v>
      </c>
    </row>
    <row r="36" spans="1:12" x14ac:dyDescent="0.25">
      <c r="A36" s="7">
        <v>39102</v>
      </c>
      <c r="B36" s="7" t="str">
        <f>PROPER(CONCATENATE(Datos_paciente!C36," ",Datos_paciente!A36," ",Datos_paciente!B36,""))</f>
        <v>Deiny Manuela Franco Durango</v>
      </c>
      <c r="C36" s="5" t="s">
        <v>25</v>
      </c>
      <c r="D36" s="8" t="s">
        <v>106</v>
      </c>
      <c r="E36" s="8">
        <f t="shared" ca="1" si="4"/>
        <v>14</v>
      </c>
      <c r="F36" s="5" t="s">
        <v>1</v>
      </c>
      <c r="G36" s="5" t="s">
        <v>26</v>
      </c>
      <c r="H36" s="10" t="s">
        <v>32</v>
      </c>
      <c r="I36" s="26">
        <v>50153</v>
      </c>
      <c r="J36" s="27">
        <f t="shared" ca="1" si="1"/>
        <v>47645.35</v>
      </c>
      <c r="K36" s="72">
        <f t="shared" si="2"/>
        <v>1</v>
      </c>
      <c r="L36" s="10">
        <f t="shared" ca="1" si="3"/>
        <v>50153</v>
      </c>
    </row>
    <row r="37" spans="1:12" x14ac:dyDescent="0.25">
      <c r="A37" s="7">
        <v>39222</v>
      </c>
      <c r="B37" s="7" t="str">
        <f>PROPER(CONCATENATE(Datos_paciente!C37," ",Datos_paciente!A37," ",Datos_paciente!B37,""))</f>
        <v>Diana Angel Bonilla Salcedo</v>
      </c>
      <c r="C37" s="5" t="s">
        <v>25</v>
      </c>
      <c r="D37" s="8" t="s">
        <v>109</v>
      </c>
      <c r="E37" s="8">
        <f t="shared" ca="1" si="4"/>
        <v>13</v>
      </c>
      <c r="F37" s="5" t="s">
        <v>1</v>
      </c>
      <c r="G37" s="5" t="s">
        <v>26</v>
      </c>
      <c r="H37" s="10" t="s">
        <v>32</v>
      </c>
      <c r="I37" s="26">
        <v>95071</v>
      </c>
      <c r="J37" s="27">
        <f t="shared" ca="1" si="1"/>
        <v>90317.45</v>
      </c>
      <c r="K37" s="72">
        <f t="shared" si="2"/>
        <v>5</v>
      </c>
      <c r="L37" s="10">
        <f t="shared" ca="1" si="3"/>
        <v>95071</v>
      </c>
    </row>
    <row r="38" spans="1:12" x14ac:dyDescent="0.25">
      <c r="A38" s="7">
        <v>39328</v>
      </c>
      <c r="B38" s="7" t="str">
        <f>PROPER(CONCATENATE(Datos_paciente!C38," ",Datos_paciente!A38," ",Datos_paciente!B38,""))</f>
        <v>Vanesa  Rojas Mejia</v>
      </c>
      <c r="C38" s="5" t="s">
        <v>25</v>
      </c>
      <c r="D38" s="8" t="s">
        <v>111</v>
      </c>
      <c r="E38" s="8">
        <f t="shared" ca="1" si="4"/>
        <v>13</v>
      </c>
      <c r="F38" s="5" t="s">
        <v>1</v>
      </c>
      <c r="G38" s="5" t="s">
        <v>29</v>
      </c>
      <c r="H38" s="13" t="s">
        <v>667</v>
      </c>
      <c r="I38" s="26">
        <v>68935</v>
      </c>
      <c r="J38" s="27">
        <f t="shared" ca="1" si="1"/>
        <v>65488.25</v>
      </c>
      <c r="K38" s="72">
        <f t="shared" si="2"/>
        <v>9</v>
      </c>
      <c r="L38" s="10">
        <f t="shared" ca="1" si="3"/>
        <v>68935</v>
      </c>
    </row>
    <row r="39" spans="1:12" x14ac:dyDescent="0.25">
      <c r="A39" s="7">
        <v>38199</v>
      </c>
      <c r="B39" s="7" t="str">
        <f>PROPER(CONCATENATE(Datos_paciente!C39," ",Datos_paciente!A39," ",Datos_paciente!B39,""))</f>
        <v>Emmanuel  Restrepo Villa</v>
      </c>
      <c r="C39" s="5" t="s">
        <v>25</v>
      </c>
      <c r="D39" s="8" t="s">
        <v>114</v>
      </c>
      <c r="E39" s="8">
        <f t="shared" ca="1" si="4"/>
        <v>16</v>
      </c>
      <c r="F39" s="5" t="s">
        <v>3</v>
      </c>
      <c r="G39" s="5" t="s">
        <v>35</v>
      </c>
      <c r="H39" s="10" t="s">
        <v>36</v>
      </c>
      <c r="I39" s="26">
        <v>17656</v>
      </c>
      <c r="J39" s="27">
        <f t="shared" ca="1" si="1"/>
        <v>17656</v>
      </c>
      <c r="K39" s="72">
        <f t="shared" si="2"/>
        <v>7</v>
      </c>
      <c r="L39" s="10">
        <f t="shared" ca="1" si="3"/>
        <v>14.024793388429751</v>
      </c>
    </row>
    <row r="40" spans="1:12" x14ac:dyDescent="0.25">
      <c r="A40" s="7">
        <v>38965</v>
      </c>
      <c r="B40" s="7" t="str">
        <f>PROPER(CONCATENATE(Datos_paciente!C40," ",Datos_paciente!A40," ",Datos_paciente!B40,""))</f>
        <v>Evelin  Lopez Navarro</v>
      </c>
      <c r="C40" s="5" t="s">
        <v>25</v>
      </c>
      <c r="D40" s="8" t="s">
        <v>116</v>
      </c>
      <c r="E40" s="8">
        <f t="shared" ca="1" si="4"/>
        <v>14</v>
      </c>
      <c r="F40" s="5" t="s">
        <v>1</v>
      </c>
      <c r="G40" s="5" t="s">
        <v>35</v>
      </c>
      <c r="H40" s="10" t="s">
        <v>36</v>
      </c>
      <c r="I40" s="26">
        <v>23284</v>
      </c>
      <c r="J40" s="27">
        <f t="shared" ca="1" si="1"/>
        <v>22119.8</v>
      </c>
      <c r="K40" s="72">
        <f t="shared" si="2"/>
        <v>9</v>
      </c>
      <c r="L40" s="10">
        <f t="shared" ca="1" si="3"/>
        <v>23284</v>
      </c>
    </row>
    <row r="41" spans="1:12" x14ac:dyDescent="0.25">
      <c r="A41" s="7">
        <v>39461</v>
      </c>
      <c r="B41" s="7" t="str">
        <f>PROPER(CONCATENATE(Datos_paciente!C41," ",Datos_paciente!A41," ",Datos_paciente!B41,""))</f>
        <v>Jessica  Giraldo Casta?O</v>
      </c>
      <c r="C41" s="5" t="s">
        <v>25</v>
      </c>
      <c r="D41" s="8" t="s">
        <v>117</v>
      </c>
      <c r="E41" s="8">
        <f t="shared" ca="1" si="4"/>
        <v>13</v>
      </c>
      <c r="F41" s="5" t="s">
        <v>1</v>
      </c>
      <c r="G41" s="5" t="s">
        <v>26</v>
      </c>
      <c r="H41" s="10" t="s">
        <v>32</v>
      </c>
      <c r="I41" s="26">
        <v>85963</v>
      </c>
      <c r="J41" s="27">
        <f t="shared" ca="1" si="1"/>
        <v>81664.850000000006</v>
      </c>
      <c r="K41" s="72">
        <f t="shared" si="2"/>
        <v>1</v>
      </c>
      <c r="L41" s="10">
        <f t="shared" ca="1" si="3"/>
        <v>85963</v>
      </c>
    </row>
    <row r="42" spans="1:12" x14ac:dyDescent="0.25">
      <c r="A42" s="7">
        <v>39595</v>
      </c>
      <c r="B42" s="7" t="str">
        <f>PROPER(CONCATENATE(Datos_paciente!C42," ",Datos_paciente!A42," ",Datos_paciente!B42,""))</f>
        <v>Isabella  Diaz Vasquez</v>
      </c>
      <c r="C42" s="5" t="s">
        <v>25</v>
      </c>
      <c r="D42" s="8" t="s">
        <v>120</v>
      </c>
      <c r="E42" s="8">
        <f t="shared" ca="1" si="4"/>
        <v>12</v>
      </c>
      <c r="F42" s="5" t="s">
        <v>1</v>
      </c>
      <c r="G42" s="5" t="s">
        <v>35</v>
      </c>
      <c r="H42" s="10" t="s">
        <v>36</v>
      </c>
      <c r="I42" s="26">
        <v>89131</v>
      </c>
      <c r="J42" s="27">
        <f t="shared" ca="1" si="1"/>
        <v>84674.45</v>
      </c>
      <c r="K42" s="72">
        <f t="shared" si="2"/>
        <v>5</v>
      </c>
      <c r="L42" s="10">
        <f t="shared" ca="1" si="3"/>
        <v>89131</v>
      </c>
    </row>
    <row r="43" spans="1:12" x14ac:dyDescent="0.25">
      <c r="A43" s="7">
        <v>39080</v>
      </c>
      <c r="B43" s="7" t="str">
        <f>PROPER(CONCATENATE(Datos_paciente!C43," ",Datos_paciente!A43," ",Datos_paciente!B43,""))</f>
        <v>Juliana  Grajales Tamayo</v>
      </c>
      <c r="C43" s="5" t="s">
        <v>25</v>
      </c>
      <c r="D43" s="8" t="s">
        <v>122</v>
      </c>
      <c r="E43" s="8">
        <f t="shared" ca="1" si="4"/>
        <v>14</v>
      </c>
      <c r="F43" s="5" t="s">
        <v>1</v>
      </c>
      <c r="G43" s="5" t="s">
        <v>35</v>
      </c>
      <c r="H43" s="10" t="s">
        <v>36</v>
      </c>
      <c r="I43" s="26">
        <v>49144</v>
      </c>
      <c r="J43" s="27">
        <f t="shared" ca="1" si="1"/>
        <v>46686.8</v>
      </c>
      <c r="K43" s="72">
        <f t="shared" si="2"/>
        <v>12</v>
      </c>
      <c r="L43" s="10">
        <f t="shared" ca="1" si="3"/>
        <v>49144</v>
      </c>
    </row>
    <row r="44" spans="1:12" x14ac:dyDescent="0.25">
      <c r="A44" s="7">
        <v>38986</v>
      </c>
      <c r="B44" s="7" t="str">
        <f>PROPER(CONCATENATE(Datos_paciente!C44," ",Datos_paciente!A44," ",Datos_paciente!B44,""))</f>
        <v>Susana  Loaiza Hernandez</v>
      </c>
      <c r="C44" s="5" t="s">
        <v>25</v>
      </c>
      <c r="D44" s="8" t="s">
        <v>124</v>
      </c>
      <c r="E44" s="8">
        <f t="shared" ca="1" si="4"/>
        <v>14</v>
      </c>
      <c r="F44" s="5" t="s">
        <v>1</v>
      </c>
      <c r="G44" s="5" t="s">
        <v>26</v>
      </c>
      <c r="H44" s="10" t="s">
        <v>32</v>
      </c>
      <c r="I44" s="26">
        <v>31640</v>
      </c>
      <c r="J44" s="27">
        <f t="shared" ca="1" si="1"/>
        <v>30058</v>
      </c>
      <c r="K44" s="72">
        <f t="shared" si="2"/>
        <v>9</v>
      </c>
      <c r="L44" s="10">
        <f t="shared" ca="1" si="3"/>
        <v>31640</v>
      </c>
    </row>
    <row r="45" spans="1:12" x14ac:dyDescent="0.25">
      <c r="A45" s="7">
        <v>39154</v>
      </c>
      <c r="B45" s="7" t="str">
        <f>PROPER(CONCATENATE(Datos_paciente!C45," ",Datos_paciente!A45," ",Datos_paciente!B45,""))</f>
        <v>David  Alvarez Trujillo</v>
      </c>
      <c r="C45" s="5" t="s">
        <v>25</v>
      </c>
      <c r="D45" s="8" t="s">
        <v>126</v>
      </c>
      <c r="E45" s="8">
        <f t="shared" ca="1" si="4"/>
        <v>13</v>
      </c>
      <c r="F45" s="5" t="s">
        <v>3</v>
      </c>
      <c r="G45" s="5" t="s">
        <v>35</v>
      </c>
      <c r="H45" s="10" t="s">
        <v>27</v>
      </c>
      <c r="I45" s="26">
        <v>48602</v>
      </c>
      <c r="J45" s="27">
        <f t="shared" ca="1" si="1"/>
        <v>48602</v>
      </c>
      <c r="K45" s="72">
        <f t="shared" si="2"/>
        <v>3</v>
      </c>
      <c r="L45" s="10">
        <f t="shared" ca="1" si="3"/>
        <v>14.008333333333333</v>
      </c>
    </row>
    <row r="46" spans="1:12" x14ac:dyDescent="0.25">
      <c r="A46" s="7">
        <v>38288</v>
      </c>
      <c r="B46" s="7" t="str">
        <f>PROPER(CONCATENATE(Datos_paciente!C46," ",Datos_paciente!A46," ",Datos_paciente!B46,""))</f>
        <v>Blanca Ximena Gomez Restrepo</v>
      </c>
      <c r="C46" s="5" t="s">
        <v>0</v>
      </c>
      <c r="D46" s="8" t="s">
        <v>127</v>
      </c>
      <c r="E46" s="8">
        <f t="shared" ca="1" si="4"/>
        <v>16</v>
      </c>
      <c r="F46" s="5" t="s">
        <v>1</v>
      </c>
      <c r="G46" s="5" t="s">
        <v>26</v>
      </c>
      <c r="H46" s="10" t="s">
        <v>32</v>
      </c>
      <c r="I46" s="26">
        <v>21159</v>
      </c>
      <c r="J46" s="27">
        <f t="shared" ca="1" si="1"/>
        <v>20101.05</v>
      </c>
      <c r="K46" s="72">
        <f t="shared" si="2"/>
        <v>10</v>
      </c>
      <c r="L46" s="10">
        <f t="shared" ca="1" si="3"/>
        <v>6347.7</v>
      </c>
    </row>
    <row r="47" spans="1:12" x14ac:dyDescent="0.25">
      <c r="A47" s="7">
        <v>38030</v>
      </c>
      <c r="B47" s="7" t="str">
        <f>PROPER(CONCATENATE(Datos_paciente!C47," ",Datos_paciente!A47," ",Datos_paciente!B47,""))</f>
        <v>Xiomara Paulina Zapata Henao</v>
      </c>
      <c r="C47" s="5" t="s">
        <v>25</v>
      </c>
      <c r="D47" s="8" t="s">
        <v>128</v>
      </c>
      <c r="E47" s="8">
        <f t="shared" ca="1" si="4"/>
        <v>16</v>
      </c>
      <c r="F47" s="5" t="s">
        <v>1</v>
      </c>
      <c r="G47" s="5" t="s">
        <v>29</v>
      </c>
      <c r="H47" s="10" t="s">
        <v>129</v>
      </c>
      <c r="I47" s="26">
        <v>33811</v>
      </c>
      <c r="J47" s="27">
        <f t="shared" ca="1" si="1"/>
        <v>32120.45</v>
      </c>
      <c r="K47" s="72">
        <f t="shared" si="2"/>
        <v>2</v>
      </c>
      <c r="L47" s="10">
        <f t="shared" ca="1" si="3"/>
        <v>10143.299999999999</v>
      </c>
    </row>
    <row r="48" spans="1:12" x14ac:dyDescent="0.25">
      <c r="A48" s="7">
        <v>39444</v>
      </c>
      <c r="B48" s="7" t="str">
        <f>PROPER(CONCATENATE(Datos_paciente!C48," ",Datos_paciente!A48," ",Datos_paciente!B48,""))</f>
        <v>Tomas  Galvis Rendon</v>
      </c>
      <c r="C48" s="5" t="s">
        <v>25</v>
      </c>
      <c r="D48" s="8" t="s">
        <v>131</v>
      </c>
      <c r="E48" s="8">
        <f t="shared" ca="1" si="4"/>
        <v>13</v>
      </c>
      <c r="F48" s="5" t="s">
        <v>3</v>
      </c>
      <c r="G48" s="5" t="s">
        <v>29</v>
      </c>
      <c r="H48" s="10" t="s">
        <v>32</v>
      </c>
      <c r="I48" s="26">
        <v>86359</v>
      </c>
      <c r="J48" s="27">
        <f t="shared" ca="1" si="1"/>
        <v>86359</v>
      </c>
      <c r="K48" s="72">
        <f t="shared" si="2"/>
        <v>12</v>
      </c>
      <c r="L48" s="10">
        <f t="shared" ca="1" si="3"/>
        <v>14.016806722689076</v>
      </c>
    </row>
    <row r="49" spans="1:12" x14ac:dyDescent="0.25">
      <c r="A49" s="7">
        <v>38968</v>
      </c>
      <c r="B49" s="7" t="str">
        <f>PROPER(CONCATENATE(Datos_paciente!C49," ",Datos_paciente!A49," ",Datos_paciente!B49,""))</f>
        <v>Sara  Moreno Zapata</v>
      </c>
      <c r="C49" s="5" t="s">
        <v>25</v>
      </c>
      <c r="D49" s="8" t="s">
        <v>133</v>
      </c>
      <c r="E49" s="8">
        <f t="shared" ca="1" si="4"/>
        <v>14</v>
      </c>
      <c r="F49" s="5" t="s">
        <v>1</v>
      </c>
      <c r="G49" s="5" t="s">
        <v>35</v>
      </c>
      <c r="H49" s="10" t="s">
        <v>36</v>
      </c>
      <c r="I49" s="26">
        <v>31650</v>
      </c>
      <c r="J49" s="27">
        <f t="shared" ca="1" si="1"/>
        <v>30067.5</v>
      </c>
      <c r="K49" s="72">
        <f t="shared" si="2"/>
        <v>9</v>
      </c>
      <c r="L49" s="10">
        <f t="shared" ca="1" si="3"/>
        <v>31650</v>
      </c>
    </row>
    <row r="50" spans="1:12" x14ac:dyDescent="0.25">
      <c r="A50" s="7">
        <v>39034</v>
      </c>
      <c r="B50" s="7" t="str">
        <f>PROPER(CONCATENATE(Datos_paciente!C50," ",Datos_paciente!A50," ",Datos_paciente!B50,""))</f>
        <v>Mayra Alejandra Ferreira Ruiz</v>
      </c>
      <c r="C50" s="5" t="s">
        <v>25</v>
      </c>
      <c r="D50" s="8" t="s">
        <v>135</v>
      </c>
      <c r="E50" s="8">
        <f t="shared" ca="1" si="4"/>
        <v>14</v>
      </c>
      <c r="F50" s="5" t="s">
        <v>1</v>
      </c>
      <c r="G50" s="5" t="s">
        <v>35</v>
      </c>
      <c r="H50" s="10" t="s">
        <v>27</v>
      </c>
      <c r="I50" s="26">
        <v>16870</v>
      </c>
      <c r="J50" s="27">
        <f t="shared" ca="1" si="1"/>
        <v>16026.5</v>
      </c>
      <c r="K50" s="72">
        <f t="shared" si="2"/>
        <v>11</v>
      </c>
      <c r="L50" s="10">
        <f t="shared" ca="1" si="3"/>
        <v>16870</v>
      </c>
    </row>
    <row r="51" spans="1:12" x14ac:dyDescent="0.25">
      <c r="A51" s="7">
        <v>38842</v>
      </c>
      <c r="B51" s="7" t="str">
        <f>PROPER(CONCATENATE(Datos_paciente!C51," ",Datos_paciente!A51," ",Datos_paciente!B51,""))</f>
        <v>Cristian David Corrales Pecerra</v>
      </c>
      <c r="C51" s="5" t="s">
        <v>0</v>
      </c>
      <c r="D51" s="8" t="s">
        <v>137</v>
      </c>
      <c r="E51" s="8">
        <f t="shared" ca="1" si="4"/>
        <v>14</v>
      </c>
      <c r="F51" s="5" t="s">
        <v>3</v>
      </c>
      <c r="G51" s="5" t="s">
        <v>29</v>
      </c>
      <c r="H51" s="10" t="s">
        <v>32</v>
      </c>
      <c r="I51" s="26">
        <v>20471</v>
      </c>
      <c r="J51" s="27">
        <f t="shared" ca="1" si="1"/>
        <v>20471</v>
      </c>
      <c r="K51" s="72">
        <f t="shared" si="2"/>
        <v>5</v>
      </c>
      <c r="L51" s="10">
        <f t="shared" ca="1" si="3"/>
        <v>14.025423728813559</v>
      </c>
    </row>
    <row r="52" spans="1:12" x14ac:dyDescent="0.25">
      <c r="A52" s="7">
        <v>38650</v>
      </c>
      <c r="B52" s="7" t="str">
        <f>PROPER(CONCATENATE(Datos_paciente!C52," ",Datos_paciente!A52," ",Datos_paciente!B52,""))</f>
        <v>Aidith Yandiria Maya Bonilla</v>
      </c>
      <c r="C52" s="5" t="s">
        <v>25</v>
      </c>
      <c r="D52" s="8" t="s">
        <v>137</v>
      </c>
      <c r="E52" s="8">
        <v>15</v>
      </c>
      <c r="F52" s="5" t="s">
        <v>1</v>
      </c>
      <c r="G52" s="5" t="s">
        <v>26</v>
      </c>
      <c r="H52" s="10" t="s">
        <v>32</v>
      </c>
      <c r="I52" s="26">
        <v>49208</v>
      </c>
      <c r="J52" s="27">
        <f t="shared" si="1"/>
        <v>46747.6</v>
      </c>
      <c r="K52" s="72">
        <f t="shared" si="2"/>
        <v>10</v>
      </c>
      <c r="L52" s="10">
        <f t="shared" ca="1" si="3"/>
        <v>14762.4</v>
      </c>
    </row>
    <row r="53" spans="1:12" x14ac:dyDescent="0.25">
      <c r="A53" s="7">
        <v>39461</v>
      </c>
      <c r="B53" s="7" t="str">
        <f>PROPER(CONCATENATE(Datos_paciente!C53," ",Datos_paciente!A53," ",Datos_paciente!B53,""))</f>
        <v>Jessica  Metaute Lopez</v>
      </c>
      <c r="C53" s="5" t="s">
        <v>25</v>
      </c>
      <c r="D53" s="8" t="s">
        <v>139</v>
      </c>
      <c r="E53" s="8">
        <f t="shared" ref="E53:E116" ca="1" si="5">INT((TODAY()-A53)/365)</f>
        <v>13</v>
      </c>
      <c r="F53" s="5" t="s">
        <v>1</v>
      </c>
      <c r="G53" s="5" t="s">
        <v>29</v>
      </c>
      <c r="H53" s="10" t="s">
        <v>32</v>
      </c>
      <c r="I53" s="26">
        <v>85567</v>
      </c>
      <c r="J53" s="27">
        <f t="shared" ca="1" si="1"/>
        <v>81288.649999999994</v>
      </c>
      <c r="K53" s="72">
        <f t="shared" si="2"/>
        <v>1</v>
      </c>
      <c r="L53" s="10">
        <f t="shared" ca="1" si="3"/>
        <v>85567</v>
      </c>
    </row>
    <row r="54" spans="1:12" x14ac:dyDescent="0.25">
      <c r="A54" s="7">
        <v>38480</v>
      </c>
      <c r="B54" s="7" t="str">
        <f>PROPER(CONCATENATE(Datos_paciente!C54," ",Datos_paciente!A54," ",Datos_paciente!B54,""))</f>
        <v>Jeronimo  Jaramillo Montoya</v>
      </c>
      <c r="C54" s="5" t="s">
        <v>25</v>
      </c>
      <c r="D54" s="8" t="s">
        <v>141</v>
      </c>
      <c r="E54" s="8">
        <f t="shared" ca="1" si="5"/>
        <v>15</v>
      </c>
      <c r="F54" s="5" t="s">
        <v>3</v>
      </c>
      <c r="G54" s="5" t="s">
        <v>45</v>
      </c>
      <c r="H54" s="10" t="s">
        <v>142</v>
      </c>
      <c r="I54" s="26">
        <v>37188</v>
      </c>
      <c r="J54" s="27">
        <f t="shared" ca="1" si="1"/>
        <v>37188</v>
      </c>
      <c r="K54" s="72">
        <f t="shared" si="2"/>
        <v>5</v>
      </c>
      <c r="L54" s="10">
        <f t="shared" ca="1" si="3"/>
        <v>14.025641025641026</v>
      </c>
    </row>
    <row r="55" spans="1:12" x14ac:dyDescent="0.25">
      <c r="A55" s="7">
        <v>38483</v>
      </c>
      <c r="B55" s="7" t="str">
        <f>PROPER(CONCATENATE(Datos_paciente!C55," ",Datos_paciente!A55," ",Datos_paciente!B55,""))</f>
        <v>Manuel  Perez Londo?O</v>
      </c>
      <c r="C55" s="5" t="s">
        <v>25</v>
      </c>
      <c r="D55" s="8" t="s">
        <v>143</v>
      </c>
      <c r="E55" s="8">
        <f t="shared" ca="1" si="5"/>
        <v>15</v>
      </c>
      <c r="F55" s="5" t="s">
        <v>3</v>
      </c>
      <c r="G55" s="5" t="s">
        <v>45</v>
      </c>
      <c r="H55" s="10" t="s">
        <v>50</v>
      </c>
      <c r="I55" s="26">
        <v>37028</v>
      </c>
      <c r="J55" s="27">
        <f t="shared" ca="1" si="1"/>
        <v>37028</v>
      </c>
      <c r="K55" s="72">
        <f t="shared" si="2"/>
        <v>5</v>
      </c>
      <c r="L55" s="10">
        <f t="shared" ca="1" si="3"/>
        <v>14.017241379310345</v>
      </c>
    </row>
    <row r="56" spans="1:12" x14ac:dyDescent="0.25">
      <c r="A56" s="7">
        <v>39588</v>
      </c>
      <c r="B56" s="7" t="str">
        <f>PROPER(CONCATENATE(Datos_paciente!C56," ",Datos_paciente!A56," ",Datos_paciente!B56,""))</f>
        <v>Isabel  Areiza Salazar</v>
      </c>
      <c r="C56" s="5" t="s">
        <v>25</v>
      </c>
      <c r="D56" s="8" t="s">
        <v>146</v>
      </c>
      <c r="E56" s="8">
        <f t="shared" ca="1" si="5"/>
        <v>12</v>
      </c>
      <c r="F56" s="5" t="s">
        <v>1</v>
      </c>
      <c r="G56" s="5" t="s">
        <v>26</v>
      </c>
      <c r="H56" s="10" t="s">
        <v>32</v>
      </c>
      <c r="I56" s="26">
        <v>54120</v>
      </c>
      <c r="J56" s="27">
        <f t="shared" ca="1" si="1"/>
        <v>51414</v>
      </c>
      <c r="K56" s="72">
        <f t="shared" si="2"/>
        <v>5</v>
      </c>
      <c r="L56" s="10">
        <f t="shared" ca="1" si="3"/>
        <v>54120</v>
      </c>
    </row>
    <row r="57" spans="1:12" x14ac:dyDescent="0.25">
      <c r="A57" s="7">
        <v>38814</v>
      </c>
      <c r="B57" s="7" t="str">
        <f>PROPER(CONCATENATE(Datos_paciente!C57," ",Datos_paciente!A57," ",Datos_paciente!B57,""))</f>
        <v>David  Sisquiarco Grisales</v>
      </c>
      <c r="C57" s="5" t="s">
        <v>25</v>
      </c>
      <c r="D57" s="8" t="s">
        <v>149</v>
      </c>
      <c r="E57" s="8">
        <f t="shared" ca="1" si="5"/>
        <v>14</v>
      </c>
      <c r="F57" s="5" t="s">
        <v>3</v>
      </c>
      <c r="G57" s="5" t="s">
        <v>26</v>
      </c>
      <c r="H57" s="10" t="s">
        <v>32</v>
      </c>
      <c r="I57" s="26">
        <v>32959</v>
      </c>
      <c r="J57" s="27">
        <f t="shared" ca="1" si="1"/>
        <v>32959</v>
      </c>
      <c r="K57" s="72">
        <f t="shared" si="2"/>
        <v>4</v>
      </c>
      <c r="L57" s="10">
        <f t="shared" ca="1" si="3"/>
        <v>14.008695652173913</v>
      </c>
    </row>
    <row r="58" spans="1:12" x14ac:dyDescent="0.25">
      <c r="A58" s="7">
        <v>38448</v>
      </c>
      <c r="B58" s="7" t="str">
        <f>PROPER(CONCATENATE(Datos_paciente!C58," ",Datos_paciente!A58," ",Datos_paciente!B58,""))</f>
        <v>Estefania  Grajales Morales</v>
      </c>
      <c r="C58" s="5" t="s">
        <v>25</v>
      </c>
      <c r="D58" s="8" t="s">
        <v>151</v>
      </c>
      <c r="E58" s="8">
        <f t="shared" ca="1" si="5"/>
        <v>15</v>
      </c>
      <c r="F58" s="5" t="s">
        <v>1</v>
      </c>
      <c r="G58" s="5" t="s">
        <v>26</v>
      </c>
      <c r="H58" s="10" t="s">
        <v>32</v>
      </c>
      <c r="I58" s="26">
        <v>41181</v>
      </c>
      <c r="J58" s="27">
        <f t="shared" ca="1" si="1"/>
        <v>39121.949999999997</v>
      </c>
      <c r="K58" s="72">
        <f t="shared" si="2"/>
        <v>4</v>
      </c>
      <c r="L58" s="10">
        <f t="shared" ca="1" si="3"/>
        <v>12354.3</v>
      </c>
    </row>
    <row r="59" spans="1:12" x14ac:dyDescent="0.25">
      <c r="A59" s="7">
        <v>38725</v>
      </c>
      <c r="B59" s="7" t="str">
        <f>PROPER(CONCATENATE(Datos_paciente!C59," ",Datos_paciente!A59," ",Datos_paciente!B59,""))</f>
        <v>Juan Camilo Carmona Restrepo</v>
      </c>
      <c r="C59" s="5" t="s">
        <v>25</v>
      </c>
      <c r="D59" s="8" t="s">
        <v>153</v>
      </c>
      <c r="E59" s="8">
        <f t="shared" ca="1" si="5"/>
        <v>15</v>
      </c>
      <c r="F59" s="5" t="s">
        <v>3</v>
      </c>
      <c r="G59" s="5" t="s">
        <v>45</v>
      </c>
      <c r="H59" s="10" t="s">
        <v>142</v>
      </c>
      <c r="I59" s="26">
        <v>21843</v>
      </c>
      <c r="J59" s="27">
        <f t="shared" ca="1" si="1"/>
        <v>21843</v>
      </c>
      <c r="K59" s="72">
        <f t="shared" si="2"/>
        <v>1</v>
      </c>
      <c r="L59" s="10">
        <f t="shared" ca="1" si="3"/>
        <v>14.008771929824562</v>
      </c>
    </row>
    <row r="60" spans="1:12" x14ac:dyDescent="0.25">
      <c r="A60" s="7">
        <v>38617</v>
      </c>
      <c r="B60" s="7" t="str">
        <f>PROPER(CONCATENATE(Datos_paciente!C60," ",Datos_paciente!A60," ",Datos_paciente!B60,""))</f>
        <v>Kevin Andres Hincapie Granda</v>
      </c>
      <c r="C60" s="5" t="s">
        <v>25</v>
      </c>
      <c r="D60" s="8" t="s">
        <v>156</v>
      </c>
      <c r="E60" s="8">
        <f t="shared" ca="1" si="5"/>
        <v>15</v>
      </c>
      <c r="F60" s="5" t="s">
        <v>3</v>
      </c>
      <c r="G60" s="5" t="s">
        <v>35</v>
      </c>
      <c r="H60" s="10" t="s">
        <v>36</v>
      </c>
      <c r="I60" s="26">
        <v>43353</v>
      </c>
      <c r="J60" s="27">
        <f t="shared" ca="1" si="1"/>
        <v>43353</v>
      </c>
      <c r="K60" s="72">
        <f t="shared" si="2"/>
        <v>9</v>
      </c>
      <c r="L60" s="10">
        <f t="shared" ca="1" si="3"/>
        <v>14</v>
      </c>
    </row>
    <row r="61" spans="1:12" x14ac:dyDescent="0.25">
      <c r="A61" s="7">
        <v>39069</v>
      </c>
      <c r="B61" s="7" t="str">
        <f>PROPER(CONCATENATE(Datos_paciente!C61," ",Datos_paciente!A61," ",Datos_paciente!B61,""))</f>
        <v>Jose Miguel Montoya Velasquez</v>
      </c>
      <c r="C61" s="5" t="s">
        <v>25</v>
      </c>
      <c r="D61" s="8" t="s">
        <v>158</v>
      </c>
      <c r="E61" s="8">
        <f t="shared" ca="1" si="5"/>
        <v>14</v>
      </c>
      <c r="F61" s="5" t="s">
        <v>3</v>
      </c>
      <c r="G61" s="5" t="s">
        <v>29</v>
      </c>
      <c r="H61" s="10" t="s">
        <v>32</v>
      </c>
      <c r="I61" s="26">
        <v>38217</v>
      </c>
      <c r="J61" s="27">
        <f t="shared" ca="1" si="1"/>
        <v>38217</v>
      </c>
      <c r="K61" s="72">
        <f t="shared" si="2"/>
        <v>12</v>
      </c>
      <c r="L61" s="10">
        <f t="shared" ca="1" si="3"/>
        <v>13.991071428571429</v>
      </c>
    </row>
    <row r="62" spans="1:12" x14ac:dyDescent="0.25">
      <c r="A62" s="7">
        <v>39459</v>
      </c>
      <c r="B62" s="7" t="str">
        <f>PROPER(CONCATENATE(Datos_paciente!C62," ",Datos_paciente!A62," ",Datos_paciente!B62,""))</f>
        <v>Sara  Quintero Osorio</v>
      </c>
      <c r="C62" s="5" t="s">
        <v>25</v>
      </c>
      <c r="D62" s="8" t="s">
        <v>160</v>
      </c>
      <c r="E62" s="8">
        <f t="shared" ca="1" si="5"/>
        <v>13</v>
      </c>
      <c r="F62" s="5" t="s">
        <v>1</v>
      </c>
      <c r="G62" s="5" t="s">
        <v>26</v>
      </c>
      <c r="H62" s="10" t="s">
        <v>32</v>
      </c>
      <c r="I62" s="26">
        <v>72895</v>
      </c>
      <c r="J62" s="27">
        <f t="shared" ca="1" si="1"/>
        <v>69250.25</v>
      </c>
      <c r="K62" s="72">
        <f t="shared" si="2"/>
        <v>1</v>
      </c>
      <c r="L62" s="10">
        <f t="shared" ca="1" si="3"/>
        <v>72895</v>
      </c>
    </row>
    <row r="63" spans="1:12" x14ac:dyDescent="0.25">
      <c r="A63" s="7">
        <v>38110</v>
      </c>
      <c r="B63" s="7" t="str">
        <f>PROPER(CONCATENATE(Datos_paciente!C63," ",Datos_paciente!A63," ",Datos_paciente!B63,""))</f>
        <v>Santiago  Botero Arias</v>
      </c>
      <c r="C63" s="5" t="s">
        <v>25</v>
      </c>
      <c r="D63" s="8" t="s">
        <v>163</v>
      </c>
      <c r="E63" s="8">
        <f t="shared" ca="1" si="5"/>
        <v>16</v>
      </c>
      <c r="F63" s="5" t="s">
        <v>3</v>
      </c>
      <c r="G63" s="5" t="s">
        <v>35</v>
      </c>
      <c r="H63" s="10" t="s">
        <v>36</v>
      </c>
      <c r="I63" s="26">
        <v>25959</v>
      </c>
      <c r="J63" s="27">
        <f t="shared" ca="1" si="1"/>
        <v>25959</v>
      </c>
      <c r="K63" s="72">
        <f t="shared" si="2"/>
        <v>5</v>
      </c>
      <c r="L63" s="10">
        <f t="shared" ca="1" si="3"/>
        <v>13.990990990990991</v>
      </c>
    </row>
    <row r="64" spans="1:12" x14ac:dyDescent="0.25">
      <c r="A64" s="7">
        <v>38956</v>
      </c>
      <c r="B64" s="7" t="str">
        <f>PROPER(CONCATENATE(Datos_paciente!C64," ",Datos_paciente!A64," ",Datos_paciente!B64,""))</f>
        <v>Maria Salome Pulgarin Berrio</v>
      </c>
      <c r="C64" s="5" t="s">
        <v>25</v>
      </c>
      <c r="D64" s="8" t="s">
        <v>164</v>
      </c>
      <c r="E64" s="8">
        <f t="shared" ca="1" si="5"/>
        <v>14</v>
      </c>
      <c r="F64" s="5" t="s">
        <v>1</v>
      </c>
      <c r="G64" s="5" t="s">
        <v>35</v>
      </c>
      <c r="H64" s="10" t="s">
        <v>36</v>
      </c>
      <c r="I64" s="26">
        <v>59431</v>
      </c>
      <c r="J64" s="27">
        <f t="shared" ca="1" si="1"/>
        <v>56459.45</v>
      </c>
      <c r="K64" s="72">
        <f t="shared" si="2"/>
        <v>8</v>
      </c>
      <c r="L64" s="10">
        <f t="shared" ca="1" si="3"/>
        <v>59431</v>
      </c>
    </row>
    <row r="65" spans="1:12" x14ac:dyDescent="0.25">
      <c r="A65" s="7">
        <v>37987</v>
      </c>
      <c r="B65" s="7" t="str">
        <f>PROPER(CONCATENATE(Datos_paciente!C65," ",Datos_paciente!A65," ",Datos_paciente!B65,""))</f>
        <v>Maria Camila Gomez Oquendo</v>
      </c>
      <c r="C65" s="5" t="s">
        <v>25</v>
      </c>
      <c r="D65" s="8" t="s">
        <v>166</v>
      </c>
      <c r="E65" s="8">
        <f t="shared" ca="1" si="5"/>
        <v>17</v>
      </c>
      <c r="F65" s="5" t="s">
        <v>1</v>
      </c>
      <c r="G65" s="5" t="s">
        <v>35</v>
      </c>
      <c r="H65" s="10" t="s">
        <v>36</v>
      </c>
      <c r="I65" s="26">
        <v>50166</v>
      </c>
      <c r="J65" s="27">
        <f t="shared" ca="1" si="1"/>
        <v>47657.7</v>
      </c>
      <c r="K65" s="72">
        <f t="shared" si="2"/>
        <v>1</v>
      </c>
      <c r="L65" s="10">
        <f t="shared" ca="1" si="3"/>
        <v>15049.8</v>
      </c>
    </row>
    <row r="66" spans="1:12" ht="16.5" customHeight="1" x14ac:dyDescent="0.25">
      <c r="A66" s="7">
        <v>38626</v>
      </c>
      <c r="B66" s="7" t="str">
        <f>PROPER(CONCATENATE(Datos_paciente!C66," ",Datos_paciente!A66," ",Datos_paciente!B66,""))</f>
        <v>Karla Mireth Torres Rodriguez</v>
      </c>
      <c r="C66" s="5" t="s">
        <v>25</v>
      </c>
      <c r="D66" s="8" t="s">
        <v>169</v>
      </c>
      <c r="E66" s="8">
        <f t="shared" ca="1" si="5"/>
        <v>15</v>
      </c>
      <c r="F66" s="5" t="s">
        <v>1</v>
      </c>
      <c r="G66" s="5" t="s">
        <v>29</v>
      </c>
      <c r="H66" s="10" t="s">
        <v>170</v>
      </c>
      <c r="I66" s="26">
        <v>37665</v>
      </c>
      <c r="J66" s="27">
        <f t="shared" ref="J66:J129" ca="1" si="6">I66-(IF(F66="F",(IF(E66&lt;18,I66*0.05,IF(E66&lt;34,I66*0.1,IF(E66&gt;62,I66*0.5,0)))),IF(F66="M",IF(E66&gt;65,I66*0.3,0),0)))</f>
        <v>35781.75</v>
      </c>
      <c r="K66" s="72">
        <f t="shared" si="2"/>
        <v>10</v>
      </c>
      <c r="L66" s="10">
        <f t="shared" ca="1" si="3"/>
        <v>11299.5</v>
      </c>
    </row>
    <row r="67" spans="1:12" x14ac:dyDescent="0.25">
      <c r="A67" s="7">
        <v>38968</v>
      </c>
      <c r="B67" s="7" t="str">
        <f>PROPER(CONCATENATE(Datos_paciente!C67," ",Datos_paciente!A67," ",Datos_paciente!B67,""))</f>
        <v>Sara  Moreno Zapata</v>
      </c>
      <c r="C67" s="5" t="s">
        <v>25</v>
      </c>
      <c r="D67" s="8" t="s">
        <v>171</v>
      </c>
      <c r="E67" s="8">
        <f t="shared" ca="1" si="5"/>
        <v>14</v>
      </c>
      <c r="F67" s="5" t="s">
        <v>1</v>
      </c>
      <c r="G67" s="5" t="s">
        <v>35</v>
      </c>
      <c r="H67" s="10" t="s">
        <v>36</v>
      </c>
      <c r="I67" s="26">
        <v>36963</v>
      </c>
      <c r="J67" s="27">
        <f t="shared" ca="1" si="6"/>
        <v>35114.85</v>
      </c>
      <c r="K67" s="72">
        <f t="shared" ref="K67:K130" si="7">MONTH(A67)</f>
        <v>9</v>
      </c>
      <c r="L67" s="10">
        <f t="shared" ref="L67:L130" ca="1" si="8">IF(F67="F",IF(E67&gt;AVERAGEIF(F67:F333,"F",E67:E333),I67*0.3,I67),AVERAGEIF(F67:F333,"M",E67:E333))</f>
        <v>36963</v>
      </c>
    </row>
    <row r="68" spans="1:12" x14ac:dyDescent="0.25">
      <c r="A68" s="7">
        <v>38960</v>
      </c>
      <c r="B68" s="7" t="str">
        <f>PROPER(CONCATENATE(Datos_paciente!C68," ",Datos_paciente!A68," ",Datos_paciente!B68,""))</f>
        <v>Stefany  Zabala Ok06 Callejas</v>
      </c>
      <c r="C68" s="5" t="s">
        <v>25</v>
      </c>
      <c r="D68" s="8" t="s">
        <v>174</v>
      </c>
      <c r="E68" s="8">
        <f t="shared" ca="1" si="5"/>
        <v>14</v>
      </c>
      <c r="F68" s="5" t="s">
        <v>1</v>
      </c>
      <c r="G68" s="5" t="s">
        <v>35</v>
      </c>
      <c r="H68" s="10" t="s">
        <v>27</v>
      </c>
      <c r="I68" s="26">
        <v>51365</v>
      </c>
      <c r="J68" s="27">
        <f t="shared" ca="1" si="6"/>
        <v>48796.75</v>
      </c>
      <c r="K68" s="72">
        <f t="shared" si="7"/>
        <v>8</v>
      </c>
      <c r="L68" s="10">
        <f t="shared" ca="1" si="8"/>
        <v>51365</v>
      </c>
    </row>
    <row r="69" spans="1:12" x14ac:dyDescent="0.25">
      <c r="A69" s="7">
        <v>38010</v>
      </c>
      <c r="B69" s="7" t="str">
        <f>PROPER(CONCATENATE(Datos_paciente!C69," ",Datos_paciente!A69," ",Datos_paciente!B69,""))</f>
        <v>Valeria  Olaya Lora</v>
      </c>
      <c r="C69" s="5" t="s">
        <v>25</v>
      </c>
      <c r="D69" s="8" t="s">
        <v>177</v>
      </c>
      <c r="E69" s="8">
        <f t="shared" ca="1" si="5"/>
        <v>17</v>
      </c>
      <c r="F69" s="5" t="s">
        <v>1</v>
      </c>
      <c r="G69" s="5" t="s">
        <v>29</v>
      </c>
      <c r="H69" s="13" t="s">
        <v>667</v>
      </c>
      <c r="I69" s="26">
        <v>25863</v>
      </c>
      <c r="J69" s="27">
        <f t="shared" ca="1" si="6"/>
        <v>24569.85</v>
      </c>
      <c r="K69" s="72">
        <f t="shared" si="7"/>
        <v>1</v>
      </c>
      <c r="L69" s="10">
        <f t="shared" ca="1" si="8"/>
        <v>7758.9</v>
      </c>
    </row>
    <row r="70" spans="1:12" x14ac:dyDescent="0.25">
      <c r="A70" s="7">
        <v>38243</v>
      </c>
      <c r="B70" s="7" t="str">
        <f>PROPER(CONCATENATE(Datos_paciente!C70," ",Datos_paciente!A70," ",Datos_paciente!B70,""))</f>
        <v>Isabela  Pelaez Bedoya</v>
      </c>
      <c r="C70" s="5" t="s">
        <v>0</v>
      </c>
      <c r="D70" s="8" t="s">
        <v>179</v>
      </c>
      <c r="E70" s="8">
        <f t="shared" ca="1" si="5"/>
        <v>16</v>
      </c>
      <c r="F70" s="5" t="s">
        <v>1</v>
      </c>
      <c r="G70" s="5" t="s">
        <v>29</v>
      </c>
      <c r="H70" s="10" t="s">
        <v>50</v>
      </c>
      <c r="I70" s="26">
        <v>21885</v>
      </c>
      <c r="J70" s="27">
        <f t="shared" ca="1" si="6"/>
        <v>20790.75</v>
      </c>
      <c r="K70" s="72">
        <f t="shared" si="7"/>
        <v>9</v>
      </c>
      <c r="L70" s="10">
        <f t="shared" ca="1" si="8"/>
        <v>6565.5</v>
      </c>
    </row>
    <row r="71" spans="1:12" x14ac:dyDescent="0.25">
      <c r="A71" s="7">
        <v>39453</v>
      </c>
      <c r="B71" s="7" t="str">
        <f>PROPER(CONCATENATE(Datos_paciente!C71," ",Datos_paciente!A71," ",Datos_paciente!B71,""))</f>
        <v>Yessica (Hijo - Hijo Quintero Ochoa</v>
      </c>
      <c r="C71" s="5" t="s">
        <v>81</v>
      </c>
      <c r="D71" s="8" t="s">
        <v>180</v>
      </c>
      <c r="E71" s="8">
        <f t="shared" ca="1" si="5"/>
        <v>13</v>
      </c>
      <c r="F71" s="5" t="s">
        <v>1</v>
      </c>
      <c r="G71" s="5" t="s">
        <v>35</v>
      </c>
      <c r="H71" s="10" t="s">
        <v>36</v>
      </c>
      <c r="I71" s="26">
        <v>73291</v>
      </c>
      <c r="J71" s="27">
        <f t="shared" ca="1" si="6"/>
        <v>69626.45</v>
      </c>
      <c r="K71" s="72">
        <f t="shared" si="7"/>
        <v>1</v>
      </c>
      <c r="L71" s="10">
        <f t="shared" ca="1" si="8"/>
        <v>73291</v>
      </c>
    </row>
    <row r="72" spans="1:12" x14ac:dyDescent="0.25">
      <c r="A72" s="7">
        <v>38745</v>
      </c>
      <c r="B72" s="7" t="str">
        <f>PROPER(CONCATENATE(Datos_paciente!C72," ",Datos_paciente!A72," ",Datos_paciente!B72,""))</f>
        <v>Xiomara  Monsalve Cardona</v>
      </c>
      <c r="C72" s="5" t="s">
        <v>25</v>
      </c>
      <c r="D72" s="8" t="s">
        <v>181</v>
      </c>
      <c r="E72" s="8">
        <f t="shared" ca="1" si="5"/>
        <v>15</v>
      </c>
      <c r="F72" s="5" t="s">
        <v>1</v>
      </c>
      <c r="G72" s="5" t="s">
        <v>35</v>
      </c>
      <c r="H72" s="10" t="s">
        <v>32</v>
      </c>
      <c r="I72" s="26">
        <v>50682</v>
      </c>
      <c r="J72" s="27">
        <f t="shared" ca="1" si="6"/>
        <v>48147.9</v>
      </c>
      <c r="K72" s="72">
        <f t="shared" si="7"/>
        <v>1</v>
      </c>
      <c r="L72" s="10">
        <f t="shared" ca="1" si="8"/>
        <v>15204.599999999999</v>
      </c>
    </row>
    <row r="73" spans="1:12" x14ac:dyDescent="0.25">
      <c r="A73" s="7">
        <v>39502</v>
      </c>
      <c r="B73" s="7" t="str">
        <f>PROPER(CONCATENATE(Datos_paciente!C73," ",Datos_paciente!A73," ",Datos_paciente!B73,""))</f>
        <v>Miguel Angel Charris Lopez</v>
      </c>
      <c r="C73" s="5" t="s">
        <v>25</v>
      </c>
      <c r="D73" s="8" t="s">
        <v>183</v>
      </c>
      <c r="E73" s="8">
        <f t="shared" ca="1" si="5"/>
        <v>12</v>
      </c>
      <c r="F73" s="5" t="s">
        <v>3</v>
      </c>
      <c r="G73" s="5" t="s">
        <v>29</v>
      </c>
      <c r="H73" s="10" t="s">
        <v>32</v>
      </c>
      <c r="I73" s="26">
        <v>91507</v>
      </c>
      <c r="J73" s="27">
        <f t="shared" ca="1" si="6"/>
        <v>91507</v>
      </c>
      <c r="K73" s="72">
        <f t="shared" si="7"/>
        <v>2</v>
      </c>
      <c r="L73" s="10">
        <f t="shared" ca="1" si="8"/>
        <v>13.972727272727273</v>
      </c>
    </row>
    <row r="74" spans="1:12" x14ac:dyDescent="0.25">
      <c r="A74" s="7">
        <v>38681</v>
      </c>
      <c r="B74" s="7" t="str">
        <f>PROPER(CONCATENATE(Datos_paciente!C74," ",Datos_paciente!A74," ",Datos_paciente!B74,""))</f>
        <v>Isabela  Zapata Amaya</v>
      </c>
      <c r="C74" s="5" t="s">
        <v>25</v>
      </c>
      <c r="D74" s="8" t="s">
        <v>185</v>
      </c>
      <c r="E74" s="8">
        <f t="shared" ca="1" si="5"/>
        <v>15</v>
      </c>
      <c r="F74" s="5" t="s">
        <v>1</v>
      </c>
      <c r="G74" s="5" t="s">
        <v>29</v>
      </c>
      <c r="H74" s="13" t="s">
        <v>667</v>
      </c>
      <c r="I74" s="26">
        <v>51961</v>
      </c>
      <c r="J74" s="27">
        <f t="shared" ca="1" si="6"/>
        <v>49362.95</v>
      </c>
      <c r="K74" s="72">
        <f t="shared" si="7"/>
        <v>11</v>
      </c>
      <c r="L74" s="10">
        <f t="shared" ca="1" si="8"/>
        <v>15588.3</v>
      </c>
    </row>
    <row r="75" spans="1:12" x14ac:dyDescent="0.25">
      <c r="A75" s="7">
        <v>39815</v>
      </c>
      <c r="B75" s="7" t="str">
        <f>PROPER(CONCATENATE(Datos_paciente!C75," ",Datos_paciente!A75," ",Datos_paciente!B75,""))</f>
        <v>Ana Etelvina Arias Alcaraz</v>
      </c>
      <c r="C75" s="5" t="s">
        <v>0</v>
      </c>
      <c r="D75" s="8" t="s">
        <v>187</v>
      </c>
      <c r="E75" s="8">
        <f t="shared" ca="1" si="5"/>
        <v>12</v>
      </c>
      <c r="F75" s="5" t="s">
        <v>1</v>
      </c>
      <c r="G75" s="5" t="s">
        <v>29</v>
      </c>
      <c r="H75" s="10" t="s">
        <v>188</v>
      </c>
      <c r="I75" s="26">
        <v>54120</v>
      </c>
      <c r="J75" s="27">
        <f t="shared" ca="1" si="6"/>
        <v>51414</v>
      </c>
      <c r="K75" s="72">
        <f t="shared" si="7"/>
        <v>1</v>
      </c>
      <c r="L75" s="10">
        <f t="shared" ca="1" si="8"/>
        <v>54120</v>
      </c>
    </row>
    <row r="76" spans="1:12" x14ac:dyDescent="0.25">
      <c r="A76" s="7">
        <v>39168</v>
      </c>
      <c r="B76" s="7" t="str">
        <f>PROPER(CONCATENATE(Datos_paciente!C76," ",Datos_paciente!A76," ",Datos_paciente!B76,""))</f>
        <v>Juan Manuel Marin Florez</v>
      </c>
      <c r="C76" s="5" t="s">
        <v>25</v>
      </c>
      <c r="D76" s="8" t="s">
        <v>191</v>
      </c>
      <c r="E76" s="8">
        <f t="shared" ca="1" si="5"/>
        <v>13</v>
      </c>
      <c r="F76" s="5" t="s">
        <v>3</v>
      </c>
      <c r="G76" s="5" t="s">
        <v>35</v>
      </c>
      <c r="H76" s="10" t="s">
        <v>27</v>
      </c>
      <c r="I76" s="26">
        <v>80815</v>
      </c>
      <c r="J76" s="27">
        <f t="shared" ca="1" si="6"/>
        <v>80815</v>
      </c>
      <c r="K76" s="72">
        <f t="shared" si="7"/>
        <v>3</v>
      </c>
      <c r="L76" s="10">
        <f t="shared" ca="1" si="8"/>
        <v>13.990825688073395</v>
      </c>
    </row>
    <row r="77" spans="1:12" x14ac:dyDescent="0.25">
      <c r="A77" s="7">
        <v>38561</v>
      </c>
      <c r="B77" s="7" t="str">
        <f>PROPER(CONCATENATE(Datos_paciente!C77," ",Datos_paciente!A77," ",Datos_paciente!B77,""))</f>
        <v>Maria Isabel Jimenez Uribe</v>
      </c>
      <c r="C77" s="5" t="s">
        <v>25</v>
      </c>
      <c r="D77" s="8" t="s">
        <v>193</v>
      </c>
      <c r="E77" s="8">
        <f t="shared" ca="1" si="5"/>
        <v>15</v>
      </c>
      <c r="F77" s="5" t="s">
        <v>1</v>
      </c>
      <c r="G77" s="5" t="s">
        <v>29</v>
      </c>
      <c r="H77" s="10" t="s">
        <v>61</v>
      </c>
      <c r="I77" s="26">
        <v>56274</v>
      </c>
      <c r="J77" s="27">
        <f t="shared" ca="1" si="6"/>
        <v>53460.3</v>
      </c>
      <c r="K77" s="72">
        <f t="shared" si="7"/>
        <v>7</v>
      </c>
      <c r="L77" s="10">
        <f t="shared" ca="1" si="8"/>
        <v>16882.2</v>
      </c>
    </row>
    <row r="78" spans="1:12" x14ac:dyDescent="0.25">
      <c r="A78" s="7">
        <v>39475</v>
      </c>
      <c r="B78" s="7" t="str">
        <f>PROPER(CONCATENATE(Datos_paciente!C78," ",Datos_paciente!A78," ",Datos_paciente!B78,""))</f>
        <v>Alexandra Paola Sosa Marquez</v>
      </c>
      <c r="C78" s="5" t="s">
        <v>25</v>
      </c>
      <c r="D78" s="8" t="s">
        <v>196</v>
      </c>
      <c r="E78" s="8">
        <f t="shared" ca="1" si="5"/>
        <v>13</v>
      </c>
      <c r="F78" s="5" t="s">
        <v>1</v>
      </c>
      <c r="G78" s="5" t="s">
        <v>35</v>
      </c>
      <c r="H78" s="10" t="s">
        <v>32</v>
      </c>
      <c r="I78" s="26">
        <v>64183</v>
      </c>
      <c r="J78" s="27">
        <f t="shared" ca="1" si="6"/>
        <v>60973.85</v>
      </c>
      <c r="K78" s="72">
        <f t="shared" si="7"/>
        <v>1</v>
      </c>
      <c r="L78" s="10">
        <f t="shared" ca="1" si="8"/>
        <v>64183</v>
      </c>
    </row>
    <row r="79" spans="1:12" x14ac:dyDescent="0.25">
      <c r="A79" s="7">
        <v>39488</v>
      </c>
      <c r="B79" s="7" t="str">
        <f>PROPER(CONCATENATE(Datos_paciente!C79," ",Datos_paciente!A79," ",Datos_paciente!B79,""))</f>
        <v>Isabela  Duque Pineda</v>
      </c>
      <c r="C79" s="5" t="s">
        <v>25</v>
      </c>
      <c r="D79" s="8" t="s">
        <v>199</v>
      </c>
      <c r="E79" s="8">
        <f t="shared" ca="1" si="5"/>
        <v>13</v>
      </c>
      <c r="F79" s="5" t="s">
        <v>1</v>
      </c>
      <c r="G79" s="5" t="s">
        <v>35</v>
      </c>
      <c r="H79" s="10" t="s">
        <v>32</v>
      </c>
      <c r="I79" s="26">
        <v>88735</v>
      </c>
      <c r="J79" s="27">
        <f t="shared" ca="1" si="6"/>
        <v>84298.25</v>
      </c>
      <c r="K79" s="72">
        <f t="shared" si="7"/>
        <v>2</v>
      </c>
      <c r="L79" s="10">
        <f t="shared" ca="1" si="8"/>
        <v>88735</v>
      </c>
    </row>
    <row r="80" spans="1:12" x14ac:dyDescent="0.25">
      <c r="A80" s="7">
        <v>38238</v>
      </c>
      <c r="B80" s="7" t="str">
        <f>PROPER(CONCATENATE(Datos_paciente!C80," ",Datos_paciente!A80," ",Datos_paciente!B80,""))</f>
        <v>Luis Miguel Aguirre Gomez</v>
      </c>
      <c r="C80" s="5" t="s">
        <v>25</v>
      </c>
      <c r="D80" s="8" t="s">
        <v>201</v>
      </c>
      <c r="E80" s="8">
        <f t="shared" ca="1" si="5"/>
        <v>16</v>
      </c>
      <c r="F80" s="5" t="s">
        <v>3</v>
      </c>
      <c r="G80" s="5" t="s">
        <v>35</v>
      </c>
      <c r="H80" s="12" t="s">
        <v>36</v>
      </c>
      <c r="I80" s="26">
        <v>40822</v>
      </c>
      <c r="J80" s="27">
        <f t="shared" ca="1" si="6"/>
        <v>40822</v>
      </c>
      <c r="K80" s="72">
        <f t="shared" si="7"/>
        <v>9</v>
      </c>
      <c r="L80" s="10">
        <f t="shared" ca="1" si="8"/>
        <v>14</v>
      </c>
    </row>
    <row r="81" spans="1:12" x14ac:dyDescent="0.25">
      <c r="A81" s="7">
        <v>38279</v>
      </c>
      <c r="B81" s="7" t="str">
        <f>PROPER(CONCATENATE(Datos_paciente!C81," ",Datos_paciente!A81," ",Datos_paciente!B81,""))</f>
        <v>Juan Jose Montoya Hernandez</v>
      </c>
      <c r="C81" s="5" t="s">
        <v>25</v>
      </c>
      <c r="D81" s="8" t="s">
        <v>202</v>
      </c>
      <c r="E81" s="8">
        <f t="shared" ca="1" si="5"/>
        <v>16</v>
      </c>
      <c r="F81" s="5" t="s">
        <v>3</v>
      </c>
      <c r="G81" s="5" t="s">
        <v>35</v>
      </c>
      <c r="H81" s="10" t="s">
        <v>36</v>
      </c>
      <c r="I81" s="26">
        <v>41191</v>
      </c>
      <c r="J81" s="27">
        <f t="shared" ca="1" si="6"/>
        <v>41191</v>
      </c>
      <c r="K81" s="72">
        <f t="shared" si="7"/>
        <v>10</v>
      </c>
      <c r="L81" s="10">
        <f t="shared" ca="1" si="8"/>
        <v>13.981308411214954</v>
      </c>
    </row>
    <row r="82" spans="1:12" x14ac:dyDescent="0.25">
      <c r="A82" s="7">
        <v>39246</v>
      </c>
      <c r="B82" s="7" t="str">
        <f>PROPER(CONCATENATE(Datos_paciente!C82," ",Datos_paciente!A82," ",Datos_paciente!B82,""))</f>
        <v>Juan  Mejia Gomez</v>
      </c>
      <c r="C82" s="5" t="s">
        <v>25</v>
      </c>
      <c r="D82" s="8" t="s">
        <v>203</v>
      </c>
      <c r="E82" s="8">
        <f t="shared" ca="1" si="5"/>
        <v>13</v>
      </c>
      <c r="F82" s="5" t="s">
        <v>3</v>
      </c>
      <c r="G82" s="5" t="s">
        <v>45</v>
      </c>
      <c r="H82" s="10" t="s">
        <v>142</v>
      </c>
      <c r="I82" s="26">
        <v>78835</v>
      </c>
      <c r="J82" s="27">
        <f t="shared" ca="1" si="6"/>
        <v>78835</v>
      </c>
      <c r="K82" s="72">
        <f t="shared" si="7"/>
        <v>6</v>
      </c>
      <c r="L82" s="10">
        <f t="shared" ca="1" si="8"/>
        <v>13.962264150943396</v>
      </c>
    </row>
    <row r="83" spans="1:12" x14ac:dyDescent="0.25">
      <c r="A83" s="7">
        <v>39357</v>
      </c>
      <c r="B83" s="7" t="str">
        <f>PROPER(CONCATENATE(Datos_paciente!C83," ",Datos_paciente!A83," ",Datos_paciente!B83,""))</f>
        <v>Anderson  Campo Campo</v>
      </c>
      <c r="C83" s="5" t="s">
        <v>25</v>
      </c>
      <c r="D83" s="8" t="s">
        <v>205</v>
      </c>
      <c r="E83" s="8">
        <f t="shared" ca="1" si="5"/>
        <v>13</v>
      </c>
      <c r="F83" s="5" t="s">
        <v>3</v>
      </c>
      <c r="G83" s="5" t="s">
        <v>35</v>
      </c>
      <c r="H83" s="10" t="s">
        <v>32</v>
      </c>
      <c r="I83" s="26">
        <v>94675</v>
      </c>
      <c r="J83" s="27">
        <f t="shared" ca="1" si="6"/>
        <v>94675</v>
      </c>
      <c r="K83" s="72">
        <f t="shared" si="7"/>
        <v>10</v>
      </c>
      <c r="L83" s="10">
        <f t="shared" ca="1" si="8"/>
        <v>13.971428571428572</v>
      </c>
    </row>
    <row r="84" spans="1:12" x14ac:dyDescent="0.25">
      <c r="A84" s="7">
        <v>39326</v>
      </c>
      <c r="B84" s="7" t="str">
        <f>PROPER(CONCATENATE(Datos_paciente!C84," ",Datos_paciente!A84," ",Datos_paciente!B84,""))</f>
        <v>Mateo  Hurtado Tamanis</v>
      </c>
      <c r="C84" s="5" t="s">
        <v>25</v>
      </c>
      <c r="D84" s="8" t="s">
        <v>207</v>
      </c>
      <c r="E84" s="8">
        <f t="shared" ca="1" si="5"/>
        <v>13</v>
      </c>
      <c r="F84" s="5" t="s">
        <v>3</v>
      </c>
      <c r="G84" s="5" t="s">
        <v>35</v>
      </c>
      <c r="H84" s="10" t="s">
        <v>36</v>
      </c>
      <c r="I84" s="26">
        <v>83191</v>
      </c>
      <c r="J84" s="27">
        <f t="shared" ca="1" si="6"/>
        <v>83191</v>
      </c>
      <c r="K84" s="72">
        <f t="shared" si="7"/>
        <v>9</v>
      </c>
      <c r="L84" s="10">
        <f t="shared" ca="1" si="8"/>
        <v>13.98076923076923</v>
      </c>
    </row>
    <row r="85" spans="1:12" x14ac:dyDescent="0.25">
      <c r="A85" s="7">
        <v>38575</v>
      </c>
      <c r="B85" s="7" t="str">
        <f>PROPER(CONCATENATE(Datos_paciente!C85," ",Datos_paciente!A85," ",Datos_paciente!B85,""))</f>
        <v>Natalia  Restrepo Valencia</v>
      </c>
      <c r="C85" s="5" t="s">
        <v>25</v>
      </c>
      <c r="D85" s="8" t="s">
        <v>209</v>
      </c>
      <c r="E85" s="8">
        <f t="shared" ca="1" si="5"/>
        <v>15</v>
      </c>
      <c r="F85" s="5" t="s">
        <v>1</v>
      </c>
      <c r="G85" s="5" t="s">
        <v>29</v>
      </c>
      <c r="H85" s="10" t="s">
        <v>32</v>
      </c>
      <c r="I85" s="26">
        <v>19008</v>
      </c>
      <c r="J85" s="27">
        <f t="shared" ca="1" si="6"/>
        <v>18057.599999999999</v>
      </c>
      <c r="K85" s="72">
        <f t="shared" si="7"/>
        <v>8</v>
      </c>
      <c r="L85" s="10">
        <f t="shared" ca="1" si="8"/>
        <v>5702.4</v>
      </c>
    </row>
    <row r="86" spans="1:12" x14ac:dyDescent="0.25">
      <c r="A86" s="7">
        <v>39222</v>
      </c>
      <c r="B86" s="7" t="str">
        <f>PROPER(CONCATENATE(Datos_paciente!C86," ",Datos_paciente!A86," ",Datos_paciente!B86,""))</f>
        <v>Diana Angel Bonilla Salcedo</v>
      </c>
      <c r="C86" s="5" t="s">
        <v>25</v>
      </c>
      <c r="D86" s="8" t="s">
        <v>210</v>
      </c>
      <c r="E86" s="8">
        <f t="shared" ca="1" si="5"/>
        <v>13</v>
      </c>
      <c r="F86" s="5" t="s">
        <v>1</v>
      </c>
      <c r="G86" s="5" t="s">
        <v>29</v>
      </c>
      <c r="H86" s="10" t="s">
        <v>61</v>
      </c>
      <c r="I86" s="26">
        <v>95863</v>
      </c>
      <c r="J86" s="27">
        <f t="shared" ca="1" si="6"/>
        <v>91069.85</v>
      </c>
      <c r="K86" s="72">
        <f t="shared" si="7"/>
        <v>5</v>
      </c>
      <c r="L86" s="10">
        <f t="shared" ca="1" si="8"/>
        <v>95863</v>
      </c>
    </row>
    <row r="87" spans="1:12" x14ac:dyDescent="0.25">
      <c r="A87" s="7">
        <v>39583</v>
      </c>
      <c r="B87" s="7" t="str">
        <f>PROPER(CONCATENATE(Datos_paciente!C87," ",Datos_paciente!A87," ",Datos_paciente!B87,""))</f>
        <v>Juan  Castrillon Camacho</v>
      </c>
      <c r="C87" s="5" t="s">
        <v>25</v>
      </c>
      <c r="D87" s="8" t="s">
        <v>213</v>
      </c>
      <c r="E87" s="8">
        <f t="shared" ca="1" si="5"/>
        <v>12</v>
      </c>
      <c r="F87" s="5" t="s">
        <v>3</v>
      </c>
      <c r="G87" s="5" t="s">
        <v>29</v>
      </c>
      <c r="H87" s="10" t="s">
        <v>142</v>
      </c>
      <c r="I87" s="26">
        <v>93091</v>
      </c>
      <c r="J87" s="27">
        <f t="shared" ca="1" si="6"/>
        <v>93091</v>
      </c>
      <c r="K87" s="72">
        <f t="shared" si="7"/>
        <v>5</v>
      </c>
      <c r="L87" s="10">
        <f t="shared" ca="1" si="8"/>
        <v>13.990291262135923</v>
      </c>
    </row>
    <row r="88" spans="1:12" x14ac:dyDescent="0.25">
      <c r="A88" s="7">
        <v>39000</v>
      </c>
      <c r="B88" s="7" t="str">
        <f>PROPER(CONCATENATE(Datos_paciente!C88," ",Datos_paciente!A88," ",Datos_paciente!B88,""))</f>
        <v>Veronica  Tamayo Yepez</v>
      </c>
      <c r="C88" s="5" t="s">
        <v>25</v>
      </c>
      <c r="D88" s="8" t="s">
        <v>215</v>
      </c>
      <c r="E88" s="8">
        <f t="shared" ca="1" si="5"/>
        <v>14</v>
      </c>
      <c r="F88" s="5" t="s">
        <v>1</v>
      </c>
      <c r="G88" s="5" t="s">
        <v>35</v>
      </c>
      <c r="H88" s="10" t="s">
        <v>36</v>
      </c>
      <c r="I88" s="26">
        <v>46345</v>
      </c>
      <c r="J88" s="27">
        <f t="shared" ca="1" si="6"/>
        <v>44027.75</v>
      </c>
      <c r="K88" s="72">
        <f t="shared" si="7"/>
        <v>10</v>
      </c>
      <c r="L88" s="10">
        <f t="shared" ca="1" si="8"/>
        <v>46345</v>
      </c>
    </row>
    <row r="89" spans="1:12" x14ac:dyDescent="0.25">
      <c r="A89" s="7">
        <v>39266</v>
      </c>
      <c r="B89" s="7" t="str">
        <f>PROPER(CONCATENATE(Datos_paciente!C89," ",Datos_paciente!A89," ",Datos_paciente!B89,""))</f>
        <v>Mariana  Florez Florez</v>
      </c>
      <c r="C89" s="5" t="s">
        <v>25</v>
      </c>
      <c r="D89" s="8" t="s">
        <v>216</v>
      </c>
      <c r="E89" s="8">
        <f t="shared" ca="1" si="5"/>
        <v>13</v>
      </c>
      <c r="F89" s="5" t="s">
        <v>1</v>
      </c>
      <c r="G89" s="5" t="s">
        <v>29</v>
      </c>
      <c r="H89" s="13" t="s">
        <v>667</v>
      </c>
      <c r="I89" s="26">
        <v>82399</v>
      </c>
      <c r="J89" s="27">
        <f t="shared" ca="1" si="6"/>
        <v>78279.05</v>
      </c>
      <c r="K89" s="72">
        <f t="shared" si="7"/>
        <v>7</v>
      </c>
      <c r="L89" s="10">
        <f t="shared" ca="1" si="8"/>
        <v>82399</v>
      </c>
    </row>
    <row r="90" spans="1:12" x14ac:dyDescent="0.25">
      <c r="A90" s="7">
        <v>38197</v>
      </c>
      <c r="B90" s="7" t="str">
        <f>PROPER(CONCATENATE(Datos_paciente!C90," ",Datos_paciente!A90," ",Datos_paciente!B90,""))</f>
        <v>Yhorindel  Mu?Oz Guarin</v>
      </c>
      <c r="C90" s="5" t="s">
        <v>25</v>
      </c>
      <c r="D90" s="8" t="s">
        <v>219</v>
      </c>
      <c r="E90" s="8">
        <f t="shared" ca="1" si="5"/>
        <v>16</v>
      </c>
      <c r="F90" s="5" t="s">
        <v>3</v>
      </c>
      <c r="G90" s="5" t="s">
        <v>35</v>
      </c>
      <c r="H90" s="10" t="s">
        <v>27</v>
      </c>
      <c r="I90" s="26">
        <v>15243</v>
      </c>
      <c r="J90" s="27">
        <f t="shared" ca="1" si="6"/>
        <v>15243</v>
      </c>
      <c r="K90" s="72">
        <f t="shared" si="7"/>
        <v>7</v>
      </c>
      <c r="L90" s="10">
        <f t="shared" ca="1" si="8"/>
        <v>14.009803921568627</v>
      </c>
    </row>
    <row r="91" spans="1:12" x14ac:dyDescent="0.25">
      <c r="A91" s="7">
        <v>39502</v>
      </c>
      <c r="B91" s="7" t="str">
        <f>PROPER(CONCATENATE(Datos_paciente!C91," ",Datos_paciente!A91," ",Datos_paciente!B91,""))</f>
        <v>Miguel Angel Pete Suarez</v>
      </c>
      <c r="C91" s="5" t="s">
        <v>25</v>
      </c>
      <c r="D91" s="8" t="s">
        <v>221</v>
      </c>
      <c r="E91" s="8">
        <f t="shared" ca="1" si="5"/>
        <v>12</v>
      </c>
      <c r="F91" s="5" t="s">
        <v>3</v>
      </c>
      <c r="G91" s="5" t="s">
        <v>45</v>
      </c>
      <c r="H91" s="10" t="s">
        <v>142</v>
      </c>
      <c r="I91" s="26">
        <v>91111</v>
      </c>
      <c r="J91" s="27">
        <f t="shared" ca="1" si="6"/>
        <v>91111</v>
      </c>
      <c r="K91" s="72">
        <f t="shared" si="7"/>
        <v>2</v>
      </c>
      <c r="L91" s="10">
        <f t="shared" ca="1" si="8"/>
        <v>13.990099009900991</v>
      </c>
    </row>
    <row r="92" spans="1:12" x14ac:dyDescent="0.25">
      <c r="A92" s="7">
        <v>39219</v>
      </c>
      <c r="B92" s="7" t="str">
        <f>PROPER(CONCATENATE(Datos_paciente!C92," ",Datos_paciente!A92," ",Datos_paciente!B92,""))</f>
        <v>Nicolle  Betancur Nieto</v>
      </c>
      <c r="C92" s="5" t="s">
        <v>25</v>
      </c>
      <c r="D92" s="8" t="s">
        <v>224</v>
      </c>
      <c r="E92" s="8">
        <f t="shared" ca="1" si="5"/>
        <v>13</v>
      </c>
      <c r="F92" s="5" t="s">
        <v>1</v>
      </c>
      <c r="G92" s="5" t="s">
        <v>35</v>
      </c>
      <c r="H92" s="10" t="s">
        <v>36</v>
      </c>
      <c r="I92" s="26">
        <v>97051</v>
      </c>
      <c r="J92" s="27">
        <f t="shared" ca="1" si="6"/>
        <v>92198.45</v>
      </c>
      <c r="K92" s="72">
        <f t="shared" si="7"/>
        <v>5</v>
      </c>
      <c r="L92" s="10">
        <f t="shared" ca="1" si="8"/>
        <v>97051</v>
      </c>
    </row>
    <row r="93" spans="1:12" x14ac:dyDescent="0.25">
      <c r="A93" s="7">
        <v>38383</v>
      </c>
      <c r="B93" s="7" t="str">
        <f>PROPER(CONCATENATE(Datos_paciente!C93," ",Datos_paciente!A93," ",Datos_paciente!B93,""))</f>
        <v>Alexis  Casta?Eda Buritica</v>
      </c>
      <c r="C93" s="5" t="s">
        <v>25</v>
      </c>
      <c r="D93" s="8" t="s">
        <v>226</v>
      </c>
      <c r="E93" s="8">
        <f t="shared" ca="1" si="5"/>
        <v>16</v>
      </c>
      <c r="F93" s="5" t="s">
        <v>3</v>
      </c>
      <c r="G93" s="5" t="s">
        <v>45</v>
      </c>
      <c r="H93" s="10" t="s">
        <v>46</v>
      </c>
      <c r="I93" s="26">
        <v>28742</v>
      </c>
      <c r="J93" s="27">
        <f t="shared" ca="1" si="6"/>
        <v>28742</v>
      </c>
      <c r="K93" s="72">
        <f t="shared" si="7"/>
        <v>1</v>
      </c>
      <c r="L93" s="10">
        <f t="shared" ca="1" si="8"/>
        <v>14.01</v>
      </c>
    </row>
    <row r="94" spans="1:12" x14ac:dyDescent="0.25">
      <c r="A94" s="7">
        <v>39311</v>
      </c>
      <c r="B94" s="7" t="str">
        <f>PROPER(CONCATENATE(Datos_paciente!C94," ",Datos_paciente!A94," ",Datos_paciente!B94,""))</f>
        <v>Andres  Villa Loaiza</v>
      </c>
      <c r="C94" s="5" t="s">
        <v>25</v>
      </c>
      <c r="D94" s="8" t="s">
        <v>227</v>
      </c>
      <c r="E94" s="8">
        <f t="shared" ca="1" si="5"/>
        <v>13</v>
      </c>
      <c r="F94" s="5" t="s">
        <v>3</v>
      </c>
      <c r="G94" s="5" t="s">
        <v>45</v>
      </c>
      <c r="H94" s="10" t="s">
        <v>32</v>
      </c>
      <c r="I94" s="26">
        <v>61411</v>
      </c>
      <c r="J94" s="27">
        <f t="shared" ca="1" si="6"/>
        <v>61411</v>
      </c>
      <c r="K94" s="72">
        <f t="shared" si="7"/>
        <v>8</v>
      </c>
      <c r="L94" s="10">
        <f t="shared" ca="1" si="8"/>
        <v>13.98989898989899</v>
      </c>
    </row>
    <row r="95" spans="1:12" x14ac:dyDescent="0.25">
      <c r="A95" s="7">
        <v>38308</v>
      </c>
      <c r="B95" s="7" t="str">
        <f>PROPER(CONCATENATE(Datos_paciente!C95," ",Datos_paciente!A95," ",Datos_paciente!B95,""))</f>
        <v>Juan Pablo Valle Sepulveda</v>
      </c>
      <c r="C95" s="5" t="s">
        <v>25</v>
      </c>
      <c r="D95" s="8" t="s">
        <v>230</v>
      </c>
      <c r="E95" s="8">
        <f t="shared" ca="1" si="5"/>
        <v>16</v>
      </c>
      <c r="F95" s="5" t="s">
        <v>3</v>
      </c>
      <c r="G95" s="5" t="s">
        <v>45</v>
      </c>
      <c r="H95" s="10" t="s">
        <v>129</v>
      </c>
      <c r="I95" s="26">
        <v>50325</v>
      </c>
      <c r="J95" s="27">
        <f t="shared" ca="1" si="6"/>
        <v>50325</v>
      </c>
      <c r="K95" s="72">
        <f t="shared" si="7"/>
        <v>11</v>
      </c>
      <c r="L95" s="10">
        <f t="shared" ca="1" si="8"/>
        <v>14</v>
      </c>
    </row>
    <row r="96" spans="1:12" x14ac:dyDescent="0.25">
      <c r="A96" s="7">
        <v>39144</v>
      </c>
      <c r="B96" s="7" t="str">
        <f>PROPER(CONCATENATE(Datos_paciente!C96," ",Datos_paciente!A96," ",Datos_paciente!B96,""))</f>
        <v>Sebastian  Cifuentes Moncada</v>
      </c>
      <c r="C96" s="5" t="s">
        <v>25</v>
      </c>
      <c r="D96" s="8" t="s">
        <v>233</v>
      </c>
      <c r="E96" s="8">
        <f t="shared" ca="1" si="5"/>
        <v>13</v>
      </c>
      <c r="F96" s="5" t="s">
        <v>3</v>
      </c>
      <c r="G96" s="5" t="s">
        <v>35</v>
      </c>
      <c r="H96" s="10" t="s">
        <v>36</v>
      </c>
      <c r="I96" s="26">
        <v>90319</v>
      </c>
      <c r="J96" s="27">
        <f t="shared" ca="1" si="6"/>
        <v>90319</v>
      </c>
      <c r="K96" s="72">
        <f t="shared" si="7"/>
        <v>3</v>
      </c>
      <c r="L96" s="10">
        <f t="shared" ca="1" si="8"/>
        <v>13.979381443298969</v>
      </c>
    </row>
    <row r="97" spans="1:12" x14ac:dyDescent="0.25">
      <c r="A97" s="7">
        <v>39604</v>
      </c>
      <c r="B97" s="7" t="str">
        <f>PROPER(CONCATENATE(Datos_paciente!C97," ",Datos_paciente!A97," ",Datos_paciente!B97,""))</f>
        <v>Juan Camilo Ni?O Chacon</v>
      </c>
      <c r="C97" s="5" t="s">
        <v>25</v>
      </c>
      <c r="D97" s="8" t="s">
        <v>236</v>
      </c>
      <c r="E97" s="8">
        <f t="shared" ca="1" si="5"/>
        <v>12</v>
      </c>
      <c r="F97" s="5" t="s">
        <v>3</v>
      </c>
      <c r="G97" s="5" t="s">
        <v>26</v>
      </c>
      <c r="H97" s="10" t="s">
        <v>32</v>
      </c>
      <c r="I97" s="26">
        <v>76855</v>
      </c>
      <c r="J97" s="27">
        <f t="shared" ca="1" si="6"/>
        <v>76855</v>
      </c>
      <c r="K97" s="72">
        <f t="shared" si="7"/>
        <v>6</v>
      </c>
      <c r="L97" s="10">
        <f t="shared" ca="1" si="8"/>
        <v>13.989583333333334</v>
      </c>
    </row>
    <row r="98" spans="1:12" x14ac:dyDescent="0.25">
      <c r="A98" s="7">
        <v>39514</v>
      </c>
      <c r="B98" s="7" t="str">
        <f>PROPER(CONCATENATE(Datos_paciente!C98," ",Datos_paciente!A98," ",Datos_paciente!B98,""))</f>
        <v>Santiago  Suarez Sanchez</v>
      </c>
      <c r="C98" s="5" t="s">
        <v>25</v>
      </c>
      <c r="D98" s="8" t="s">
        <v>237</v>
      </c>
      <c r="E98" s="8">
        <f t="shared" ca="1" si="5"/>
        <v>12</v>
      </c>
      <c r="F98" s="5" t="s">
        <v>3</v>
      </c>
      <c r="G98" s="5" t="s">
        <v>26</v>
      </c>
      <c r="H98" s="10" t="s">
        <v>32</v>
      </c>
      <c r="I98" s="26">
        <v>63787</v>
      </c>
      <c r="J98" s="27">
        <f t="shared" ca="1" si="6"/>
        <v>63787</v>
      </c>
      <c r="K98" s="72">
        <f t="shared" si="7"/>
        <v>3</v>
      </c>
      <c r="L98" s="10">
        <f t="shared" ca="1" si="8"/>
        <v>14.010526315789473</v>
      </c>
    </row>
    <row r="99" spans="1:12" x14ac:dyDescent="0.25">
      <c r="A99" s="7">
        <v>39246</v>
      </c>
      <c r="B99" s="7" t="str">
        <f>PROPER(CONCATENATE(Datos_paciente!C99," ",Datos_paciente!A99," ",Datos_paciente!B99,""))</f>
        <v>Juan  Mejia Bedoya</v>
      </c>
      <c r="C99" s="5" t="s">
        <v>25</v>
      </c>
      <c r="D99" s="8" t="s">
        <v>238</v>
      </c>
      <c r="E99" s="8">
        <f t="shared" ca="1" si="5"/>
        <v>13</v>
      </c>
      <c r="F99" s="5" t="s">
        <v>3</v>
      </c>
      <c r="G99" s="5" t="s">
        <v>29</v>
      </c>
      <c r="H99" s="10" t="s">
        <v>32</v>
      </c>
      <c r="I99" s="26">
        <v>79231</v>
      </c>
      <c r="J99" s="27">
        <f t="shared" ca="1" si="6"/>
        <v>79231</v>
      </c>
      <c r="K99" s="72">
        <f t="shared" si="7"/>
        <v>6</v>
      </c>
      <c r="L99" s="10">
        <f t="shared" ca="1" si="8"/>
        <v>14.031914893617021</v>
      </c>
    </row>
    <row r="100" spans="1:12" x14ac:dyDescent="0.25">
      <c r="A100" s="7">
        <v>38064</v>
      </c>
      <c r="B100" s="7" t="str">
        <f>PROPER(CONCATENATE(Datos_paciente!C100," ",Datos_paciente!A100," ",Datos_paciente!B100,""))</f>
        <v>Laura Valentina Ocampo Salazaar</v>
      </c>
      <c r="C100" s="5" t="s">
        <v>25</v>
      </c>
      <c r="D100" s="8" t="s">
        <v>240</v>
      </c>
      <c r="E100" s="8">
        <f t="shared" ca="1" si="5"/>
        <v>16</v>
      </c>
      <c r="F100" s="5" t="s">
        <v>1</v>
      </c>
      <c r="G100" s="5" t="s">
        <v>35</v>
      </c>
      <c r="H100" s="10" t="s">
        <v>36</v>
      </c>
      <c r="I100" s="26">
        <v>40413</v>
      </c>
      <c r="J100" s="27">
        <f t="shared" ca="1" si="6"/>
        <v>38392.35</v>
      </c>
      <c r="K100" s="72">
        <f t="shared" si="7"/>
        <v>3</v>
      </c>
      <c r="L100" s="10">
        <f t="shared" ca="1" si="8"/>
        <v>12123.9</v>
      </c>
    </row>
    <row r="101" spans="1:12" x14ac:dyDescent="0.25">
      <c r="A101" s="7">
        <v>38517</v>
      </c>
      <c r="B101" s="7" t="str">
        <f>PROPER(CONCATENATE(Datos_paciente!C101," ",Datos_paciente!A101," ",Datos_paciente!B101,""))</f>
        <v>Miguel  Pati?O Lenis</v>
      </c>
      <c r="C101" s="5" t="s">
        <v>25</v>
      </c>
      <c r="D101" s="8" t="s">
        <v>243</v>
      </c>
      <c r="E101" s="8">
        <f t="shared" ca="1" si="5"/>
        <v>15</v>
      </c>
      <c r="F101" s="5" t="s">
        <v>3</v>
      </c>
      <c r="G101" s="5" t="s">
        <v>45</v>
      </c>
      <c r="H101" s="10" t="s">
        <v>142</v>
      </c>
      <c r="I101" s="26">
        <v>57782</v>
      </c>
      <c r="J101" s="27">
        <f t="shared" ca="1" si="6"/>
        <v>57782</v>
      </c>
      <c r="K101" s="72">
        <f t="shared" si="7"/>
        <v>6</v>
      </c>
      <c r="L101" s="10">
        <f t="shared" ca="1" si="8"/>
        <v>14.043010752688172</v>
      </c>
    </row>
    <row r="102" spans="1:12" x14ac:dyDescent="0.25">
      <c r="A102" s="7">
        <v>38889</v>
      </c>
      <c r="B102" s="7" t="str">
        <f>PROPER(CONCATENATE(Datos_paciente!C102," ",Datos_paciente!A102," ",Datos_paciente!B102,""))</f>
        <v>Geraldi  Valle Aristizabal</v>
      </c>
      <c r="C102" s="5" t="s">
        <v>25</v>
      </c>
      <c r="D102" s="8" t="s">
        <v>245</v>
      </c>
      <c r="E102" s="8">
        <f t="shared" ca="1" si="5"/>
        <v>14</v>
      </c>
      <c r="F102" s="5" t="s">
        <v>1</v>
      </c>
      <c r="G102" s="5" t="s">
        <v>35</v>
      </c>
      <c r="H102" s="10" t="s">
        <v>36</v>
      </c>
      <c r="I102" s="26">
        <v>53700</v>
      </c>
      <c r="J102" s="27">
        <f t="shared" ca="1" si="6"/>
        <v>51015</v>
      </c>
      <c r="K102" s="72">
        <f t="shared" si="7"/>
        <v>6</v>
      </c>
      <c r="L102" s="10">
        <f t="shared" ca="1" si="8"/>
        <v>53700</v>
      </c>
    </row>
    <row r="103" spans="1:12" x14ac:dyDescent="0.25">
      <c r="A103" s="7">
        <v>38998</v>
      </c>
      <c r="B103" s="7" t="str">
        <f>PROPER(CONCATENATE(Datos_paciente!C103," ",Datos_paciente!A103," ",Datos_paciente!B103,""))</f>
        <v xml:space="preserve">Juan Manuel Ramirez </v>
      </c>
      <c r="C103" s="5" t="s">
        <v>25</v>
      </c>
      <c r="D103" s="8" t="s">
        <v>247</v>
      </c>
      <c r="E103" s="8">
        <f t="shared" ca="1" si="5"/>
        <v>14</v>
      </c>
      <c r="F103" s="5" t="s">
        <v>3</v>
      </c>
      <c r="G103" s="5" t="s">
        <v>29</v>
      </c>
      <c r="H103" s="13" t="s">
        <v>667</v>
      </c>
      <c r="I103" s="26">
        <v>32239</v>
      </c>
      <c r="J103" s="27">
        <f t="shared" ca="1" si="6"/>
        <v>32239</v>
      </c>
      <c r="K103" s="72">
        <f t="shared" si="7"/>
        <v>10</v>
      </c>
      <c r="L103" s="10">
        <f t="shared" ca="1" si="8"/>
        <v>14.032608695652174</v>
      </c>
    </row>
    <row r="104" spans="1:12" x14ac:dyDescent="0.25">
      <c r="A104" s="7">
        <v>38587</v>
      </c>
      <c r="B104" s="7" t="str">
        <f>PROPER(CONCATENATE(Datos_paciente!C104," ",Datos_paciente!A104," ",Datos_paciente!B104,""))</f>
        <v>Mariana  Velez Guarin</v>
      </c>
      <c r="C104" s="5" t="s">
        <v>25</v>
      </c>
      <c r="D104" s="8" t="s">
        <v>248</v>
      </c>
      <c r="E104" s="8">
        <f t="shared" ca="1" si="5"/>
        <v>15</v>
      </c>
      <c r="F104" s="5" t="s">
        <v>1</v>
      </c>
      <c r="G104" s="5" t="s">
        <v>26</v>
      </c>
      <c r="H104" s="10" t="s">
        <v>32</v>
      </c>
      <c r="I104" s="26">
        <v>45881</v>
      </c>
      <c r="J104" s="27">
        <f t="shared" ca="1" si="6"/>
        <v>43586.95</v>
      </c>
      <c r="K104" s="72">
        <f t="shared" si="7"/>
        <v>8</v>
      </c>
      <c r="L104" s="10">
        <f t="shared" ca="1" si="8"/>
        <v>13764.3</v>
      </c>
    </row>
    <row r="105" spans="1:12" x14ac:dyDescent="0.25">
      <c r="A105" s="7">
        <v>39303</v>
      </c>
      <c r="B105" s="7" t="str">
        <f>PROPER(CONCATENATE(Datos_paciente!C105," ",Datos_paciente!A105," ",Datos_paciente!B105,""))</f>
        <v>Jeronimo  Chavarriaga Arango</v>
      </c>
      <c r="C105" s="5" t="s">
        <v>25</v>
      </c>
      <c r="D105" s="8" t="s">
        <v>250</v>
      </c>
      <c r="E105" s="8">
        <f t="shared" ca="1" si="5"/>
        <v>13</v>
      </c>
      <c r="F105" s="5" t="s">
        <v>3</v>
      </c>
      <c r="G105" s="5" t="s">
        <v>29</v>
      </c>
      <c r="H105" s="10" t="s">
        <v>170</v>
      </c>
      <c r="I105" s="26">
        <v>90715</v>
      </c>
      <c r="J105" s="27">
        <f t="shared" ca="1" si="6"/>
        <v>90715</v>
      </c>
      <c r="K105" s="72">
        <f t="shared" si="7"/>
        <v>8</v>
      </c>
      <c r="L105" s="10">
        <f t="shared" ca="1" si="8"/>
        <v>14.032967032967033</v>
      </c>
    </row>
    <row r="106" spans="1:12" x14ac:dyDescent="0.25">
      <c r="A106" s="7">
        <v>39012</v>
      </c>
      <c r="B106" s="7" t="str">
        <f>PROPER(CONCATENATE(Datos_paciente!C106," ",Datos_paciente!A106," ",Datos_paciente!B106,""))</f>
        <v>Juan Camilo Saldarriaga Becerra</v>
      </c>
      <c r="C106" s="5" t="s">
        <v>25</v>
      </c>
      <c r="D106" s="8" t="s">
        <v>251</v>
      </c>
      <c r="E106" s="8">
        <f t="shared" ca="1" si="5"/>
        <v>14</v>
      </c>
      <c r="F106" s="5" t="s">
        <v>3</v>
      </c>
      <c r="G106" s="5" t="s">
        <v>26</v>
      </c>
      <c r="H106" s="10" t="s">
        <v>32</v>
      </c>
      <c r="I106" s="26">
        <v>55230</v>
      </c>
      <c r="J106" s="27">
        <f t="shared" ca="1" si="6"/>
        <v>55230</v>
      </c>
      <c r="K106" s="72">
        <f t="shared" si="7"/>
        <v>10</v>
      </c>
      <c r="L106" s="10">
        <f t="shared" ca="1" si="8"/>
        <v>14.044444444444444</v>
      </c>
    </row>
    <row r="107" spans="1:12" x14ac:dyDescent="0.25">
      <c r="A107" s="7">
        <v>38508</v>
      </c>
      <c r="B107" s="7" t="str">
        <f>PROPER(CONCATENATE(Datos_paciente!C107," ",Datos_paciente!A107," ",Datos_paciente!B107,""))</f>
        <v>Leidy Vanessa Zapata Loaiza</v>
      </c>
      <c r="C107" s="5" t="s">
        <v>25</v>
      </c>
      <c r="D107" s="8" t="s">
        <v>252</v>
      </c>
      <c r="E107" s="8">
        <f t="shared" ca="1" si="5"/>
        <v>15</v>
      </c>
      <c r="F107" s="5" t="s">
        <v>1</v>
      </c>
      <c r="G107" s="5" t="s">
        <v>35</v>
      </c>
      <c r="H107" s="10" t="s">
        <v>36</v>
      </c>
      <c r="I107" s="26">
        <v>46959</v>
      </c>
      <c r="J107" s="27">
        <f t="shared" ca="1" si="6"/>
        <v>44611.05</v>
      </c>
      <c r="K107" s="72">
        <f t="shared" si="7"/>
        <v>6</v>
      </c>
      <c r="L107" s="10">
        <f t="shared" ca="1" si="8"/>
        <v>14087.699999999999</v>
      </c>
    </row>
    <row r="108" spans="1:12" x14ac:dyDescent="0.25">
      <c r="A108" s="7">
        <v>39298</v>
      </c>
      <c r="B108" s="7" t="str">
        <f>PROPER(CONCATENATE(Datos_paciente!C108," ",Datos_paciente!A108," ",Datos_paciente!B108,""))</f>
        <v>Samuel  Ruidiaz Camargo</v>
      </c>
      <c r="C108" s="5" t="s">
        <v>25</v>
      </c>
      <c r="D108" s="8" t="s">
        <v>255</v>
      </c>
      <c r="E108" s="8">
        <f t="shared" ca="1" si="5"/>
        <v>13</v>
      </c>
      <c r="F108" s="5" t="s">
        <v>3</v>
      </c>
      <c r="G108" s="5" t="s">
        <v>26</v>
      </c>
      <c r="H108" s="10" t="s">
        <v>32</v>
      </c>
      <c r="I108" s="26">
        <v>68143</v>
      </c>
      <c r="J108" s="27">
        <f t="shared" ca="1" si="6"/>
        <v>68143</v>
      </c>
      <c r="K108" s="72">
        <f t="shared" si="7"/>
        <v>8</v>
      </c>
      <c r="L108" s="10">
        <f t="shared" ca="1" si="8"/>
        <v>14.044943820224718</v>
      </c>
    </row>
    <row r="109" spans="1:12" x14ac:dyDescent="0.25">
      <c r="A109" s="7">
        <v>39492</v>
      </c>
      <c r="B109" s="7" t="str">
        <f>PROPER(CONCATENATE(Datos_paciente!C109," ",Datos_paciente!A109," ",Datos_paciente!B109,""))</f>
        <v>Manuel  Salazar Alcalde</v>
      </c>
      <c r="C109" s="5" t="s">
        <v>25</v>
      </c>
      <c r="D109" s="8" t="s">
        <v>257</v>
      </c>
      <c r="E109" s="8">
        <f t="shared" ca="1" si="5"/>
        <v>12</v>
      </c>
      <c r="F109" s="5" t="s">
        <v>3</v>
      </c>
      <c r="G109" s="5" t="s">
        <v>35</v>
      </c>
      <c r="H109" s="10" t="s">
        <v>36</v>
      </c>
      <c r="I109" s="26">
        <v>67351</v>
      </c>
      <c r="J109" s="27">
        <f t="shared" ca="1" si="6"/>
        <v>67351</v>
      </c>
      <c r="K109" s="72">
        <f t="shared" si="7"/>
        <v>2</v>
      </c>
      <c r="L109" s="10">
        <f t="shared" ca="1" si="8"/>
        <v>14.056818181818182</v>
      </c>
    </row>
    <row r="110" spans="1:12" x14ac:dyDescent="0.25">
      <c r="A110" s="7">
        <v>39150</v>
      </c>
      <c r="B110" s="7" t="str">
        <f>PROPER(CONCATENATE(Datos_paciente!C110," ",Datos_paciente!A110," ",Datos_paciente!B110,""))</f>
        <v>Samara  Mu?Oz Hoyos</v>
      </c>
      <c r="C110" s="5" t="s">
        <v>25</v>
      </c>
      <c r="D110" s="8" t="s">
        <v>259</v>
      </c>
      <c r="E110" s="8">
        <f t="shared" ca="1" si="5"/>
        <v>13</v>
      </c>
      <c r="F110" s="5" t="s">
        <v>1</v>
      </c>
      <c r="G110" s="5" t="s">
        <v>35</v>
      </c>
      <c r="H110" s="10" t="s">
        <v>27</v>
      </c>
      <c r="I110" s="26">
        <v>77647</v>
      </c>
      <c r="J110" s="27">
        <f t="shared" ca="1" si="6"/>
        <v>73764.649999999994</v>
      </c>
      <c r="K110" s="72">
        <f t="shared" si="7"/>
        <v>3</v>
      </c>
      <c r="L110" s="10">
        <f t="shared" ca="1" si="8"/>
        <v>77647</v>
      </c>
    </row>
    <row r="111" spans="1:12" x14ac:dyDescent="0.25">
      <c r="A111" s="7">
        <v>38934</v>
      </c>
      <c r="B111" s="7" t="str">
        <f>PROPER(CONCATENATE(Datos_paciente!C111," ",Datos_paciente!A111," ",Datos_paciente!B111,""))</f>
        <v>Maria Isabela Ruiz Henao</v>
      </c>
      <c r="C111" s="5" t="s">
        <v>25</v>
      </c>
      <c r="D111" s="8" t="s">
        <v>260</v>
      </c>
      <c r="E111" s="8">
        <f t="shared" ca="1" si="5"/>
        <v>14</v>
      </c>
      <c r="F111" s="5" t="s">
        <v>1</v>
      </c>
      <c r="G111" s="5" t="s">
        <v>26</v>
      </c>
      <c r="H111" s="10" t="s">
        <v>32</v>
      </c>
      <c r="I111" s="26">
        <v>18576</v>
      </c>
      <c r="J111" s="27">
        <f t="shared" ca="1" si="6"/>
        <v>17647.2</v>
      </c>
      <c r="K111" s="72">
        <f t="shared" si="7"/>
        <v>8</v>
      </c>
      <c r="L111" s="10">
        <f t="shared" ca="1" si="8"/>
        <v>18576</v>
      </c>
    </row>
    <row r="112" spans="1:12" x14ac:dyDescent="0.25">
      <c r="A112" s="7">
        <v>38600</v>
      </c>
      <c r="B112" s="7" t="str">
        <f>PROPER(CONCATENATE(Datos_paciente!C112," ",Datos_paciente!A112," ",Datos_paciente!B112,""))</f>
        <v>Samuel  Seguro Tobias</v>
      </c>
      <c r="C112" s="5" t="s">
        <v>25</v>
      </c>
      <c r="D112" s="8" t="s">
        <v>263</v>
      </c>
      <c r="E112" s="8">
        <f t="shared" ca="1" si="5"/>
        <v>15</v>
      </c>
      <c r="F112" s="5" t="s">
        <v>3</v>
      </c>
      <c r="G112" s="5" t="s">
        <v>29</v>
      </c>
      <c r="H112" s="10" t="s">
        <v>50</v>
      </c>
      <c r="I112" s="26">
        <v>50359</v>
      </c>
      <c r="J112" s="27">
        <f t="shared" ca="1" si="6"/>
        <v>50359</v>
      </c>
      <c r="K112" s="72">
        <f t="shared" si="7"/>
        <v>9</v>
      </c>
      <c r="L112" s="10">
        <f t="shared" ca="1" si="8"/>
        <v>14.080459770114942</v>
      </c>
    </row>
    <row r="113" spans="1:12" x14ac:dyDescent="0.25">
      <c r="A113" s="7">
        <v>39583</v>
      </c>
      <c r="B113" s="7" t="str">
        <f>PROPER(CONCATENATE(Datos_paciente!C113," ",Datos_paciente!A113," ",Datos_paciente!B113,""))</f>
        <v>Diego  Castrillon Velez</v>
      </c>
      <c r="C113" s="5" t="s">
        <v>25</v>
      </c>
      <c r="D113" s="8" t="s">
        <v>264</v>
      </c>
      <c r="E113" s="8">
        <f t="shared" ca="1" si="5"/>
        <v>12</v>
      </c>
      <c r="F113" s="5" t="s">
        <v>3</v>
      </c>
      <c r="G113" s="5" t="s">
        <v>45</v>
      </c>
      <c r="H113" s="10" t="s">
        <v>46</v>
      </c>
      <c r="I113" s="26">
        <v>92695</v>
      </c>
      <c r="J113" s="27">
        <f t="shared" ca="1" si="6"/>
        <v>92695</v>
      </c>
      <c r="K113" s="72">
        <f t="shared" si="7"/>
        <v>5</v>
      </c>
      <c r="L113" s="10">
        <f t="shared" ca="1" si="8"/>
        <v>14.069767441860465</v>
      </c>
    </row>
    <row r="114" spans="1:12" x14ac:dyDescent="0.25">
      <c r="A114" s="7">
        <v>39150</v>
      </c>
      <c r="B114" s="7" t="str">
        <f>PROPER(CONCATENATE(Datos_paciente!C114," ",Datos_paciente!A114," ",Datos_paciente!B114,""))</f>
        <v>Samara  Mu?Oz Hoyos</v>
      </c>
      <c r="C114" s="5" t="s">
        <v>25</v>
      </c>
      <c r="D114" s="8" t="s">
        <v>265</v>
      </c>
      <c r="E114" s="8">
        <f t="shared" ca="1" si="5"/>
        <v>13</v>
      </c>
      <c r="F114" s="5" t="s">
        <v>1</v>
      </c>
      <c r="G114" s="5" t="s">
        <v>35</v>
      </c>
      <c r="H114" s="10" t="s">
        <v>27</v>
      </c>
      <c r="I114" s="26">
        <v>77251</v>
      </c>
      <c r="J114" s="27">
        <f t="shared" ca="1" si="6"/>
        <v>73388.45</v>
      </c>
      <c r="K114" s="72">
        <f t="shared" si="7"/>
        <v>3</v>
      </c>
      <c r="L114" s="10">
        <f t="shared" ca="1" si="8"/>
        <v>77251</v>
      </c>
    </row>
    <row r="115" spans="1:12" x14ac:dyDescent="0.25">
      <c r="A115" s="7">
        <v>38091</v>
      </c>
      <c r="B115" s="7" t="str">
        <f>PROPER(CONCATENATE(Datos_paciente!C115," ",Datos_paciente!A115," ",Datos_paciente!B115,""))</f>
        <v>Sofia  Molina Passos</v>
      </c>
      <c r="C115" s="5" t="s">
        <v>25</v>
      </c>
      <c r="D115" s="8" t="s">
        <v>268</v>
      </c>
      <c r="E115" s="8">
        <f t="shared" ca="1" si="5"/>
        <v>16</v>
      </c>
      <c r="F115" s="5" t="s">
        <v>1</v>
      </c>
      <c r="G115" s="5" t="s">
        <v>29</v>
      </c>
      <c r="H115" s="10" t="s">
        <v>61</v>
      </c>
      <c r="I115" s="26">
        <v>20193</v>
      </c>
      <c r="J115" s="27">
        <f t="shared" ca="1" si="6"/>
        <v>19183.349999999999</v>
      </c>
      <c r="K115" s="72">
        <f t="shared" si="7"/>
        <v>4</v>
      </c>
      <c r="L115" s="10">
        <f t="shared" ca="1" si="8"/>
        <v>6057.9</v>
      </c>
    </row>
    <row r="116" spans="1:12" x14ac:dyDescent="0.25">
      <c r="A116" s="7">
        <v>38556</v>
      </c>
      <c r="B116" s="7" t="str">
        <f>PROPER(CONCATENATE(Datos_paciente!C116," ",Datos_paciente!A116," ",Datos_paciente!B116,""))</f>
        <v>Esteban Xxxxxxx Parra Alvarez</v>
      </c>
      <c r="C116" s="5" t="s">
        <v>25</v>
      </c>
      <c r="D116" s="8" t="s">
        <v>269</v>
      </c>
      <c r="E116" s="8">
        <f t="shared" ca="1" si="5"/>
        <v>15</v>
      </c>
      <c r="F116" s="5" t="s">
        <v>3</v>
      </c>
      <c r="G116" s="5" t="s">
        <v>29</v>
      </c>
      <c r="H116" s="10" t="s">
        <v>129</v>
      </c>
      <c r="I116" s="26">
        <v>41813</v>
      </c>
      <c r="J116" s="27">
        <f t="shared" ca="1" si="6"/>
        <v>41813</v>
      </c>
      <c r="K116" s="72">
        <f t="shared" si="7"/>
        <v>7</v>
      </c>
      <c r="L116" s="10">
        <f t="shared" ca="1" si="8"/>
        <v>14.094117647058823</v>
      </c>
    </row>
    <row r="117" spans="1:12" x14ac:dyDescent="0.25">
      <c r="A117" s="7">
        <v>38903</v>
      </c>
      <c r="B117" s="7" t="str">
        <f>PROPER(CONCATENATE(Datos_paciente!C117," ",Datos_paciente!A117," ",Datos_paciente!B117,""))</f>
        <v>Maria Paula Pati?O Zapata</v>
      </c>
      <c r="C117" s="5" t="s">
        <v>25</v>
      </c>
      <c r="D117" s="8" t="s">
        <v>270</v>
      </c>
      <c r="E117" s="8">
        <f t="shared" ref="E117:E180" ca="1" si="9">INT((TODAY()-A117)/365)</f>
        <v>14</v>
      </c>
      <c r="F117" s="5" t="s">
        <v>1</v>
      </c>
      <c r="G117" s="5" t="s">
        <v>29</v>
      </c>
      <c r="H117" s="10" t="s">
        <v>32</v>
      </c>
      <c r="I117" s="26">
        <v>17045</v>
      </c>
      <c r="J117" s="27">
        <f t="shared" ca="1" si="6"/>
        <v>16192.75</v>
      </c>
      <c r="K117" s="72">
        <f t="shared" si="7"/>
        <v>7</v>
      </c>
      <c r="L117" s="10">
        <f t="shared" ca="1" si="8"/>
        <v>17045</v>
      </c>
    </row>
    <row r="118" spans="1:12" x14ac:dyDescent="0.25">
      <c r="A118" s="7">
        <v>38626</v>
      </c>
      <c r="B118" s="7" t="str">
        <f>PROPER(CONCATENATE(Datos_paciente!C118," ",Datos_paciente!A118," ",Datos_paciente!B118,""))</f>
        <v>Karla Mireth Torres Rodriguez</v>
      </c>
      <c r="C118" s="5" t="s">
        <v>25</v>
      </c>
      <c r="D118" s="8" t="s">
        <v>271</v>
      </c>
      <c r="E118" s="8">
        <f t="shared" ca="1" si="9"/>
        <v>15</v>
      </c>
      <c r="F118" s="5" t="s">
        <v>1</v>
      </c>
      <c r="G118" s="5" t="s">
        <v>45</v>
      </c>
      <c r="H118" s="10" t="s">
        <v>272</v>
      </c>
      <c r="I118" s="26">
        <v>32226</v>
      </c>
      <c r="J118" s="27">
        <f t="shared" ca="1" si="6"/>
        <v>30614.7</v>
      </c>
      <c r="K118" s="72">
        <f t="shared" si="7"/>
        <v>10</v>
      </c>
      <c r="L118" s="10">
        <f t="shared" ca="1" si="8"/>
        <v>9667.7999999999993</v>
      </c>
    </row>
    <row r="119" spans="1:12" x14ac:dyDescent="0.25">
      <c r="A119" s="7">
        <v>38152</v>
      </c>
      <c r="B119" s="7" t="str">
        <f>PROPER(CONCATENATE(Datos_paciente!C119," ",Datos_paciente!A119," ",Datos_paciente!B119,""))</f>
        <v>Sebastian  Casta?O Ramirez</v>
      </c>
      <c r="C119" s="5" t="s">
        <v>25</v>
      </c>
      <c r="D119" s="8" t="s">
        <v>273</v>
      </c>
      <c r="E119" s="8">
        <f t="shared" ca="1" si="9"/>
        <v>16</v>
      </c>
      <c r="F119" s="5" t="s">
        <v>3</v>
      </c>
      <c r="G119" s="5" t="s">
        <v>45</v>
      </c>
      <c r="H119" s="10" t="s">
        <v>274</v>
      </c>
      <c r="I119" s="26">
        <v>16441</v>
      </c>
      <c r="J119" s="27">
        <f t="shared" ca="1" si="6"/>
        <v>16441</v>
      </c>
      <c r="K119" s="72">
        <f t="shared" si="7"/>
        <v>6</v>
      </c>
      <c r="L119" s="10">
        <f t="shared" ca="1" si="8"/>
        <v>14.083333333333334</v>
      </c>
    </row>
    <row r="120" spans="1:12" x14ac:dyDescent="0.25">
      <c r="A120" s="7">
        <v>38204</v>
      </c>
      <c r="B120" s="7" t="str">
        <f>PROPER(CONCATENATE(Datos_paciente!C120," ",Datos_paciente!A120," ",Datos_paciente!B120,""))</f>
        <v>Jacob  Montoya Quiroz</v>
      </c>
      <c r="C120" s="5" t="s">
        <v>0</v>
      </c>
      <c r="D120" s="8" t="s">
        <v>276</v>
      </c>
      <c r="E120" s="8">
        <f t="shared" ca="1" si="9"/>
        <v>16</v>
      </c>
      <c r="F120" s="5" t="s">
        <v>1</v>
      </c>
      <c r="G120" s="5" t="s">
        <v>45</v>
      </c>
      <c r="H120" s="10" t="s">
        <v>50</v>
      </c>
      <c r="I120" s="26">
        <v>50461</v>
      </c>
      <c r="J120" s="27">
        <f t="shared" ca="1" si="6"/>
        <v>47937.95</v>
      </c>
      <c r="K120" s="72">
        <f t="shared" si="7"/>
        <v>8</v>
      </c>
      <c r="L120" s="10">
        <f t="shared" ca="1" si="8"/>
        <v>15138.3</v>
      </c>
    </row>
    <row r="121" spans="1:12" x14ac:dyDescent="0.25">
      <c r="A121" s="7">
        <v>38677</v>
      </c>
      <c r="B121" s="7" t="str">
        <f>PROPER(CONCATENATE(Datos_paciente!C121," ",Datos_paciente!A121," ",Datos_paciente!B121,""))</f>
        <v>Yeison  Montoya Montoya</v>
      </c>
      <c r="C121" s="5" t="s">
        <v>25</v>
      </c>
      <c r="D121" s="8" t="s">
        <v>277</v>
      </c>
      <c r="E121" s="8">
        <f t="shared" ca="1" si="9"/>
        <v>15</v>
      </c>
      <c r="F121" s="5" t="s">
        <v>3</v>
      </c>
      <c r="G121" s="5" t="s">
        <v>29</v>
      </c>
      <c r="H121" s="10" t="s">
        <v>32</v>
      </c>
      <c r="I121" s="26">
        <v>35795</v>
      </c>
      <c r="J121" s="27">
        <f t="shared" ca="1" si="6"/>
        <v>35795</v>
      </c>
      <c r="K121" s="72">
        <f t="shared" si="7"/>
        <v>11</v>
      </c>
      <c r="L121" s="10">
        <f t="shared" ca="1" si="8"/>
        <v>14.060240963855422</v>
      </c>
    </row>
    <row r="122" spans="1:12" x14ac:dyDescent="0.25">
      <c r="A122" s="7">
        <v>39343</v>
      </c>
      <c r="B122" s="7" t="str">
        <f>PROPER(CONCATENATE(Datos_paciente!C122," ",Datos_paciente!A122," ",Datos_paciente!B122,""))</f>
        <v>Danna Nikole Rios Mu?Oz</v>
      </c>
      <c r="C122" s="5" t="s">
        <v>25</v>
      </c>
      <c r="D122" s="8" t="s">
        <v>279</v>
      </c>
      <c r="E122" s="8">
        <f t="shared" ca="1" si="9"/>
        <v>13</v>
      </c>
      <c r="F122" s="5" t="s">
        <v>1</v>
      </c>
      <c r="G122" s="5" t="s">
        <v>35</v>
      </c>
      <c r="H122" s="10" t="s">
        <v>36</v>
      </c>
      <c r="I122" s="26">
        <v>70915</v>
      </c>
      <c r="J122" s="27">
        <f t="shared" ca="1" si="6"/>
        <v>67369.25</v>
      </c>
      <c r="K122" s="72">
        <f t="shared" si="7"/>
        <v>9</v>
      </c>
      <c r="L122" s="10">
        <f t="shared" ca="1" si="8"/>
        <v>70915</v>
      </c>
    </row>
    <row r="123" spans="1:12" x14ac:dyDescent="0.25">
      <c r="A123" s="7">
        <v>39315</v>
      </c>
      <c r="B123" s="7" t="str">
        <f>PROPER(CONCATENATE(Datos_paciente!C123," ",Datos_paciente!A123," ",Datos_paciente!B123,""))</f>
        <v>Sara Ines Viana Usuga</v>
      </c>
      <c r="C123" s="5" t="s">
        <v>25</v>
      </c>
      <c r="D123" s="8" t="s">
        <v>282</v>
      </c>
      <c r="E123" s="8">
        <f t="shared" ca="1" si="9"/>
        <v>13</v>
      </c>
      <c r="F123" s="5" t="s">
        <v>1</v>
      </c>
      <c r="G123" s="5" t="s">
        <v>29</v>
      </c>
      <c r="H123" s="10" t="s">
        <v>32</v>
      </c>
      <c r="I123" s="26">
        <v>62203</v>
      </c>
      <c r="J123" s="27">
        <f t="shared" ca="1" si="6"/>
        <v>59092.85</v>
      </c>
      <c r="K123" s="72">
        <f t="shared" si="7"/>
        <v>8</v>
      </c>
      <c r="L123" s="10">
        <f t="shared" ca="1" si="8"/>
        <v>62203</v>
      </c>
    </row>
    <row r="124" spans="1:12" x14ac:dyDescent="0.25">
      <c r="A124" s="7">
        <v>39112</v>
      </c>
      <c r="B124" s="7" t="str">
        <f>PROPER(CONCATENATE(Datos_paciente!C124," ",Datos_paciente!A124," ",Datos_paciente!B124,""))</f>
        <v>Samuel  Espinal Rodriguez</v>
      </c>
      <c r="C124" s="5" t="s">
        <v>25</v>
      </c>
      <c r="D124" s="8" t="s">
        <v>284</v>
      </c>
      <c r="E124" s="8">
        <f t="shared" ca="1" si="9"/>
        <v>14</v>
      </c>
      <c r="F124" s="5" t="s">
        <v>3</v>
      </c>
      <c r="G124" s="5" t="s">
        <v>45</v>
      </c>
      <c r="H124" s="10" t="s">
        <v>61</v>
      </c>
      <c r="I124" s="26">
        <v>87547</v>
      </c>
      <c r="J124" s="27">
        <f t="shared" ca="1" si="6"/>
        <v>87547</v>
      </c>
      <c r="K124" s="72">
        <f t="shared" si="7"/>
        <v>1</v>
      </c>
      <c r="L124" s="10">
        <f t="shared" ca="1" si="8"/>
        <v>14.048780487804878</v>
      </c>
    </row>
    <row r="125" spans="1:12" x14ac:dyDescent="0.25">
      <c r="A125" s="7">
        <v>38561</v>
      </c>
      <c r="B125" s="7" t="str">
        <f>PROPER(CONCATENATE(Datos_paciente!C125," ",Datos_paciente!A125," ",Datos_paciente!B125,""))</f>
        <v>Maria Isabel Restrepo Uribe</v>
      </c>
      <c r="C125" s="5" t="s">
        <v>25</v>
      </c>
      <c r="D125" s="8" t="s">
        <v>285</v>
      </c>
      <c r="E125" s="8">
        <f t="shared" ca="1" si="9"/>
        <v>15</v>
      </c>
      <c r="F125" s="5" t="s">
        <v>1</v>
      </c>
      <c r="G125" s="5" t="s">
        <v>29</v>
      </c>
      <c r="H125" s="10" t="s">
        <v>61</v>
      </c>
      <c r="I125" s="26">
        <v>35317</v>
      </c>
      <c r="J125" s="27">
        <f t="shared" ca="1" si="6"/>
        <v>33551.15</v>
      </c>
      <c r="K125" s="72">
        <f t="shared" si="7"/>
        <v>7</v>
      </c>
      <c r="L125" s="10">
        <f t="shared" ca="1" si="8"/>
        <v>10595.1</v>
      </c>
    </row>
    <row r="126" spans="1:12" x14ac:dyDescent="0.25">
      <c r="A126" s="7">
        <v>39343</v>
      </c>
      <c r="B126" s="7" t="str">
        <f>PROPER(CONCATENATE(Datos_paciente!C126," ",Datos_paciente!A126," ",Datos_paciente!B126,""))</f>
        <v>Danna Nikole Rios Mu?Oz</v>
      </c>
      <c r="C126" s="5" t="s">
        <v>25</v>
      </c>
      <c r="D126" s="8" t="s">
        <v>286</v>
      </c>
      <c r="E126" s="8">
        <f t="shared" ca="1" si="9"/>
        <v>13</v>
      </c>
      <c r="F126" s="5" t="s">
        <v>1</v>
      </c>
      <c r="G126" s="5" t="s">
        <v>35</v>
      </c>
      <c r="H126" s="10" t="s">
        <v>36</v>
      </c>
      <c r="I126" s="26">
        <v>70519</v>
      </c>
      <c r="J126" s="27">
        <f t="shared" ca="1" si="6"/>
        <v>66993.05</v>
      </c>
      <c r="K126" s="72">
        <f t="shared" si="7"/>
        <v>9</v>
      </c>
      <c r="L126" s="10">
        <f t="shared" ca="1" si="8"/>
        <v>70519</v>
      </c>
    </row>
    <row r="127" spans="1:12" x14ac:dyDescent="0.25">
      <c r="A127" s="7">
        <v>38553</v>
      </c>
      <c r="B127" s="7" t="str">
        <f>PROPER(CONCATENATE(Datos_paciente!C127," ",Datos_paciente!A127," ",Datos_paciente!B127,""))</f>
        <v>Juan  Restrepo Mesa</v>
      </c>
      <c r="C127" s="5" t="s">
        <v>25</v>
      </c>
      <c r="D127" s="8" t="s">
        <v>288</v>
      </c>
      <c r="E127" s="8">
        <f t="shared" ca="1" si="9"/>
        <v>15</v>
      </c>
      <c r="F127" s="5" t="s">
        <v>3</v>
      </c>
      <c r="G127" s="5" t="s">
        <v>29</v>
      </c>
      <c r="H127" s="10" t="s">
        <v>289</v>
      </c>
      <c r="I127" s="26">
        <v>23262</v>
      </c>
      <c r="J127" s="27">
        <f t="shared" ca="1" si="6"/>
        <v>23262</v>
      </c>
      <c r="K127" s="72">
        <f t="shared" si="7"/>
        <v>7</v>
      </c>
      <c r="L127" s="10">
        <f t="shared" ca="1" si="8"/>
        <v>14.049382716049383</v>
      </c>
    </row>
    <row r="128" spans="1:12" x14ac:dyDescent="0.25">
      <c r="A128" s="7">
        <v>38558</v>
      </c>
      <c r="B128" s="7" t="str">
        <f>PROPER(CONCATENATE(Datos_paciente!C128," ",Datos_paciente!A128," ",Datos_paciente!B128,""))</f>
        <v>Diego Alejandro Hernandez Urueta</v>
      </c>
      <c r="C128" s="5" t="s">
        <v>25</v>
      </c>
      <c r="D128" s="8" t="s">
        <v>291</v>
      </c>
      <c r="E128" s="8">
        <f t="shared" ca="1" si="9"/>
        <v>15</v>
      </c>
      <c r="F128" s="5" t="s">
        <v>3</v>
      </c>
      <c r="G128" s="5" t="s">
        <v>35</v>
      </c>
      <c r="H128" s="10" t="s">
        <v>36</v>
      </c>
      <c r="I128" s="26">
        <v>59827</v>
      </c>
      <c r="J128" s="27">
        <f t="shared" ca="1" si="6"/>
        <v>59827</v>
      </c>
      <c r="K128" s="72">
        <f t="shared" si="7"/>
        <v>7</v>
      </c>
      <c r="L128" s="10">
        <f t="shared" ca="1" si="8"/>
        <v>14.0375</v>
      </c>
    </row>
    <row r="129" spans="1:12" x14ac:dyDescent="0.25">
      <c r="A129" s="7">
        <v>38383</v>
      </c>
      <c r="B129" s="7" t="str">
        <f>PROPER(CONCATENATE(Datos_paciente!C129," ",Datos_paciente!A129," ",Datos_paciente!B129,""))</f>
        <v>Alexis  Casta?Eda Buritica</v>
      </c>
      <c r="C129" s="5" t="s">
        <v>25</v>
      </c>
      <c r="D129" s="8" t="s">
        <v>292</v>
      </c>
      <c r="E129" s="8">
        <f t="shared" ca="1" si="9"/>
        <v>16</v>
      </c>
      <c r="F129" s="5" t="s">
        <v>3</v>
      </c>
      <c r="G129" s="5" t="s">
        <v>45</v>
      </c>
      <c r="H129" s="10" t="s">
        <v>289</v>
      </c>
      <c r="I129" s="26">
        <v>35449</v>
      </c>
      <c r="J129" s="27">
        <f t="shared" ca="1" si="6"/>
        <v>35449</v>
      </c>
      <c r="K129" s="72">
        <f t="shared" si="7"/>
        <v>1</v>
      </c>
      <c r="L129" s="10">
        <f t="shared" ca="1" si="8"/>
        <v>14.025316455696203</v>
      </c>
    </row>
    <row r="130" spans="1:12" x14ac:dyDescent="0.25">
      <c r="A130" s="7">
        <v>39495</v>
      </c>
      <c r="B130" s="7" t="str">
        <f>PROPER(CONCATENATE(Datos_paciente!C130," ",Datos_paciente!A130," ",Datos_paciente!B130,""))</f>
        <v>Nicolas  Saldarriaga Merchan</v>
      </c>
      <c r="C130" s="5" t="s">
        <v>25</v>
      </c>
      <c r="D130" s="8" t="s">
        <v>294</v>
      </c>
      <c r="E130" s="8">
        <f t="shared" ca="1" si="9"/>
        <v>12</v>
      </c>
      <c r="F130" s="5" t="s">
        <v>3</v>
      </c>
      <c r="G130" s="5" t="s">
        <v>29</v>
      </c>
      <c r="H130" s="10" t="s">
        <v>36</v>
      </c>
      <c r="I130" s="26">
        <v>66955</v>
      </c>
      <c r="J130" s="27">
        <f t="shared" ref="J130:J193" ca="1" si="10">I130-(IF(F130="F",(IF(E130&lt;18,I130*0.05,IF(E130&lt;34,I130*0.1,IF(E130&gt;62,I130*0.5,0)))),IF(F130="M",IF(E130&gt;65,I130*0.3,0),0)))</f>
        <v>66955</v>
      </c>
      <c r="K130" s="72">
        <f t="shared" si="7"/>
        <v>2</v>
      </c>
      <c r="L130" s="10">
        <f t="shared" ca="1" si="8"/>
        <v>14</v>
      </c>
    </row>
    <row r="131" spans="1:12" x14ac:dyDescent="0.25">
      <c r="A131" s="7">
        <v>38998</v>
      </c>
      <c r="B131" s="7" t="str">
        <f>PROPER(CONCATENATE(Datos_paciente!C131," ",Datos_paciente!A131," ",Datos_paciente!B131,""))</f>
        <v>Manuel Esteban Jimenez De Hoyos</v>
      </c>
      <c r="C131" s="5" t="s">
        <v>25</v>
      </c>
      <c r="D131" s="8" t="s">
        <v>296</v>
      </c>
      <c r="E131" s="8">
        <f t="shared" ca="1" si="9"/>
        <v>14</v>
      </c>
      <c r="F131" s="5" t="s">
        <v>3</v>
      </c>
      <c r="G131" s="5" t="s">
        <v>35</v>
      </c>
      <c r="H131" s="10" t="s">
        <v>36</v>
      </c>
      <c r="I131" s="26">
        <v>21583</v>
      </c>
      <c r="J131" s="27">
        <f t="shared" ca="1" si="10"/>
        <v>21583</v>
      </c>
      <c r="K131" s="72">
        <f t="shared" ref="K131:K194" si="11">MONTH(A131)</f>
        <v>10</v>
      </c>
      <c r="L131" s="10">
        <f t="shared" ref="L131:L194" ca="1" si="12">IF(F131="F",IF(E131&gt;AVERAGEIF(F131:F397,"F",E131:E397),I131*0.3,I131),AVERAGEIF(F131:F397,"M",E131:E397))</f>
        <v>14.025974025974026</v>
      </c>
    </row>
    <row r="132" spans="1:12" x14ac:dyDescent="0.25">
      <c r="A132" s="7">
        <v>38322</v>
      </c>
      <c r="B132" s="7" t="str">
        <f>PROPER(CONCATENATE(Datos_paciente!C132," ",Datos_paciente!A132," ",Datos_paciente!B132,""))</f>
        <v>Jose David Borja Bedoya</v>
      </c>
      <c r="C132" s="5" t="s">
        <v>25</v>
      </c>
      <c r="D132" s="8" t="s">
        <v>298</v>
      </c>
      <c r="E132" s="8">
        <f t="shared" ca="1" si="9"/>
        <v>16</v>
      </c>
      <c r="F132" s="5" t="s">
        <v>3</v>
      </c>
      <c r="G132" s="5" t="s">
        <v>35</v>
      </c>
      <c r="H132" s="10" t="s">
        <v>27</v>
      </c>
      <c r="I132" s="26">
        <v>27670</v>
      </c>
      <c r="J132" s="27">
        <f t="shared" ca="1" si="10"/>
        <v>27670</v>
      </c>
      <c r="K132" s="72">
        <f t="shared" si="11"/>
        <v>12</v>
      </c>
      <c r="L132" s="10">
        <f t="shared" ca="1" si="12"/>
        <v>14.026315789473685</v>
      </c>
    </row>
    <row r="133" spans="1:12" x14ac:dyDescent="0.25">
      <c r="A133" s="7">
        <v>38548</v>
      </c>
      <c r="B133" s="7" t="str">
        <f>PROPER(CONCATENATE(Datos_paciente!C133," ",Datos_paciente!A133," ",Datos_paciente!B133,""))</f>
        <v>Wilmer Yosman Bohorquez Garcia</v>
      </c>
      <c r="C133" s="5" t="s">
        <v>301</v>
      </c>
      <c r="D133" s="8" t="s">
        <v>302</v>
      </c>
      <c r="E133" s="8">
        <f t="shared" ca="1" si="9"/>
        <v>15</v>
      </c>
      <c r="F133" s="5" t="s">
        <v>3</v>
      </c>
      <c r="G133" s="5" t="s">
        <v>45</v>
      </c>
      <c r="H133" s="10" t="s">
        <v>129</v>
      </c>
      <c r="I133" s="26">
        <v>19929</v>
      </c>
      <c r="J133" s="27">
        <f t="shared" ca="1" si="10"/>
        <v>19929</v>
      </c>
      <c r="K133" s="72">
        <f t="shared" si="11"/>
        <v>7</v>
      </c>
      <c r="L133" s="10">
        <f t="shared" ca="1" si="12"/>
        <v>14</v>
      </c>
    </row>
    <row r="134" spans="1:12" x14ac:dyDescent="0.25">
      <c r="A134" s="7">
        <v>38665</v>
      </c>
      <c r="B134" s="7" t="str">
        <f>PROPER(CONCATENATE(Datos_paciente!C134," ",Datos_paciente!A134," ",Datos_paciente!B134,""))</f>
        <v>Samuel  Granda Arango</v>
      </c>
      <c r="C134" s="5" t="s">
        <v>25</v>
      </c>
      <c r="D134" s="8" t="s">
        <v>303</v>
      </c>
      <c r="E134" s="8">
        <f t="shared" ca="1" si="9"/>
        <v>15</v>
      </c>
      <c r="F134" s="5" t="s">
        <v>3</v>
      </c>
      <c r="G134" s="5" t="s">
        <v>29</v>
      </c>
      <c r="H134" s="10" t="s">
        <v>52</v>
      </c>
      <c r="I134" s="26">
        <v>19724</v>
      </c>
      <c r="J134" s="27">
        <f t="shared" ca="1" si="10"/>
        <v>19724</v>
      </c>
      <c r="K134" s="72">
        <f t="shared" si="11"/>
        <v>11</v>
      </c>
      <c r="L134" s="10">
        <f t="shared" ca="1" si="12"/>
        <v>13.986486486486486</v>
      </c>
    </row>
    <row r="135" spans="1:12" x14ac:dyDescent="0.25">
      <c r="A135" s="7">
        <v>38944</v>
      </c>
      <c r="B135" s="7" t="str">
        <f>PROPER(CONCATENATE(Datos_paciente!C135," ",Datos_paciente!A135," ",Datos_paciente!B135,""))</f>
        <v>Maria Catalina Arango Ramirez</v>
      </c>
      <c r="C135" s="5" t="s">
        <v>25</v>
      </c>
      <c r="D135" s="8" t="s">
        <v>304</v>
      </c>
      <c r="E135" s="8">
        <f t="shared" ca="1" si="9"/>
        <v>14</v>
      </c>
      <c r="F135" s="5" t="s">
        <v>1</v>
      </c>
      <c r="G135" s="5" t="s">
        <v>35</v>
      </c>
      <c r="H135" s="10" t="s">
        <v>36</v>
      </c>
      <c r="I135" s="26">
        <v>54120</v>
      </c>
      <c r="J135" s="27">
        <f t="shared" ca="1" si="10"/>
        <v>51414</v>
      </c>
      <c r="K135" s="72">
        <f t="shared" si="11"/>
        <v>8</v>
      </c>
      <c r="L135" s="10">
        <f t="shared" ca="1" si="12"/>
        <v>54120</v>
      </c>
    </row>
    <row r="136" spans="1:12" x14ac:dyDescent="0.25">
      <c r="A136" s="7">
        <v>38332</v>
      </c>
      <c r="B136" s="7" t="str">
        <f>PROPER(CONCATENATE(Datos_paciente!C136," ",Datos_paciente!A136," ",Datos_paciente!B136,""))</f>
        <v>Tomas  Henao Metaute</v>
      </c>
      <c r="C136" s="5" t="s">
        <v>25</v>
      </c>
      <c r="D136" s="8" t="s">
        <v>305</v>
      </c>
      <c r="E136" s="8">
        <f t="shared" ca="1" si="9"/>
        <v>16</v>
      </c>
      <c r="F136" s="5" t="s">
        <v>3</v>
      </c>
      <c r="G136" s="5" t="s">
        <v>29</v>
      </c>
      <c r="H136" s="10" t="s">
        <v>32</v>
      </c>
      <c r="I136" s="26">
        <v>45431</v>
      </c>
      <c r="J136" s="27">
        <f t="shared" ca="1" si="10"/>
        <v>45431</v>
      </c>
      <c r="K136" s="72">
        <f t="shared" si="11"/>
        <v>12</v>
      </c>
      <c r="L136" s="10">
        <f t="shared" ca="1" si="12"/>
        <v>13.972602739726028</v>
      </c>
    </row>
    <row r="137" spans="1:12" x14ac:dyDescent="0.25">
      <c r="A137" s="7">
        <v>38572</v>
      </c>
      <c r="B137" s="7" t="str">
        <f>PROPER(CONCATENATE(Datos_paciente!C137," ",Datos_paciente!A137," ",Datos_paciente!B137,""))</f>
        <v>Angel Miguel Alvarez Correa</v>
      </c>
      <c r="C137" s="5" t="s">
        <v>25</v>
      </c>
      <c r="D137" s="8" t="s">
        <v>307</v>
      </c>
      <c r="E137" s="8">
        <f t="shared" ca="1" si="9"/>
        <v>15</v>
      </c>
      <c r="F137" s="5" t="s">
        <v>3</v>
      </c>
      <c r="G137" s="5" t="s">
        <v>35</v>
      </c>
      <c r="H137" s="12" t="s">
        <v>36</v>
      </c>
      <c r="I137" s="26">
        <v>16477</v>
      </c>
      <c r="J137" s="27">
        <f t="shared" ca="1" si="10"/>
        <v>16477</v>
      </c>
      <c r="K137" s="72">
        <f t="shared" si="11"/>
        <v>8</v>
      </c>
      <c r="L137" s="10">
        <f t="shared" ca="1" si="12"/>
        <v>13.944444444444445</v>
      </c>
    </row>
    <row r="138" spans="1:12" x14ac:dyDescent="0.25">
      <c r="A138" s="7">
        <v>39262</v>
      </c>
      <c r="B138" s="7" t="str">
        <f>PROPER(CONCATENATE(Datos_paciente!C138," ",Datos_paciente!A138," ",Datos_paciente!B138,""))</f>
        <v>Jorge Eduardo Cardona Mu?Oz</v>
      </c>
      <c r="C138" s="5" t="s">
        <v>25</v>
      </c>
      <c r="D138" s="8" t="s">
        <v>308</v>
      </c>
      <c r="E138" s="8">
        <f t="shared" ca="1" si="9"/>
        <v>13</v>
      </c>
      <c r="F138" s="5" t="s">
        <v>3</v>
      </c>
      <c r="G138" s="5" t="s">
        <v>35</v>
      </c>
      <c r="H138" s="10" t="s">
        <v>36</v>
      </c>
      <c r="I138" s="26">
        <v>93883</v>
      </c>
      <c r="J138" s="27">
        <f t="shared" ca="1" si="10"/>
        <v>93883</v>
      </c>
      <c r="K138" s="72">
        <f t="shared" si="11"/>
        <v>6</v>
      </c>
      <c r="L138" s="10">
        <f t="shared" ca="1" si="12"/>
        <v>13.929577464788732</v>
      </c>
    </row>
    <row r="139" spans="1:12" x14ac:dyDescent="0.25">
      <c r="A139" s="7">
        <v>39317</v>
      </c>
      <c r="B139" s="7" t="str">
        <f>PROPER(CONCATENATE(Datos_paciente!C139," ",Datos_paciente!A139," ",Datos_paciente!B139,""))</f>
        <v>Sebastian  Ospina Ortiz</v>
      </c>
      <c r="C139" s="5" t="s">
        <v>25</v>
      </c>
      <c r="D139" s="8" t="s">
        <v>310</v>
      </c>
      <c r="E139" s="8">
        <f t="shared" ca="1" si="9"/>
        <v>13</v>
      </c>
      <c r="F139" s="5" t="s">
        <v>3</v>
      </c>
      <c r="G139" s="5" t="s">
        <v>35</v>
      </c>
      <c r="H139" s="10" t="s">
        <v>36</v>
      </c>
      <c r="I139" s="26">
        <v>75667</v>
      </c>
      <c r="J139" s="27">
        <f t="shared" ca="1" si="10"/>
        <v>75667</v>
      </c>
      <c r="K139" s="72">
        <f t="shared" si="11"/>
        <v>8</v>
      </c>
      <c r="L139" s="10">
        <f t="shared" ca="1" si="12"/>
        <v>13.942857142857143</v>
      </c>
    </row>
    <row r="140" spans="1:12" x14ac:dyDescent="0.25">
      <c r="A140" s="7">
        <v>39364</v>
      </c>
      <c r="B140" s="7" t="str">
        <f>PROPER(CONCATENATE(Datos_paciente!C140," ",Datos_paciente!A140," ",Datos_paciente!B140,""))</f>
        <v>Daniel  Erazo Betancur</v>
      </c>
      <c r="C140" s="5" t="s">
        <v>25</v>
      </c>
      <c r="D140" s="8" t="s">
        <v>312</v>
      </c>
      <c r="E140" s="8">
        <f t="shared" ca="1" si="9"/>
        <v>13</v>
      </c>
      <c r="F140" s="5" t="s">
        <v>3</v>
      </c>
      <c r="G140" s="5" t="s">
        <v>29</v>
      </c>
      <c r="H140" s="10" t="s">
        <v>313</v>
      </c>
      <c r="I140" s="26">
        <v>87943</v>
      </c>
      <c r="J140" s="27">
        <f t="shared" ca="1" si="10"/>
        <v>87943</v>
      </c>
      <c r="K140" s="72">
        <f t="shared" si="11"/>
        <v>10</v>
      </c>
      <c r="L140" s="10">
        <f t="shared" ca="1" si="12"/>
        <v>13.956521739130435</v>
      </c>
    </row>
    <row r="141" spans="1:12" x14ac:dyDescent="0.25">
      <c r="A141" s="7">
        <v>38284</v>
      </c>
      <c r="B141" s="7" t="str">
        <f>PROPER(CONCATENATE(Datos_paciente!C141," ",Datos_paciente!A141," ",Datos_paciente!B141,""))</f>
        <v>Juan Jose Mena Morales</v>
      </c>
      <c r="C141" s="5" t="s">
        <v>25</v>
      </c>
      <c r="D141" s="8" t="s">
        <v>315</v>
      </c>
      <c r="E141" s="8">
        <f t="shared" ca="1" si="9"/>
        <v>16</v>
      </c>
      <c r="F141" s="5" t="s">
        <v>3</v>
      </c>
      <c r="G141" s="5" t="s">
        <v>29</v>
      </c>
      <c r="H141" s="10" t="s">
        <v>32</v>
      </c>
      <c r="I141" s="26">
        <v>37667</v>
      </c>
      <c r="J141" s="27">
        <f t="shared" ca="1" si="10"/>
        <v>37667</v>
      </c>
      <c r="K141" s="72">
        <f t="shared" si="11"/>
        <v>10</v>
      </c>
      <c r="L141" s="10">
        <f t="shared" ca="1" si="12"/>
        <v>13.970588235294118</v>
      </c>
    </row>
    <row r="142" spans="1:12" x14ac:dyDescent="0.25">
      <c r="A142" s="7">
        <v>39595</v>
      </c>
      <c r="B142" s="7" t="str">
        <f>PROPER(CONCATENATE(Datos_paciente!C142," ",Datos_paciente!A142," ",Datos_paciente!B142,""))</f>
        <v xml:space="preserve">Isabella  Vasquez </v>
      </c>
      <c r="C142" s="5" t="s">
        <v>25</v>
      </c>
      <c r="D142" s="8" t="s">
        <v>316</v>
      </c>
      <c r="E142" s="8">
        <f t="shared" ca="1" si="9"/>
        <v>12</v>
      </c>
      <c r="F142" s="5" t="s">
        <v>1</v>
      </c>
      <c r="G142" s="5" t="s">
        <v>29</v>
      </c>
      <c r="H142" s="10" t="s">
        <v>32</v>
      </c>
      <c r="I142" s="26">
        <v>89527</v>
      </c>
      <c r="J142" s="27">
        <f t="shared" ca="1" si="10"/>
        <v>85050.65</v>
      </c>
      <c r="K142" s="72">
        <f t="shared" si="11"/>
        <v>5</v>
      </c>
      <c r="L142" s="10">
        <f t="shared" ca="1" si="12"/>
        <v>89527</v>
      </c>
    </row>
    <row r="143" spans="1:12" x14ac:dyDescent="0.25">
      <c r="A143" s="7">
        <v>38777</v>
      </c>
      <c r="B143" s="7" t="str">
        <f>PROPER(CONCATENATE(Datos_paciente!C143," ",Datos_paciente!A143," ",Datos_paciente!B143,""))</f>
        <v>Valeria  Flores Alzate</v>
      </c>
      <c r="C143" s="5" t="s">
        <v>25</v>
      </c>
      <c r="D143" s="8" t="s">
        <v>319</v>
      </c>
      <c r="E143" s="8">
        <f t="shared" ca="1" si="9"/>
        <v>14</v>
      </c>
      <c r="F143" s="5" t="s">
        <v>1</v>
      </c>
      <c r="G143" s="5" t="s">
        <v>29</v>
      </c>
      <c r="H143" s="10" t="s">
        <v>32</v>
      </c>
      <c r="I143" s="26">
        <v>50973</v>
      </c>
      <c r="J143" s="27">
        <f t="shared" ca="1" si="10"/>
        <v>48424.35</v>
      </c>
      <c r="K143" s="72">
        <f t="shared" si="11"/>
        <v>3</v>
      </c>
      <c r="L143" s="10">
        <f t="shared" ca="1" si="12"/>
        <v>50973</v>
      </c>
    </row>
    <row r="144" spans="1:12" x14ac:dyDescent="0.25">
      <c r="A144" s="7">
        <v>39261</v>
      </c>
      <c r="B144" s="7" t="str">
        <f>PROPER(CONCATENATE(Datos_paciente!C144," ",Datos_paciente!A144," ",Datos_paciente!B144,""))</f>
        <v>Santiago  Ramirez Aristizabal</v>
      </c>
      <c r="C144" s="5" t="s">
        <v>25</v>
      </c>
      <c r="D144" s="8" t="s">
        <v>320</v>
      </c>
      <c r="E144" s="8">
        <f t="shared" ca="1" si="9"/>
        <v>13</v>
      </c>
      <c r="F144" s="5" t="s">
        <v>3</v>
      </c>
      <c r="G144" s="5" t="s">
        <v>29</v>
      </c>
      <c r="H144" s="10" t="s">
        <v>32</v>
      </c>
      <c r="I144" s="26">
        <v>72103</v>
      </c>
      <c r="J144" s="27">
        <f t="shared" ca="1" si="10"/>
        <v>72103</v>
      </c>
      <c r="K144" s="72">
        <f t="shared" si="11"/>
        <v>6</v>
      </c>
      <c r="L144" s="10">
        <f t="shared" ca="1" si="12"/>
        <v>13.940298507462687</v>
      </c>
    </row>
    <row r="145" spans="1:12" x14ac:dyDescent="0.25">
      <c r="A145" s="7">
        <v>39451</v>
      </c>
      <c r="B145" s="7" t="str">
        <f>PROPER(CONCATENATE(Datos_paciente!C145," ",Datos_paciente!A145," ",Datos_paciente!B145,""))</f>
        <v>Laura Sofia Torres Orlas</v>
      </c>
      <c r="C145" s="5" t="s">
        <v>25</v>
      </c>
      <c r="D145" s="8" t="s">
        <v>322</v>
      </c>
      <c r="E145" s="8">
        <f t="shared" ca="1" si="9"/>
        <v>13</v>
      </c>
      <c r="F145" s="5" t="s">
        <v>1</v>
      </c>
      <c r="G145" s="5" t="s">
        <v>26</v>
      </c>
      <c r="H145" s="10" t="s">
        <v>32</v>
      </c>
      <c r="I145" s="26">
        <v>63391</v>
      </c>
      <c r="J145" s="27">
        <f t="shared" ca="1" si="10"/>
        <v>60221.45</v>
      </c>
      <c r="K145" s="72">
        <f t="shared" si="11"/>
        <v>1</v>
      </c>
      <c r="L145" s="10">
        <f t="shared" ca="1" si="12"/>
        <v>63391</v>
      </c>
    </row>
    <row r="146" spans="1:12" x14ac:dyDescent="0.25">
      <c r="A146" s="7">
        <v>38146</v>
      </c>
      <c r="B146" s="7" t="str">
        <f>PROPER(CONCATENATE(Datos_paciente!C146," ",Datos_paciente!A146," ",Datos_paciente!B146,""))</f>
        <v>Mariana  Alzate Lopez</v>
      </c>
      <c r="C146" s="5" t="s">
        <v>25</v>
      </c>
      <c r="D146" s="8" t="s">
        <v>323</v>
      </c>
      <c r="E146" s="8">
        <f t="shared" ca="1" si="9"/>
        <v>16</v>
      </c>
      <c r="F146" s="5" t="s">
        <v>1</v>
      </c>
      <c r="G146" s="5" t="s">
        <v>35</v>
      </c>
      <c r="H146" s="10" t="s">
        <v>36</v>
      </c>
      <c r="I146" s="26">
        <v>48602</v>
      </c>
      <c r="J146" s="27">
        <f t="shared" ca="1" si="10"/>
        <v>46171.9</v>
      </c>
      <c r="K146" s="72">
        <f t="shared" si="11"/>
        <v>6</v>
      </c>
      <c r="L146" s="10">
        <f t="shared" ca="1" si="12"/>
        <v>14580.6</v>
      </c>
    </row>
    <row r="147" spans="1:12" x14ac:dyDescent="0.25">
      <c r="A147" s="7">
        <v>38837</v>
      </c>
      <c r="B147" s="7" t="str">
        <f>PROPER(CONCATENATE(Datos_paciente!C147," ",Datos_paciente!A147," ",Datos_paciente!B147,""))</f>
        <v>Luis Mateo Mazo Flores</v>
      </c>
      <c r="C147" s="5" t="s">
        <v>25</v>
      </c>
      <c r="D147" s="8" t="s">
        <v>325</v>
      </c>
      <c r="E147" s="8">
        <f t="shared" ca="1" si="9"/>
        <v>14</v>
      </c>
      <c r="F147" s="5" t="s">
        <v>3</v>
      </c>
      <c r="G147" s="5" t="s">
        <v>35</v>
      </c>
      <c r="H147" s="10" t="s">
        <v>36</v>
      </c>
      <c r="I147" s="26">
        <v>46316</v>
      </c>
      <c r="J147" s="27">
        <f t="shared" ca="1" si="10"/>
        <v>46316</v>
      </c>
      <c r="K147" s="72">
        <f t="shared" si="11"/>
        <v>4</v>
      </c>
      <c r="L147" s="10">
        <f t="shared" ca="1" si="12"/>
        <v>13.954545454545455</v>
      </c>
    </row>
    <row r="148" spans="1:12" x14ac:dyDescent="0.25">
      <c r="A148" s="7">
        <v>38522</v>
      </c>
      <c r="B148" s="7" t="str">
        <f>PROPER(CONCATENATE(Datos_paciente!C148," ",Datos_paciente!A148," ",Datos_paciente!B148,""))</f>
        <v>Vanessa  Benjumea Cortes</v>
      </c>
      <c r="C148" s="5" t="s">
        <v>25</v>
      </c>
      <c r="D148" s="8" t="s">
        <v>328</v>
      </c>
      <c r="E148" s="8">
        <f t="shared" ca="1" si="9"/>
        <v>15</v>
      </c>
      <c r="F148" s="5" t="s">
        <v>1</v>
      </c>
      <c r="G148" s="5" t="s">
        <v>35</v>
      </c>
      <c r="H148" s="10" t="s">
        <v>36</v>
      </c>
      <c r="I148" s="26">
        <v>23727</v>
      </c>
      <c r="J148" s="27">
        <f t="shared" ca="1" si="10"/>
        <v>22540.65</v>
      </c>
      <c r="K148" s="72">
        <f t="shared" si="11"/>
        <v>6</v>
      </c>
      <c r="L148" s="10">
        <f t="shared" ca="1" si="12"/>
        <v>7118.0999999999995</v>
      </c>
    </row>
    <row r="149" spans="1:12" x14ac:dyDescent="0.25">
      <c r="A149" s="7">
        <v>38986</v>
      </c>
      <c r="B149" s="7" t="str">
        <f>PROPER(CONCATENATE(Datos_paciente!C149," ",Datos_paciente!A149," ",Datos_paciente!B149,""))</f>
        <v>Deiby  Atehortua Meneses</v>
      </c>
      <c r="C149" s="5" t="s">
        <v>25</v>
      </c>
      <c r="D149" s="8" t="s">
        <v>331</v>
      </c>
      <c r="E149" s="8">
        <f t="shared" ca="1" si="9"/>
        <v>14</v>
      </c>
      <c r="F149" s="5" t="s">
        <v>3</v>
      </c>
      <c r="G149" s="5" t="s">
        <v>35</v>
      </c>
      <c r="H149" s="10" t="s">
        <v>36</v>
      </c>
      <c r="I149" s="26">
        <v>23191</v>
      </c>
      <c r="J149" s="27">
        <f t="shared" ca="1" si="10"/>
        <v>23191</v>
      </c>
      <c r="K149" s="72">
        <f t="shared" si="11"/>
        <v>9</v>
      </c>
      <c r="L149" s="10">
        <f t="shared" ca="1" si="12"/>
        <v>13.953846153846154</v>
      </c>
    </row>
    <row r="150" spans="1:12" x14ac:dyDescent="0.25">
      <c r="A150" s="7">
        <v>38774</v>
      </c>
      <c r="B150" s="7" t="str">
        <f>PROPER(CONCATENATE(Datos_paciente!C150," ",Datos_paciente!A150," ",Datos_paciente!B150,""))</f>
        <v>Luisa Fernanda Hoyos Parra</v>
      </c>
      <c r="C150" s="5" t="s">
        <v>25</v>
      </c>
      <c r="D150" s="8" t="s">
        <v>332</v>
      </c>
      <c r="E150" s="8">
        <f t="shared" ca="1" si="9"/>
        <v>14</v>
      </c>
      <c r="F150" s="5" t="s">
        <v>1</v>
      </c>
      <c r="G150" s="5" t="s">
        <v>29</v>
      </c>
      <c r="H150" s="10" t="s">
        <v>36</v>
      </c>
      <c r="I150" s="26">
        <v>45557</v>
      </c>
      <c r="J150" s="27">
        <f t="shared" ca="1" si="10"/>
        <v>43279.15</v>
      </c>
      <c r="K150" s="72">
        <f t="shared" si="11"/>
        <v>2</v>
      </c>
      <c r="L150" s="10">
        <f t="shared" ca="1" si="12"/>
        <v>45557</v>
      </c>
    </row>
    <row r="151" spans="1:12" x14ac:dyDescent="0.25">
      <c r="A151" s="7">
        <v>39439</v>
      </c>
      <c r="B151" s="7" t="str">
        <f>PROPER(CONCATENATE(Datos_paciente!C151," ",Datos_paciente!A151," ",Datos_paciente!B151,""))</f>
        <v>Cristian David Betancur Ortega</v>
      </c>
      <c r="C151" s="5" t="s">
        <v>25</v>
      </c>
      <c r="D151" s="8" t="s">
        <v>334</v>
      </c>
      <c r="E151" s="8">
        <f t="shared" ca="1" si="9"/>
        <v>13</v>
      </c>
      <c r="F151" s="5" t="s">
        <v>3</v>
      </c>
      <c r="G151" s="5" t="s">
        <v>35</v>
      </c>
      <c r="H151" s="10" t="s">
        <v>36</v>
      </c>
      <c r="I151" s="26">
        <v>96655</v>
      </c>
      <c r="J151" s="27">
        <f t="shared" ca="1" si="10"/>
        <v>96655</v>
      </c>
      <c r="K151" s="72">
        <f t="shared" si="11"/>
        <v>12</v>
      </c>
      <c r="L151" s="10">
        <f t="shared" ca="1" si="12"/>
        <v>13.953125</v>
      </c>
    </row>
    <row r="152" spans="1:12" x14ac:dyDescent="0.25">
      <c r="A152" s="7">
        <v>38753</v>
      </c>
      <c r="B152" s="7" t="str">
        <f>PROPER(CONCATENATE(Datos_paciente!C152," ",Datos_paciente!A152," ",Datos_paciente!B152,""))</f>
        <v>Valeria  Bilbao Cordoba</v>
      </c>
      <c r="C152" s="5" t="s">
        <v>301</v>
      </c>
      <c r="D152" s="8" t="s">
        <v>337</v>
      </c>
      <c r="E152" s="8">
        <f t="shared" ca="1" si="9"/>
        <v>15</v>
      </c>
      <c r="F152" s="5" t="s">
        <v>1</v>
      </c>
      <c r="G152" s="5" t="s">
        <v>35</v>
      </c>
      <c r="H152" s="10" t="s">
        <v>36</v>
      </c>
      <c r="I152" s="26">
        <v>17167</v>
      </c>
      <c r="J152" s="27">
        <f t="shared" ca="1" si="10"/>
        <v>16308.65</v>
      </c>
      <c r="K152" s="72">
        <f t="shared" si="11"/>
        <v>2</v>
      </c>
      <c r="L152" s="10">
        <f t="shared" ca="1" si="12"/>
        <v>5150.0999999999995</v>
      </c>
    </row>
    <row r="153" spans="1:12" x14ac:dyDescent="0.25">
      <c r="A153" s="7">
        <v>38575</v>
      </c>
      <c r="B153" s="7" t="str">
        <f>PROPER(CONCATENATE(Datos_paciente!C153," ",Datos_paciente!A153," ",Datos_paciente!B153,""))</f>
        <v>Natalia  Hernandez Restrepo</v>
      </c>
      <c r="C153" s="5" t="s">
        <v>25</v>
      </c>
      <c r="D153" s="8" t="s">
        <v>338</v>
      </c>
      <c r="E153" s="8">
        <f t="shared" ca="1" si="9"/>
        <v>15</v>
      </c>
      <c r="F153" s="5" t="s">
        <v>1</v>
      </c>
      <c r="G153" s="5" t="s">
        <v>29</v>
      </c>
      <c r="H153" s="10" t="s">
        <v>32</v>
      </c>
      <c r="I153" s="26">
        <v>34994</v>
      </c>
      <c r="J153" s="27">
        <f t="shared" ca="1" si="10"/>
        <v>33244.300000000003</v>
      </c>
      <c r="K153" s="72">
        <f t="shared" si="11"/>
        <v>8</v>
      </c>
      <c r="L153" s="10">
        <f t="shared" ca="1" si="12"/>
        <v>10498.199999999999</v>
      </c>
    </row>
    <row r="154" spans="1:12" x14ac:dyDescent="0.25">
      <c r="A154" s="7">
        <v>39112</v>
      </c>
      <c r="B154" s="7" t="str">
        <f>PROPER(CONCATENATE(Datos_paciente!C154," ",Datos_paciente!A154," ",Datos_paciente!B154,""))</f>
        <v>Samuel  Rodriguez Rodriguez</v>
      </c>
      <c r="C154" s="5" t="s">
        <v>25</v>
      </c>
      <c r="D154" s="8" t="s">
        <v>339</v>
      </c>
      <c r="E154" s="8">
        <f t="shared" ca="1" si="9"/>
        <v>14</v>
      </c>
      <c r="F154" s="5" t="s">
        <v>3</v>
      </c>
      <c r="G154" s="5" t="s">
        <v>35</v>
      </c>
      <c r="H154" s="10" t="s">
        <v>36</v>
      </c>
      <c r="I154" s="26">
        <v>70123</v>
      </c>
      <c r="J154" s="27">
        <f t="shared" ca="1" si="10"/>
        <v>70123</v>
      </c>
      <c r="K154" s="72">
        <f t="shared" si="11"/>
        <v>1</v>
      </c>
      <c r="L154" s="10">
        <f t="shared" ca="1" si="12"/>
        <v>13.968253968253968</v>
      </c>
    </row>
    <row r="155" spans="1:12" x14ac:dyDescent="0.25">
      <c r="A155" s="7">
        <v>38175</v>
      </c>
      <c r="B155" s="7" t="str">
        <f>PROPER(CONCATENATE(Datos_paciente!C155," ",Datos_paciente!A155," ",Datos_paciente!B155,""))</f>
        <v>Darwin  Lopez Delgado</v>
      </c>
      <c r="C155" s="5" t="s">
        <v>25</v>
      </c>
      <c r="D155" s="8" t="s">
        <v>341</v>
      </c>
      <c r="E155" s="8">
        <f t="shared" ca="1" si="9"/>
        <v>16</v>
      </c>
      <c r="F155" s="5" t="s">
        <v>3</v>
      </c>
      <c r="G155" s="5" t="s">
        <v>35</v>
      </c>
      <c r="H155" s="10" t="s">
        <v>36</v>
      </c>
      <c r="I155" s="26">
        <v>24814</v>
      </c>
      <c r="J155" s="27">
        <f t="shared" ca="1" si="10"/>
        <v>24814</v>
      </c>
      <c r="K155" s="72">
        <f t="shared" si="11"/>
        <v>7</v>
      </c>
      <c r="L155" s="10">
        <f t="shared" ca="1" si="12"/>
        <v>13.96774193548387</v>
      </c>
    </row>
    <row r="156" spans="1:12" x14ac:dyDescent="0.25">
      <c r="A156" s="7">
        <v>38171</v>
      </c>
      <c r="B156" s="7" t="str">
        <f>PROPER(CONCATENATE(Datos_paciente!C156," ",Datos_paciente!A156," ",Datos_paciente!B156,""))</f>
        <v>Kevin Jhoan Jimenez Gonzalez</v>
      </c>
      <c r="C156" s="5" t="s">
        <v>25</v>
      </c>
      <c r="D156" s="8" t="s">
        <v>343</v>
      </c>
      <c r="E156" s="8">
        <f t="shared" ca="1" si="9"/>
        <v>16</v>
      </c>
      <c r="F156" s="5" t="s">
        <v>3</v>
      </c>
      <c r="G156" s="5" t="s">
        <v>26</v>
      </c>
      <c r="H156" s="10" t="s">
        <v>32</v>
      </c>
      <c r="I156" s="26">
        <v>19558</v>
      </c>
      <c r="J156" s="27">
        <f t="shared" ca="1" si="10"/>
        <v>19558</v>
      </c>
      <c r="K156" s="72">
        <f t="shared" si="11"/>
        <v>7</v>
      </c>
      <c r="L156" s="10">
        <f t="shared" ca="1" si="12"/>
        <v>13.934426229508198</v>
      </c>
    </row>
    <row r="157" spans="1:12" x14ac:dyDescent="0.25">
      <c r="A157" s="7">
        <v>39195</v>
      </c>
      <c r="B157" s="7" t="str">
        <f>PROPER(CONCATENATE(Datos_paciente!C157," ",Datos_paciente!A157," ",Datos_paciente!B157,""))</f>
        <v>Josue  Cata?O Arroyave</v>
      </c>
      <c r="C157" s="5" t="s">
        <v>25</v>
      </c>
      <c r="D157" s="8" t="s">
        <v>345</v>
      </c>
      <c r="E157" s="8">
        <f t="shared" ca="1" si="9"/>
        <v>13</v>
      </c>
      <c r="F157" s="5" t="s">
        <v>3</v>
      </c>
      <c r="G157" s="5" t="s">
        <v>26</v>
      </c>
      <c r="H157" s="10" t="s">
        <v>32</v>
      </c>
      <c r="I157" s="26">
        <v>92299</v>
      </c>
      <c r="J157" s="27">
        <f t="shared" ca="1" si="10"/>
        <v>92299</v>
      </c>
      <c r="K157" s="72">
        <f t="shared" si="11"/>
        <v>4</v>
      </c>
      <c r="L157" s="10">
        <f t="shared" ca="1" si="12"/>
        <v>13.9</v>
      </c>
    </row>
    <row r="158" spans="1:12" x14ac:dyDescent="0.25">
      <c r="A158" s="7">
        <v>38530</v>
      </c>
      <c r="B158" s="7" t="str">
        <f>PROPER(CONCATENATE(Datos_paciente!C158," ",Datos_paciente!A158," ",Datos_paciente!B158,""))</f>
        <v>Daniel Aaron Valencia Cardenas</v>
      </c>
      <c r="C158" s="5" t="s">
        <v>25</v>
      </c>
      <c r="D158" s="8" t="s">
        <v>347</v>
      </c>
      <c r="E158" s="8">
        <f t="shared" ca="1" si="9"/>
        <v>15</v>
      </c>
      <c r="F158" s="5" t="s">
        <v>3</v>
      </c>
      <c r="G158" s="5" t="s">
        <v>45</v>
      </c>
      <c r="H158" s="10" t="s">
        <v>142</v>
      </c>
      <c r="I158" s="26">
        <v>50846</v>
      </c>
      <c r="J158" s="27">
        <f t="shared" ca="1" si="10"/>
        <v>50846</v>
      </c>
      <c r="K158" s="72">
        <f t="shared" si="11"/>
        <v>6</v>
      </c>
      <c r="L158" s="10">
        <f t="shared" ca="1" si="12"/>
        <v>13.915254237288135</v>
      </c>
    </row>
    <row r="159" spans="1:12" x14ac:dyDescent="0.25">
      <c r="A159" s="7">
        <v>39069</v>
      </c>
      <c r="B159" s="7" t="str">
        <f>PROPER(CONCATENATE(Datos_paciente!C159," ",Datos_paciente!A159," ",Datos_paciente!B159,""))</f>
        <v>Ana Sofia Berrio Correa</v>
      </c>
      <c r="C159" s="5" t="s">
        <v>25</v>
      </c>
      <c r="D159" s="8" t="s">
        <v>348</v>
      </c>
      <c r="E159" s="8">
        <f t="shared" ca="1" si="9"/>
        <v>14</v>
      </c>
      <c r="F159" s="5" t="s">
        <v>1</v>
      </c>
      <c r="G159" s="5" t="s">
        <v>29</v>
      </c>
      <c r="H159" s="10" t="s">
        <v>32</v>
      </c>
      <c r="I159" s="26">
        <v>43554</v>
      </c>
      <c r="J159" s="27">
        <f t="shared" ca="1" si="10"/>
        <v>41376.300000000003</v>
      </c>
      <c r="K159" s="72">
        <f t="shared" si="11"/>
        <v>12</v>
      </c>
      <c r="L159" s="10">
        <f t="shared" ca="1" si="12"/>
        <v>43554</v>
      </c>
    </row>
    <row r="160" spans="1:12" x14ac:dyDescent="0.25">
      <c r="A160" s="7">
        <v>38463</v>
      </c>
      <c r="B160" s="7" t="str">
        <f>PROPER(CONCATENATE(Datos_paciente!C160," ",Datos_paciente!A160," ",Datos_paciente!B160,""))</f>
        <v>Daniel Alejandro Gomez Goez</v>
      </c>
      <c r="C160" s="5" t="s">
        <v>25</v>
      </c>
      <c r="D160" s="8" t="s">
        <v>348</v>
      </c>
      <c r="E160" s="8">
        <f t="shared" ca="1" si="9"/>
        <v>15</v>
      </c>
      <c r="F160" s="5" t="s">
        <v>3</v>
      </c>
      <c r="G160" s="5" t="s">
        <v>29</v>
      </c>
      <c r="H160" s="10" t="s">
        <v>32</v>
      </c>
      <c r="I160" s="26">
        <v>25396</v>
      </c>
      <c r="J160" s="27">
        <f t="shared" ca="1" si="10"/>
        <v>25396</v>
      </c>
      <c r="K160" s="72">
        <f t="shared" si="11"/>
        <v>4</v>
      </c>
      <c r="L160" s="10">
        <f t="shared" ca="1" si="12"/>
        <v>13.896551724137931</v>
      </c>
    </row>
    <row r="161" spans="1:12" x14ac:dyDescent="0.25">
      <c r="A161" s="7">
        <v>38600</v>
      </c>
      <c r="B161" s="7" t="str">
        <f>PROPER(CONCATENATE(Datos_paciente!C161," ",Datos_paciente!A161," ",Datos_paciente!B161,""))</f>
        <v>Samuel  Seguro Tobias</v>
      </c>
      <c r="C161" s="5" t="s">
        <v>25</v>
      </c>
      <c r="D161" s="8" t="s">
        <v>350</v>
      </c>
      <c r="E161" s="8">
        <f t="shared" ca="1" si="9"/>
        <v>15</v>
      </c>
      <c r="F161" s="5" t="s">
        <v>3</v>
      </c>
      <c r="G161" s="5" t="s">
        <v>29</v>
      </c>
      <c r="H161" s="10" t="s">
        <v>32</v>
      </c>
      <c r="I161" s="26">
        <v>33797</v>
      </c>
      <c r="J161" s="27">
        <f t="shared" ca="1" si="10"/>
        <v>33797</v>
      </c>
      <c r="K161" s="72">
        <f t="shared" si="11"/>
        <v>9</v>
      </c>
      <c r="L161" s="10">
        <f t="shared" ca="1" si="12"/>
        <v>13.87719298245614</v>
      </c>
    </row>
    <row r="162" spans="1:12" x14ac:dyDescent="0.25">
      <c r="A162" s="7">
        <v>38932</v>
      </c>
      <c r="B162" s="7" t="str">
        <f>PROPER(CONCATENATE(Datos_paciente!C162," ",Datos_paciente!A162," ",Datos_paciente!B162,""))</f>
        <v>Jeronimo  Moreno Garcia</v>
      </c>
      <c r="C162" s="5" t="s">
        <v>25</v>
      </c>
      <c r="D162" s="8" t="s">
        <v>351</v>
      </c>
      <c r="E162" s="8">
        <f t="shared" ca="1" si="9"/>
        <v>14</v>
      </c>
      <c r="F162" s="5" t="s">
        <v>3</v>
      </c>
      <c r="G162" s="5" t="s">
        <v>29</v>
      </c>
      <c r="H162" s="13" t="s">
        <v>667</v>
      </c>
      <c r="I162" s="26">
        <v>19415</v>
      </c>
      <c r="J162" s="27">
        <f t="shared" ca="1" si="10"/>
        <v>19415</v>
      </c>
      <c r="K162" s="72">
        <f t="shared" si="11"/>
        <v>8</v>
      </c>
      <c r="L162" s="10">
        <f t="shared" ca="1" si="12"/>
        <v>13.857142857142858</v>
      </c>
    </row>
    <row r="163" spans="1:12" x14ac:dyDescent="0.25">
      <c r="A163" s="7">
        <v>39578</v>
      </c>
      <c r="B163" s="7" t="str">
        <f>PROPER(CONCATENATE(Datos_paciente!C163," ",Datos_paciente!A163," ",Datos_paciente!B163,""))</f>
        <v>Sofia  Perez Arias</v>
      </c>
      <c r="C163" s="5" t="s">
        <v>25</v>
      </c>
      <c r="D163" s="8" t="s">
        <v>352</v>
      </c>
      <c r="E163" s="8">
        <f t="shared" ca="1" si="9"/>
        <v>12</v>
      </c>
      <c r="F163" s="5" t="s">
        <v>1</v>
      </c>
      <c r="G163" s="5" t="s">
        <v>29</v>
      </c>
      <c r="H163" s="10" t="s">
        <v>32</v>
      </c>
      <c r="I163" s="26">
        <v>74479</v>
      </c>
      <c r="J163" s="27">
        <f t="shared" ca="1" si="10"/>
        <v>70755.05</v>
      </c>
      <c r="K163" s="72">
        <f t="shared" si="11"/>
        <v>5</v>
      </c>
      <c r="L163" s="10">
        <f t="shared" ca="1" si="12"/>
        <v>74479</v>
      </c>
    </row>
    <row r="164" spans="1:12" x14ac:dyDescent="0.25">
      <c r="A164" s="7">
        <v>38509</v>
      </c>
      <c r="B164" s="7" t="str">
        <f>PROPER(CONCATENATE(Datos_paciente!C164," ",Datos_paciente!A164," ",Datos_paciente!B164,""))</f>
        <v>Wendy Yadaly Arango Lopez</v>
      </c>
      <c r="C164" s="5" t="s">
        <v>25</v>
      </c>
      <c r="D164" s="8" t="s">
        <v>353</v>
      </c>
      <c r="E164" s="8">
        <f t="shared" ca="1" si="9"/>
        <v>15</v>
      </c>
      <c r="F164" s="5" t="s">
        <v>1</v>
      </c>
      <c r="G164" s="5" t="s">
        <v>29</v>
      </c>
      <c r="H164" s="10" t="s">
        <v>50</v>
      </c>
      <c r="I164" s="26">
        <v>52144</v>
      </c>
      <c r="J164" s="27">
        <f t="shared" ca="1" si="10"/>
        <v>49536.800000000003</v>
      </c>
      <c r="K164" s="72">
        <f t="shared" si="11"/>
        <v>6</v>
      </c>
      <c r="L164" s="10">
        <f t="shared" ca="1" si="12"/>
        <v>15643.199999999999</v>
      </c>
    </row>
    <row r="165" spans="1:12" x14ac:dyDescent="0.25">
      <c r="A165" s="7">
        <v>38577</v>
      </c>
      <c r="B165" s="7" t="str">
        <f>PROPER(CONCATENATE(Datos_paciente!C165," ",Datos_paciente!A165," ",Datos_paciente!B165,""))</f>
        <v>Jose Alejandro Ramirez Jaramillo</v>
      </c>
      <c r="C165" s="5" t="s">
        <v>25</v>
      </c>
      <c r="D165" s="8" t="s">
        <v>354</v>
      </c>
      <c r="E165" s="8">
        <f t="shared" ca="1" si="9"/>
        <v>15</v>
      </c>
      <c r="F165" s="5" t="s">
        <v>3</v>
      </c>
      <c r="G165" s="5" t="s">
        <v>29</v>
      </c>
      <c r="H165" s="10" t="s">
        <v>32</v>
      </c>
      <c r="I165" s="26">
        <v>53957</v>
      </c>
      <c r="J165" s="27">
        <f t="shared" ca="1" si="10"/>
        <v>53957</v>
      </c>
      <c r="K165" s="72">
        <f t="shared" si="11"/>
        <v>8</v>
      </c>
      <c r="L165" s="10">
        <f t="shared" ca="1" si="12"/>
        <v>13.854545454545455</v>
      </c>
    </row>
    <row r="166" spans="1:12" x14ac:dyDescent="0.25">
      <c r="A166" s="7">
        <v>38332</v>
      </c>
      <c r="B166" s="7" t="str">
        <f>PROPER(CONCATENATE(Datos_paciente!C166," ",Datos_paciente!A166," ",Datos_paciente!B166,""))</f>
        <v>Tomas  Metaute Metaute</v>
      </c>
      <c r="C166" s="5" t="s">
        <v>25</v>
      </c>
      <c r="D166" s="8" t="s">
        <v>355</v>
      </c>
      <c r="E166" s="8">
        <f t="shared" ca="1" si="9"/>
        <v>16</v>
      </c>
      <c r="F166" s="5" t="s">
        <v>3</v>
      </c>
      <c r="G166" s="5" t="s">
        <v>26</v>
      </c>
      <c r="H166" s="10" t="s">
        <v>32</v>
      </c>
      <c r="I166" s="26">
        <v>51511</v>
      </c>
      <c r="J166" s="27">
        <f t="shared" ca="1" si="10"/>
        <v>51511</v>
      </c>
      <c r="K166" s="72">
        <f t="shared" si="11"/>
        <v>12</v>
      </c>
      <c r="L166" s="10">
        <f t="shared" ca="1" si="12"/>
        <v>13.833333333333334</v>
      </c>
    </row>
    <row r="167" spans="1:12" x14ac:dyDescent="0.25">
      <c r="A167" s="7">
        <v>38054</v>
      </c>
      <c r="B167" s="7" t="str">
        <f>PROPER(CONCATENATE(Datos_paciente!C167," ",Datos_paciente!A167," ",Datos_paciente!B167,""))</f>
        <v>Juliana  Posada Ayala</v>
      </c>
      <c r="C167" s="5" t="s">
        <v>25</v>
      </c>
      <c r="D167" s="8" t="s">
        <v>358</v>
      </c>
      <c r="E167" s="8">
        <f t="shared" ca="1" si="9"/>
        <v>16</v>
      </c>
      <c r="F167" s="5" t="s">
        <v>1</v>
      </c>
      <c r="G167" s="5" t="s">
        <v>29</v>
      </c>
      <c r="H167" s="10" t="s">
        <v>32</v>
      </c>
      <c r="I167" s="26">
        <v>41555</v>
      </c>
      <c r="J167" s="27">
        <f t="shared" ca="1" si="10"/>
        <v>39477.25</v>
      </c>
      <c r="K167" s="72">
        <f t="shared" si="11"/>
        <v>3</v>
      </c>
      <c r="L167" s="10">
        <f t="shared" ca="1" si="12"/>
        <v>12466.5</v>
      </c>
    </row>
    <row r="168" spans="1:12" x14ac:dyDescent="0.25">
      <c r="A168" s="7">
        <v>39222</v>
      </c>
      <c r="B168" s="7" t="str">
        <f>PROPER(CONCATENATE(Datos_paciente!C168," ",Datos_paciente!A168," ",Datos_paciente!B168,""))</f>
        <v>Diana Angel Bonilla Salcedo</v>
      </c>
      <c r="C168" s="5" t="s">
        <v>25</v>
      </c>
      <c r="D168" s="8" t="s">
        <v>359</v>
      </c>
      <c r="E168" s="8">
        <f t="shared" ca="1" si="9"/>
        <v>13</v>
      </c>
      <c r="F168" s="5" t="s">
        <v>1</v>
      </c>
      <c r="G168" s="5" t="s">
        <v>26</v>
      </c>
      <c r="H168" s="10" t="s">
        <v>32</v>
      </c>
      <c r="I168" s="26">
        <v>95467</v>
      </c>
      <c r="J168" s="27">
        <f t="shared" ca="1" si="10"/>
        <v>90693.65</v>
      </c>
      <c r="K168" s="72">
        <f t="shared" si="11"/>
        <v>5</v>
      </c>
      <c r="L168" s="10">
        <f t="shared" ca="1" si="12"/>
        <v>95467</v>
      </c>
    </row>
    <row r="169" spans="1:12" x14ac:dyDescent="0.25">
      <c r="A169" s="7">
        <v>39328</v>
      </c>
      <c r="B169" s="7" t="str">
        <f>PROPER(CONCATENATE(Datos_paciente!C169," ",Datos_paciente!A169," ",Datos_paciente!B169,""))</f>
        <v>Vanesa  Rojas Arango</v>
      </c>
      <c r="C169" s="5" t="s">
        <v>25</v>
      </c>
      <c r="D169" s="8" t="s">
        <v>360</v>
      </c>
      <c r="E169" s="8">
        <f t="shared" ca="1" si="9"/>
        <v>13</v>
      </c>
      <c r="F169" s="5" t="s">
        <v>1</v>
      </c>
      <c r="G169" s="5" t="s">
        <v>29</v>
      </c>
      <c r="H169" s="13" t="s">
        <v>667</v>
      </c>
      <c r="I169" s="26">
        <v>69331</v>
      </c>
      <c r="J169" s="27">
        <f t="shared" ca="1" si="10"/>
        <v>65864.45</v>
      </c>
      <c r="K169" s="72">
        <f t="shared" si="11"/>
        <v>9</v>
      </c>
      <c r="L169" s="10">
        <f t="shared" ca="1" si="12"/>
        <v>69331</v>
      </c>
    </row>
    <row r="170" spans="1:12" x14ac:dyDescent="0.25">
      <c r="A170" s="7">
        <v>38069</v>
      </c>
      <c r="B170" s="7" t="str">
        <f>PROPER(CONCATENATE(Datos_paciente!C170," ",Datos_paciente!A170," ",Datos_paciente!B170,""))</f>
        <v>Jose Sebastian Mu?Oz Herrera</v>
      </c>
      <c r="C170" s="5" t="s">
        <v>25</v>
      </c>
      <c r="D170" s="8" t="s">
        <v>362</v>
      </c>
      <c r="E170" s="8">
        <f t="shared" ca="1" si="9"/>
        <v>16</v>
      </c>
      <c r="F170" s="5" t="s">
        <v>3</v>
      </c>
      <c r="G170" s="5" t="s">
        <v>45</v>
      </c>
      <c r="H170" s="10" t="s">
        <v>50</v>
      </c>
      <c r="I170" s="26">
        <v>21952</v>
      </c>
      <c r="J170" s="27">
        <f t="shared" ca="1" si="10"/>
        <v>21952</v>
      </c>
      <c r="K170" s="72">
        <f t="shared" si="11"/>
        <v>3</v>
      </c>
      <c r="L170" s="10">
        <f t="shared" ca="1" si="12"/>
        <v>13.79245283018868</v>
      </c>
    </row>
    <row r="171" spans="1:12" x14ac:dyDescent="0.25">
      <c r="A171" s="7">
        <v>39378</v>
      </c>
      <c r="B171" s="7" t="str">
        <f>PROPER(CONCATENATE(Datos_paciente!C171," ",Datos_paciente!A171," ",Datos_paciente!B171,""))</f>
        <v>Mariana  Metaute Gaviria</v>
      </c>
      <c r="C171" s="5" t="s">
        <v>25</v>
      </c>
      <c r="D171" s="8" t="s">
        <v>363</v>
      </c>
      <c r="E171" s="8">
        <f t="shared" ca="1" si="9"/>
        <v>13</v>
      </c>
      <c r="F171" s="5" t="s">
        <v>1</v>
      </c>
      <c r="G171" s="5" t="s">
        <v>29</v>
      </c>
      <c r="H171" s="10" t="s">
        <v>61</v>
      </c>
      <c r="I171" s="26">
        <v>83983</v>
      </c>
      <c r="J171" s="27">
        <f t="shared" ca="1" si="10"/>
        <v>79783.850000000006</v>
      </c>
      <c r="K171" s="72">
        <f t="shared" si="11"/>
        <v>10</v>
      </c>
      <c r="L171" s="10">
        <f t="shared" ca="1" si="12"/>
        <v>83983</v>
      </c>
    </row>
    <row r="172" spans="1:12" x14ac:dyDescent="0.25">
      <c r="A172" s="7">
        <v>39562</v>
      </c>
      <c r="B172" s="7" t="str">
        <f>PROPER(CONCATENATE(Datos_paciente!C172," ",Datos_paciente!A172," ",Datos_paciente!B172,""))</f>
        <v>Andres  Lopez Jaramillo</v>
      </c>
      <c r="C172" s="5" t="s">
        <v>25</v>
      </c>
      <c r="D172" s="8" t="s">
        <v>364</v>
      </c>
      <c r="E172" s="8">
        <f t="shared" ca="1" si="9"/>
        <v>12</v>
      </c>
      <c r="F172" s="5" t="s">
        <v>3</v>
      </c>
      <c r="G172" s="5" t="s">
        <v>29</v>
      </c>
      <c r="H172" s="10" t="s">
        <v>142</v>
      </c>
      <c r="I172" s="26">
        <v>82003</v>
      </c>
      <c r="J172" s="27">
        <f t="shared" ca="1" si="10"/>
        <v>82003</v>
      </c>
      <c r="K172" s="72">
        <f t="shared" si="11"/>
        <v>4</v>
      </c>
      <c r="L172" s="10">
        <f t="shared" ca="1" si="12"/>
        <v>13.75</v>
      </c>
    </row>
    <row r="173" spans="1:12" x14ac:dyDescent="0.25">
      <c r="A173" s="7">
        <v>39424</v>
      </c>
      <c r="B173" s="7" t="str">
        <f>PROPER(CONCATENATE(Datos_paciente!C173," ",Datos_paciente!A173," ",Datos_paciente!B173,""))</f>
        <v>Samanta  Echeverri Alzate</v>
      </c>
      <c r="C173" s="5" t="s">
        <v>25</v>
      </c>
      <c r="D173" s="8" t="s">
        <v>366</v>
      </c>
      <c r="E173" s="8">
        <f t="shared" ca="1" si="9"/>
        <v>13</v>
      </c>
      <c r="F173" s="5" t="s">
        <v>1</v>
      </c>
      <c r="G173" s="5" t="s">
        <v>26</v>
      </c>
      <c r="H173" s="10" t="s">
        <v>32</v>
      </c>
      <c r="I173" s="26">
        <v>88339</v>
      </c>
      <c r="J173" s="27">
        <f t="shared" ca="1" si="10"/>
        <v>83922.05</v>
      </c>
      <c r="K173" s="72">
        <f t="shared" si="11"/>
        <v>12</v>
      </c>
      <c r="L173" s="10">
        <f t="shared" ca="1" si="12"/>
        <v>88339</v>
      </c>
    </row>
    <row r="174" spans="1:12" x14ac:dyDescent="0.25">
      <c r="A174" s="7">
        <v>39587</v>
      </c>
      <c r="B174" s="7" t="str">
        <f>PROPER(CONCATENATE(Datos_paciente!C174," ",Datos_paciente!A174," ",Datos_paciente!B174,""))</f>
        <v>Juan Jose Berrio Vahos</v>
      </c>
      <c r="C174" s="5" t="s">
        <v>25</v>
      </c>
      <c r="D174" s="8" t="s">
        <v>368</v>
      </c>
      <c r="E174" s="8">
        <f t="shared" ca="1" si="9"/>
        <v>12</v>
      </c>
      <c r="F174" s="5" t="s">
        <v>3</v>
      </c>
      <c r="G174" s="5" t="s">
        <v>35</v>
      </c>
      <c r="H174" s="10" t="s">
        <v>36</v>
      </c>
      <c r="I174" s="26">
        <v>97447</v>
      </c>
      <c r="J174" s="27">
        <f t="shared" ca="1" si="10"/>
        <v>97447</v>
      </c>
      <c r="K174" s="72">
        <f t="shared" si="11"/>
        <v>5</v>
      </c>
      <c r="L174" s="10">
        <f t="shared" ca="1" si="12"/>
        <v>13.784313725490197</v>
      </c>
    </row>
    <row r="175" spans="1:12" x14ac:dyDescent="0.25">
      <c r="A175" s="7">
        <v>38951</v>
      </c>
      <c r="B175" s="7" t="str">
        <f>PROPER(CONCATENATE(Datos_paciente!C175," ",Datos_paciente!A175," ",Datos_paciente!B175,""))</f>
        <v>Andres  Upegui Ruiz</v>
      </c>
      <c r="C175" s="5" t="s">
        <v>25</v>
      </c>
      <c r="D175" s="8" t="s">
        <v>370</v>
      </c>
      <c r="E175" s="8">
        <f t="shared" ca="1" si="9"/>
        <v>14</v>
      </c>
      <c r="F175" s="5" t="s">
        <v>3</v>
      </c>
      <c r="G175" s="5" t="s">
        <v>45</v>
      </c>
      <c r="H175" s="10" t="s">
        <v>142</v>
      </c>
      <c r="I175" s="26">
        <v>20693</v>
      </c>
      <c r="J175" s="27">
        <f t="shared" ca="1" si="10"/>
        <v>20693</v>
      </c>
      <c r="K175" s="72">
        <f t="shared" si="11"/>
        <v>8</v>
      </c>
      <c r="L175" s="10">
        <f t="shared" ca="1" si="12"/>
        <v>13.82</v>
      </c>
    </row>
    <row r="176" spans="1:12" x14ac:dyDescent="0.25">
      <c r="A176" s="7">
        <v>39427</v>
      </c>
      <c r="B176" s="7" t="str">
        <f>PROPER(CONCATENATE(Datos_paciente!C176," ",Datos_paciente!A176," ",Datos_paciente!B176,""))</f>
        <v>Samuel  Baena Velez</v>
      </c>
      <c r="C176" s="5" t="s">
        <v>25</v>
      </c>
      <c r="D176" s="8" t="s">
        <v>372</v>
      </c>
      <c r="E176" s="8">
        <f t="shared" ca="1" si="9"/>
        <v>13</v>
      </c>
      <c r="F176" s="5" t="s">
        <v>3</v>
      </c>
      <c r="G176" s="5" t="s">
        <v>26</v>
      </c>
      <c r="H176" s="10" t="s">
        <v>32</v>
      </c>
      <c r="I176" s="26">
        <v>98635</v>
      </c>
      <c r="J176" s="27">
        <f t="shared" ca="1" si="10"/>
        <v>98635</v>
      </c>
      <c r="K176" s="72">
        <f t="shared" si="11"/>
        <v>12</v>
      </c>
      <c r="L176" s="10">
        <f t="shared" ca="1" si="12"/>
        <v>13.816326530612244</v>
      </c>
    </row>
    <row r="177" spans="1:12" x14ac:dyDescent="0.25">
      <c r="A177" s="7">
        <v>38856</v>
      </c>
      <c r="B177" s="7" t="str">
        <f>PROPER(CONCATENATE(Datos_paciente!C177," ",Datos_paciente!A177," ",Datos_paciente!B177,""))</f>
        <v>Daniel Giovanny Montoya Hernandez</v>
      </c>
      <c r="C177" s="5" t="s">
        <v>25</v>
      </c>
      <c r="D177" s="8" t="s">
        <v>373</v>
      </c>
      <c r="E177" s="8">
        <f t="shared" ca="1" si="9"/>
        <v>14</v>
      </c>
      <c r="F177" s="5" t="s">
        <v>3</v>
      </c>
      <c r="G177" s="5" t="s">
        <v>35</v>
      </c>
      <c r="H177" s="10" t="s">
        <v>36</v>
      </c>
      <c r="I177" s="26">
        <v>26974</v>
      </c>
      <c r="J177" s="27">
        <f t="shared" ca="1" si="10"/>
        <v>26974</v>
      </c>
      <c r="K177" s="72">
        <f t="shared" si="11"/>
        <v>5</v>
      </c>
      <c r="L177" s="10">
        <f t="shared" ca="1" si="12"/>
        <v>13.833333333333334</v>
      </c>
    </row>
    <row r="178" spans="1:12" x14ac:dyDescent="0.25">
      <c r="A178" s="7">
        <v>39439</v>
      </c>
      <c r="B178" s="7" t="str">
        <f>PROPER(CONCATENATE(Datos_paciente!C178," ",Datos_paciente!A178," ",Datos_paciente!B178,""))</f>
        <v>Cristian David Betancur Ortega</v>
      </c>
      <c r="C178" s="5" t="s">
        <v>25</v>
      </c>
      <c r="D178" s="8" t="s">
        <v>374</v>
      </c>
      <c r="E178" s="8">
        <f t="shared" ca="1" si="9"/>
        <v>13</v>
      </c>
      <c r="F178" s="5" t="s">
        <v>3</v>
      </c>
      <c r="G178" s="5" t="s">
        <v>35</v>
      </c>
      <c r="H178" s="10" t="s">
        <v>27</v>
      </c>
      <c r="I178" s="26">
        <v>96259</v>
      </c>
      <c r="J178" s="27">
        <f t="shared" ca="1" si="10"/>
        <v>96259</v>
      </c>
      <c r="K178" s="72">
        <f t="shared" si="11"/>
        <v>12</v>
      </c>
      <c r="L178" s="10">
        <f t="shared" ca="1" si="12"/>
        <v>13.829787234042554</v>
      </c>
    </row>
    <row r="179" spans="1:12" x14ac:dyDescent="0.25">
      <c r="A179" s="7">
        <v>39242</v>
      </c>
      <c r="B179" s="7" t="str">
        <f>PROPER(CONCATENATE(Datos_paciente!C179," ",Datos_paciente!A179," ",Datos_paciente!B179,""))</f>
        <v>Valeria  Asprilla Moreno</v>
      </c>
      <c r="C179" s="5" t="s">
        <v>25</v>
      </c>
      <c r="D179" s="8" t="s">
        <v>376</v>
      </c>
      <c r="E179" s="8">
        <f t="shared" ca="1" si="9"/>
        <v>13</v>
      </c>
      <c r="F179" s="5" t="s">
        <v>1</v>
      </c>
      <c r="G179" s="5" t="s">
        <v>26</v>
      </c>
      <c r="H179" s="10" t="s">
        <v>32</v>
      </c>
      <c r="I179" s="26">
        <v>55008</v>
      </c>
      <c r="J179" s="27">
        <f t="shared" ca="1" si="10"/>
        <v>52257.599999999999</v>
      </c>
      <c r="K179" s="72">
        <f t="shared" si="11"/>
        <v>6</v>
      </c>
      <c r="L179" s="10">
        <f t="shared" ca="1" si="12"/>
        <v>55008</v>
      </c>
    </row>
    <row r="180" spans="1:12" x14ac:dyDescent="0.25">
      <c r="A180" s="7">
        <v>38903</v>
      </c>
      <c r="B180" s="7" t="str">
        <f>PROPER(CONCATENATE(Datos_paciente!C180," ",Datos_paciente!A180," ",Datos_paciente!B180,""))</f>
        <v>Maria Paula Pati?O Zapata</v>
      </c>
      <c r="C180" s="5" t="s">
        <v>25</v>
      </c>
      <c r="D180" s="8" t="s">
        <v>376</v>
      </c>
      <c r="E180" s="8">
        <f t="shared" ca="1" si="9"/>
        <v>14</v>
      </c>
      <c r="F180" s="5" t="s">
        <v>1</v>
      </c>
      <c r="G180" s="5" t="s">
        <v>26</v>
      </c>
      <c r="H180" s="10" t="s">
        <v>36</v>
      </c>
      <c r="I180" s="26">
        <v>55008</v>
      </c>
      <c r="J180" s="27">
        <f t="shared" ca="1" si="10"/>
        <v>52257.599999999999</v>
      </c>
      <c r="K180" s="72">
        <f t="shared" si="11"/>
        <v>7</v>
      </c>
      <c r="L180" s="10">
        <f t="shared" ca="1" si="12"/>
        <v>55008</v>
      </c>
    </row>
    <row r="181" spans="1:12" x14ac:dyDescent="0.25">
      <c r="A181" s="7">
        <v>39495</v>
      </c>
      <c r="B181" s="7" t="str">
        <f>PROPER(CONCATENATE(Datos_paciente!C181," ",Datos_paciente!A181," ",Datos_paciente!B181,""))</f>
        <v>Santiago  Saldarriaga Merchan</v>
      </c>
      <c r="C181" s="5" t="s">
        <v>25</v>
      </c>
      <c r="D181" s="8" t="s">
        <v>377</v>
      </c>
      <c r="E181" s="8">
        <f t="shared" ref="E181:E244" ca="1" si="13">INT((TODAY()-A181)/365)</f>
        <v>12</v>
      </c>
      <c r="F181" s="5" t="s">
        <v>3</v>
      </c>
      <c r="G181" s="5" t="s">
        <v>35</v>
      </c>
      <c r="H181" s="10" t="s">
        <v>36</v>
      </c>
      <c r="I181" s="26">
        <v>64975</v>
      </c>
      <c r="J181" s="27">
        <f t="shared" ca="1" si="10"/>
        <v>64975</v>
      </c>
      <c r="K181" s="72">
        <f t="shared" si="11"/>
        <v>2</v>
      </c>
      <c r="L181" s="10">
        <f t="shared" ca="1" si="12"/>
        <v>13.847826086956522</v>
      </c>
    </row>
    <row r="182" spans="1:12" x14ac:dyDescent="0.25">
      <c r="A182" s="7">
        <v>38617</v>
      </c>
      <c r="B182" s="7" t="str">
        <f>PROPER(CONCATENATE(Datos_paciente!C182," ",Datos_paciente!A182," ",Datos_paciente!B182,""))</f>
        <v>Kevin Andres Hincapie Granda</v>
      </c>
      <c r="C182" s="5" t="s">
        <v>25</v>
      </c>
      <c r="D182" s="8" t="s">
        <v>378</v>
      </c>
      <c r="E182" s="8">
        <f t="shared" ca="1" si="13"/>
        <v>15</v>
      </c>
      <c r="F182" s="5" t="s">
        <v>3</v>
      </c>
      <c r="G182" s="5" t="s">
        <v>35</v>
      </c>
      <c r="H182" s="10" t="s">
        <v>36</v>
      </c>
      <c r="I182" s="26">
        <v>29088</v>
      </c>
      <c r="J182" s="27">
        <f t="shared" ca="1" si="10"/>
        <v>29088</v>
      </c>
      <c r="K182" s="72">
        <f t="shared" si="11"/>
        <v>9</v>
      </c>
      <c r="L182" s="10">
        <f t="shared" ca="1" si="12"/>
        <v>13.888888888888889</v>
      </c>
    </row>
    <row r="183" spans="1:12" x14ac:dyDescent="0.25">
      <c r="A183" s="7">
        <v>39465</v>
      </c>
      <c r="B183" s="7" t="str">
        <f>PROPER(CONCATENATE(Datos_paciente!C183," ",Datos_paciente!A183," ",Datos_paciente!B183,""))</f>
        <v>Valery  Valencia Quintero</v>
      </c>
      <c r="C183" s="5" t="s">
        <v>25</v>
      </c>
      <c r="D183" s="8" t="s">
        <v>379</v>
      </c>
      <c r="E183" s="8">
        <f t="shared" ca="1" si="13"/>
        <v>13</v>
      </c>
      <c r="F183" s="5" t="s">
        <v>1</v>
      </c>
      <c r="G183" s="5" t="s">
        <v>26</v>
      </c>
      <c r="H183" s="10" t="s">
        <v>32</v>
      </c>
      <c r="I183" s="26">
        <v>62599</v>
      </c>
      <c r="J183" s="27">
        <f t="shared" ca="1" si="10"/>
        <v>59469.05</v>
      </c>
      <c r="K183" s="72">
        <f t="shared" si="11"/>
        <v>1</v>
      </c>
      <c r="L183" s="10">
        <f t="shared" ca="1" si="12"/>
        <v>62599</v>
      </c>
    </row>
    <row r="184" spans="1:12" x14ac:dyDescent="0.25">
      <c r="A184" s="7">
        <v>39647</v>
      </c>
      <c r="B184" s="7" t="str">
        <f>PROPER(CONCATENATE(Datos_paciente!C184," ",Datos_paciente!A184," ",Datos_paciente!B184,""))</f>
        <v>Hijo De Yineth Damiana Mena Garcia</v>
      </c>
      <c r="C184" s="5" t="s">
        <v>81</v>
      </c>
      <c r="D184" s="8" t="s">
        <v>380</v>
      </c>
      <c r="E184" s="8">
        <f t="shared" ca="1" si="13"/>
        <v>12</v>
      </c>
      <c r="F184" s="5" t="s">
        <v>3</v>
      </c>
      <c r="G184" s="5" t="s">
        <v>26</v>
      </c>
      <c r="H184" s="10" t="s">
        <v>32</v>
      </c>
      <c r="I184" s="26">
        <v>78439</v>
      </c>
      <c r="J184" s="27">
        <f t="shared" ca="1" si="10"/>
        <v>78439</v>
      </c>
      <c r="K184" s="72">
        <f t="shared" si="11"/>
        <v>7</v>
      </c>
      <c r="L184" s="10">
        <f t="shared" ca="1" si="12"/>
        <v>13.863636363636363</v>
      </c>
    </row>
    <row r="185" spans="1:12" x14ac:dyDescent="0.25">
      <c r="A185" s="7">
        <v>39439</v>
      </c>
      <c r="B185" s="7" t="str">
        <f>PROPER(CONCATENATE(Datos_paciente!C185," ",Datos_paciente!A185," ",Datos_paciente!B185,""))</f>
        <v>Marina  Palacios Asprilla</v>
      </c>
      <c r="C185" s="5" t="s">
        <v>25</v>
      </c>
      <c r="D185" s="8" t="s">
        <v>382</v>
      </c>
      <c r="E185" s="8">
        <f t="shared" ca="1" si="13"/>
        <v>13</v>
      </c>
      <c r="F185" s="5" t="s">
        <v>1</v>
      </c>
      <c r="G185" s="5" t="s">
        <v>35</v>
      </c>
      <c r="H185" s="10" t="s">
        <v>36</v>
      </c>
      <c r="I185" s="26">
        <v>74875</v>
      </c>
      <c r="J185" s="27">
        <f t="shared" ca="1" si="10"/>
        <v>71131.25</v>
      </c>
      <c r="K185" s="72">
        <f t="shared" si="11"/>
        <v>12</v>
      </c>
      <c r="L185" s="10">
        <f t="shared" ca="1" si="12"/>
        <v>74875</v>
      </c>
    </row>
    <row r="186" spans="1:12" x14ac:dyDescent="0.25">
      <c r="A186" s="7">
        <v>39036</v>
      </c>
      <c r="B186" s="7" t="str">
        <f>PROPER(CONCATENATE(Datos_paciente!C186," ",Datos_paciente!A186," ",Datos_paciente!B186,""))</f>
        <v>Isabela  Cuadrado Valdes</v>
      </c>
      <c r="C186" s="5" t="s">
        <v>25</v>
      </c>
      <c r="D186" s="8" t="s">
        <v>385</v>
      </c>
      <c r="E186" s="8">
        <f t="shared" ca="1" si="13"/>
        <v>14</v>
      </c>
      <c r="F186" s="5" t="s">
        <v>1</v>
      </c>
      <c r="G186" s="5" t="s">
        <v>26</v>
      </c>
      <c r="H186" s="10" t="s">
        <v>32</v>
      </c>
      <c r="I186" s="26">
        <v>58087</v>
      </c>
      <c r="J186" s="27">
        <f t="shared" ca="1" si="10"/>
        <v>55182.65</v>
      </c>
      <c r="K186" s="72">
        <f t="shared" si="11"/>
        <v>11</v>
      </c>
      <c r="L186" s="10">
        <f t="shared" ca="1" si="12"/>
        <v>58087</v>
      </c>
    </row>
    <row r="187" spans="1:12" x14ac:dyDescent="0.25">
      <c r="A187" s="7">
        <v>38323</v>
      </c>
      <c r="B187" s="7" t="str">
        <f>PROPER(CONCATENATE(Datos_paciente!C187," ",Datos_paciente!A187," ",Datos_paciente!B187,""))</f>
        <v>Maira Alejandra Londo?O Serrano</v>
      </c>
      <c r="C187" s="5" t="s">
        <v>25</v>
      </c>
      <c r="D187" s="8" t="s">
        <v>387</v>
      </c>
      <c r="E187" s="8">
        <f t="shared" ca="1" si="13"/>
        <v>16</v>
      </c>
      <c r="F187" s="5" t="s">
        <v>1</v>
      </c>
      <c r="G187" s="5" t="s">
        <v>26</v>
      </c>
      <c r="H187" s="10" t="s">
        <v>27</v>
      </c>
      <c r="I187" s="26">
        <v>50821</v>
      </c>
      <c r="J187" s="27">
        <f t="shared" ca="1" si="10"/>
        <v>48279.95</v>
      </c>
      <c r="K187" s="72">
        <f t="shared" si="11"/>
        <v>12</v>
      </c>
      <c r="L187" s="10">
        <f t="shared" ca="1" si="12"/>
        <v>15246.3</v>
      </c>
    </row>
    <row r="188" spans="1:12" x14ac:dyDescent="0.25">
      <c r="A188" s="7">
        <v>38140</v>
      </c>
      <c r="B188" s="7" t="str">
        <f>PROPER(CONCATENATE(Datos_paciente!C188," ",Datos_paciente!A188," ",Datos_paciente!B188,""))</f>
        <v>Juan David Lopez Cubides</v>
      </c>
      <c r="C188" s="5" t="s">
        <v>25</v>
      </c>
      <c r="D188" s="8" t="s">
        <v>389</v>
      </c>
      <c r="E188" s="8">
        <f t="shared" ca="1" si="13"/>
        <v>16</v>
      </c>
      <c r="F188" s="5" t="s">
        <v>3</v>
      </c>
      <c r="G188" s="5" t="s">
        <v>26</v>
      </c>
      <c r="H188" s="10" t="s">
        <v>32</v>
      </c>
      <c r="I188" s="26">
        <v>47890</v>
      </c>
      <c r="J188" s="27">
        <f t="shared" ca="1" si="10"/>
        <v>47890</v>
      </c>
      <c r="K188" s="72">
        <f t="shared" si="11"/>
        <v>6</v>
      </c>
      <c r="L188" s="10">
        <f t="shared" ca="1" si="12"/>
        <v>13.906976744186046</v>
      </c>
    </row>
    <row r="189" spans="1:12" x14ac:dyDescent="0.25">
      <c r="A189" s="7">
        <v>38538</v>
      </c>
      <c r="B189" s="7" t="str">
        <f>PROPER(CONCATENATE(Datos_paciente!C189," ",Datos_paciente!A189," ",Datos_paciente!B189,""))</f>
        <v>Juan Felipe Ramos Ortiz</v>
      </c>
      <c r="C189" s="5" t="s">
        <v>25</v>
      </c>
      <c r="D189" s="8" t="s">
        <v>391</v>
      </c>
      <c r="E189" s="8">
        <f t="shared" ca="1" si="13"/>
        <v>15</v>
      </c>
      <c r="F189" s="5" t="s">
        <v>3</v>
      </c>
      <c r="G189" s="5" t="s">
        <v>26</v>
      </c>
      <c r="H189" s="10" t="s">
        <v>32</v>
      </c>
      <c r="I189" s="26">
        <v>37348</v>
      </c>
      <c r="J189" s="27">
        <f t="shared" ca="1" si="10"/>
        <v>37348</v>
      </c>
      <c r="K189" s="72">
        <f t="shared" si="11"/>
        <v>7</v>
      </c>
      <c r="L189" s="10">
        <f t="shared" ca="1" si="12"/>
        <v>13.857142857142858</v>
      </c>
    </row>
    <row r="190" spans="1:12" x14ac:dyDescent="0.25">
      <c r="A190" s="7">
        <v>39073</v>
      </c>
      <c r="B190" s="7" t="str">
        <f>PROPER(CONCATENATE(Datos_paciente!C190," ",Datos_paciente!A190," ",Datos_paciente!B190,""))</f>
        <v>Sofia  Moreno Gallego</v>
      </c>
      <c r="C190" s="5" t="s">
        <v>25</v>
      </c>
      <c r="D190" s="8" t="s">
        <v>393</v>
      </c>
      <c r="E190" s="8">
        <f t="shared" ca="1" si="13"/>
        <v>14</v>
      </c>
      <c r="F190" s="5" t="s">
        <v>1</v>
      </c>
      <c r="G190" s="5" t="s">
        <v>26</v>
      </c>
      <c r="H190" s="10" t="s">
        <v>32</v>
      </c>
      <c r="I190" s="26">
        <v>32274</v>
      </c>
      <c r="J190" s="27">
        <f t="shared" ca="1" si="10"/>
        <v>30660.3</v>
      </c>
      <c r="K190" s="72">
        <f t="shared" si="11"/>
        <v>12</v>
      </c>
      <c r="L190" s="10">
        <f t="shared" ca="1" si="12"/>
        <v>32274</v>
      </c>
    </row>
    <row r="191" spans="1:12" x14ac:dyDescent="0.25">
      <c r="A191" s="7">
        <v>38704</v>
      </c>
      <c r="B191" s="7" t="str">
        <f>PROPER(CONCATENATE(Datos_paciente!C191," ",Datos_paciente!A191," ",Datos_paciente!B191,""))</f>
        <v>Maria Jose Gaviria Mazo</v>
      </c>
      <c r="C191" s="5" t="s">
        <v>25</v>
      </c>
      <c r="D191" s="8" t="s">
        <v>394</v>
      </c>
      <c r="E191" s="8">
        <f t="shared" ca="1" si="13"/>
        <v>15</v>
      </c>
      <c r="F191" s="5" t="s">
        <v>1</v>
      </c>
      <c r="G191" s="5" t="s">
        <v>26</v>
      </c>
      <c r="H191" s="10" t="s">
        <v>32</v>
      </c>
      <c r="I191" s="26">
        <v>34517</v>
      </c>
      <c r="J191" s="27">
        <f t="shared" ca="1" si="10"/>
        <v>32791.15</v>
      </c>
      <c r="K191" s="72">
        <f t="shared" si="11"/>
        <v>12</v>
      </c>
      <c r="L191" s="10">
        <f t="shared" ca="1" si="12"/>
        <v>10355.1</v>
      </c>
    </row>
    <row r="192" spans="1:12" x14ac:dyDescent="0.25">
      <c r="A192" s="7">
        <v>39176</v>
      </c>
      <c r="B192" s="7" t="str">
        <f>PROPER(CONCATENATE(Datos_paciente!C192," ",Datos_paciente!A192," ",Datos_paciente!B192,""))</f>
        <v>Valentina  Giraldo Lopez</v>
      </c>
      <c r="C192" s="5" t="s">
        <v>25</v>
      </c>
      <c r="D192" s="8" t="s">
        <v>394</v>
      </c>
      <c r="E192" s="8">
        <f t="shared" ca="1" si="13"/>
        <v>13</v>
      </c>
      <c r="F192" s="5" t="s">
        <v>1</v>
      </c>
      <c r="G192" s="5" t="s">
        <v>26</v>
      </c>
      <c r="H192" s="10" t="s">
        <v>32</v>
      </c>
      <c r="I192" s="26">
        <v>84775</v>
      </c>
      <c r="J192" s="27">
        <f t="shared" ca="1" si="10"/>
        <v>80536.25</v>
      </c>
      <c r="K192" s="72">
        <f t="shared" si="11"/>
        <v>4</v>
      </c>
      <c r="L192" s="10">
        <f t="shared" ca="1" si="12"/>
        <v>84775</v>
      </c>
    </row>
    <row r="193" spans="1:12" x14ac:dyDescent="0.25">
      <c r="A193" s="7">
        <v>39444</v>
      </c>
      <c r="B193" s="7" t="str">
        <f>PROPER(CONCATENATE(Datos_paciente!C193," ",Datos_paciente!A193," ",Datos_paciente!B193,""))</f>
        <v>Tomas  Galvis Oquendo</v>
      </c>
      <c r="C193" s="5" t="s">
        <v>25</v>
      </c>
      <c r="D193" s="8" t="s">
        <v>395</v>
      </c>
      <c r="E193" s="8">
        <f t="shared" ca="1" si="13"/>
        <v>13</v>
      </c>
      <c r="F193" s="5" t="s">
        <v>3</v>
      </c>
      <c r="G193" s="5" t="s">
        <v>26</v>
      </c>
      <c r="H193" s="10" t="s">
        <v>32</v>
      </c>
      <c r="I193" s="26">
        <v>87151</v>
      </c>
      <c r="J193" s="27">
        <f t="shared" ca="1" si="10"/>
        <v>87151</v>
      </c>
      <c r="K193" s="72">
        <f t="shared" si="11"/>
        <v>12</v>
      </c>
      <c r="L193" s="10">
        <f t="shared" ca="1" si="12"/>
        <v>13.829268292682928</v>
      </c>
    </row>
    <row r="194" spans="1:12" x14ac:dyDescent="0.25">
      <c r="A194" s="7">
        <v>39448</v>
      </c>
      <c r="B194" s="7" t="str">
        <f>PROPER(CONCATENATE(Datos_paciente!C194," ",Datos_paciente!A194," ",Datos_paciente!B194,""))</f>
        <v>Jhoan  Ortiz Figueroa</v>
      </c>
      <c r="C194" s="5" t="s">
        <v>25</v>
      </c>
      <c r="D194" s="8" t="s">
        <v>397</v>
      </c>
      <c r="E194" s="8">
        <f t="shared" ca="1" si="13"/>
        <v>13</v>
      </c>
      <c r="F194" s="5" t="s">
        <v>3</v>
      </c>
      <c r="G194" s="5" t="s">
        <v>29</v>
      </c>
      <c r="H194" s="13" t="s">
        <v>667</v>
      </c>
      <c r="I194" s="26">
        <v>76459</v>
      </c>
      <c r="J194" s="27">
        <f t="shared" ref="J194:J257" ca="1" si="14">I194-(IF(F194="F",(IF(E194&lt;18,I194*0.05,IF(E194&lt;34,I194*0.1,IF(E194&gt;62,I194*0.5,0)))),IF(F194="M",IF(E194&gt;65,I194*0.3,0),0)))</f>
        <v>76459</v>
      </c>
      <c r="K194" s="72">
        <f t="shared" si="11"/>
        <v>1</v>
      </c>
      <c r="L194" s="10">
        <f t="shared" ca="1" si="12"/>
        <v>13.85</v>
      </c>
    </row>
    <row r="195" spans="1:12" x14ac:dyDescent="0.25">
      <c r="A195" s="7">
        <v>38693</v>
      </c>
      <c r="B195" s="7" t="str">
        <f>PROPER(CONCATENATE(Datos_paciente!C195," ",Datos_paciente!A195," ",Datos_paciente!B195,""))</f>
        <v>Juan  Alzate Quintero</v>
      </c>
      <c r="C195" s="5" t="s">
        <v>25</v>
      </c>
      <c r="D195" s="8" t="s">
        <v>398</v>
      </c>
      <c r="E195" s="8">
        <f t="shared" ca="1" si="13"/>
        <v>15</v>
      </c>
      <c r="F195" s="5" t="s">
        <v>3</v>
      </c>
      <c r="G195" s="5" t="s">
        <v>35</v>
      </c>
      <c r="H195" s="10" t="s">
        <v>36</v>
      </c>
      <c r="I195" s="26">
        <v>48602</v>
      </c>
      <c r="J195" s="27">
        <f t="shared" ca="1" si="14"/>
        <v>48602</v>
      </c>
      <c r="K195" s="72">
        <f t="shared" ref="K195:K258" si="15">MONTH(A195)</f>
        <v>12</v>
      </c>
      <c r="L195" s="10">
        <f t="shared" ref="L195:L258" ca="1" si="16">IF(F195="F",IF(E195&gt;AVERAGEIF(F195:F461,"F",E195:E461),I195*0.3,I195),AVERAGEIF(F195:F461,"M",E195:E461))</f>
        <v>13.871794871794872</v>
      </c>
    </row>
    <row r="196" spans="1:12" x14ac:dyDescent="0.25">
      <c r="A196" s="7">
        <v>37975</v>
      </c>
      <c r="B196" s="7" t="str">
        <f>PROPER(CONCATENATE(Datos_paciente!C196," ",Datos_paciente!A196," ",Datos_paciente!B196,""))</f>
        <v>Susana  Gil Yarce</v>
      </c>
      <c r="C196" s="5" t="s">
        <v>25</v>
      </c>
      <c r="D196" s="8" t="s">
        <v>399</v>
      </c>
      <c r="E196" s="8">
        <f t="shared" ca="1" si="13"/>
        <v>17</v>
      </c>
      <c r="F196" s="5" t="s">
        <v>1</v>
      </c>
      <c r="G196" s="5" t="s">
        <v>29</v>
      </c>
      <c r="H196" s="10" t="s">
        <v>50</v>
      </c>
      <c r="I196" s="26">
        <v>37376</v>
      </c>
      <c r="J196" s="27">
        <f t="shared" ca="1" si="14"/>
        <v>35507.199999999997</v>
      </c>
      <c r="K196" s="72">
        <f t="shared" si="15"/>
        <v>12</v>
      </c>
      <c r="L196" s="10">
        <f t="shared" ca="1" si="16"/>
        <v>11212.8</v>
      </c>
    </row>
    <row r="197" spans="1:12" x14ac:dyDescent="0.25">
      <c r="A197" s="7">
        <v>38152</v>
      </c>
      <c r="B197" s="7" t="str">
        <f>PROPER(CONCATENATE(Datos_paciente!C197," ",Datos_paciente!A197," ",Datos_paciente!B197,""))</f>
        <v>Sebastian  Casta?O Ramirez</v>
      </c>
      <c r="C197" s="5" t="s">
        <v>25</v>
      </c>
      <c r="D197" s="8" t="s">
        <v>400</v>
      </c>
      <c r="E197" s="8">
        <f t="shared" ca="1" si="13"/>
        <v>16</v>
      </c>
      <c r="F197" s="5" t="s">
        <v>3</v>
      </c>
      <c r="G197" s="5" t="s">
        <v>45</v>
      </c>
      <c r="H197" s="10" t="s">
        <v>50</v>
      </c>
      <c r="I197" s="26">
        <v>47139</v>
      </c>
      <c r="J197" s="27">
        <f t="shared" ca="1" si="14"/>
        <v>47139</v>
      </c>
      <c r="K197" s="72">
        <f t="shared" si="15"/>
        <v>6</v>
      </c>
      <c r="L197" s="10">
        <f t="shared" ca="1" si="16"/>
        <v>13.842105263157896</v>
      </c>
    </row>
    <row r="198" spans="1:12" x14ac:dyDescent="0.25">
      <c r="A198" s="7">
        <v>38177</v>
      </c>
      <c r="B198" s="7" t="str">
        <f>PROPER(CONCATENATE(Datos_paciente!C198," ",Datos_paciente!A198," ",Datos_paciente!B198,""))</f>
        <v>Carol Valeria Estrada Alvarez</v>
      </c>
      <c r="C198" s="5" t="s">
        <v>25</v>
      </c>
      <c r="D198" s="8" t="s">
        <v>401</v>
      </c>
      <c r="E198" s="8">
        <f t="shared" ca="1" si="13"/>
        <v>16</v>
      </c>
      <c r="F198" s="5" t="s">
        <v>1</v>
      </c>
      <c r="G198" s="5" t="s">
        <v>35</v>
      </c>
      <c r="H198" s="10" t="s">
        <v>36</v>
      </c>
      <c r="I198" s="26">
        <v>17716</v>
      </c>
      <c r="J198" s="27">
        <f t="shared" ca="1" si="14"/>
        <v>16830.2</v>
      </c>
      <c r="K198" s="72">
        <f t="shared" si="15"/>
        <v>7</v>
      </c>
      <c r="L198" s="10">
        <f t="shared" ca="1" si="16"/>
        <v>5314.8</v>
      </c>
    </row>
    <row r="199" spans="1:12" x14ac:dyDescent="0.25">
      <c r="A199" s="7">
        <v>39075</v>
      </c>
      <c r="B199" s="7" t="str">
        <f>PROPER(CONCATENATE(Datos_paciente!C199," ",Datos_paciente!A199," ",Datos_paciente!B199,""))</f>
        <v>Emmanuel  Mu?Oz Escobar</v>
      </c>
      <c r="C199" s="5" t="s">
        <v>25</v>
      </c>
      <c r="D199" s="8" t="s">
        <v>403</v>
      </c>
      <c r="E199" s="8">
        <f t="shared" ca="1" si="13"/>
        <v>14</v>
      </c>
      <c r="F199" s="5" t="s">
        <v>3</v>
      </c>
      <c r="G199" s="5" t="s">
        <v>35</v>
      </c>
      <c r="H199" s="10" t="s">
        <v>27</v>
      </c>
      <c r="I199" s="26">
        <v>45527</v>
      </c>
      <c r="J199" s="27">
        <f t="shared" ca="1" si="14"/>
        <v>45527</v>
      </c>
      <c r="K199" s="72">
        <f t="shared" si="15"/>
        <v>12</v>
      </c>
      <c r="L199" s="10">
        <f t="shared" ca="1" si="16"/>
        <v>13.783783783783784</v>
      </c>
    </row>
    <row r="200" spans="1:12" x14ac:dyDescent="0.25">
      <c r="A200" s="7">
        <v>38383</v>
      </c>
      <c r="B200" s="7" t="str">
        <f>PROPER(CONCATENATE(Datos_paciente!C200," ",Datos_paciente!A200," ",Datos_paciente!B200,""))</f>
        <v>Alejandro  David Gutierrez</v>
      </c>
      <c r="C200" s="5" t="s">
        <v>25</v>
      </c>
      <c r="D200" s="8" t="s">
        <v>405</v>
      </c>
      <c r="E200" s="8">
        <f t="shared" ca="1" si="13"/>
        <v>16</v>
      </c>
      <c r="F200" s="5" t="s">
        <v>3</v>
      </c>
      <c r="G200" s="5" t="s">
        <v>35</v>
      </c>
      <c r="H200" s="10" t="s">
        <v>36</v>
      </c>
      <c r="I200" s="26">
        <v>44392</v>
      </c>
      <c r="J200" s="27">
        <f t="shared" ca="1" si="14"/>
        <v>44392</v>
      </c>
      <c r="K200" s="72">
        <f t="shared" si="15"/>
        <v>1</v>
      </c>
      <c r="L200" s="10">
        <f t="shared" ca="1" si="16"/>
        <v>13.777777777777779</v>
      </c>
    </row>
    <row r="201" spans="1:12" x14ac:dyDescent="0.25">
      <c r="A201" s="7">
        <v>38986</v>
      </c>
      <c r="B201" s="7" t="str">
        <f>PROPER(CONCATENATE(Datos_paciente!C201," ",Datos_paciente!A201," ",Datos_paciente!B201,""))</f>
        <v>Deiby  Atehortua Meneses</v>
      </c>
      <c r="C201" s="5" t="s">
        <v>25</v>
      </c>
      <c r="D201" s="8" t="s">
        <v>406</v>
      </c>
      <c r="E201" s="8">
        <f t="shared" ca="1" si="13"/>
        <v>14</v>
      </c>
      <c r="F201" s="5" t="s">
        <v>3</v>
      </c>
      <c r="G201" s="5" t="s">
        <v>35</v>
      </c>
      <c r="H201" s="10" t="s">
        <v>36</v>
      </c>
      <c r="I201" s="26">
        <v>32511</v>
      </c>
      <c r="J201" s="27">
        <f t="shared" ca="1" si="14"/>
        <v>32511</v>
      </c>
      <c r="K201" s="72">
        <f t="shared" si="15"/>
        <v>9</v>
      </c>
      <c r="L201" s="10">
        <f t="shared" ca="1" si="16"/>
        <v>13.714285714285714</v>
      </c>
    </row>
    <row r="202" spans="1:12" x14ac:dyDescent="0.25">
      <c r="A202" s="7">
        <v>39311</v>
      </c>
      <c r="B202" s="7" t="str">
        <f>PROPER(CONCATENATE(Datos_paciente!C202," ",Datos_paciente!A202," ",Datos_paciente!B202,""))</f>
        <v>Andres  Villa Loaiza</v>
      </c>
      <c r="C202" s="5" t="s">
        <v>25</v>
      </c>
      <c r="D202" s="8" t="s">
        <v>407</v>
      </c>
      <c r="E202" s="8">
        <f t="shared" ca="1" si="13"/>
        <v>13</v>
      </c>
      <c r="F202" s="5" t="s">
        <v>3</v>
      </c>
      <c r="G202" s="5" t="s">
        <v>45</v>
      </c>
      <c r="H202" s="10" t="s">
        <v>61</v>
      </c>
      <c r="I202" s="26">
        <v>61807</v>
      </c>
      <c r="J202" s="27">
        <f t="shared" ca="1" si="14"/>
        <v>61807</v>
      </c>
      <c r="K202" s="72">
        <f t="shared" si="15"/>
        <v>8</v>
      </c>
      <c r="L202" s="10">
        <f t="shared" ca="1" si="16"/>
        <v>13.705882352941176</v>
      </c>
    </row>
    <row r="203" spans="1:12" x14ac:dyDescent="0.25">
      <c r="A203" s="7">
        <v>38288</v>
      </c>
      <c r="B203" s="7" t="str">
        <f>PROPER(CONCATENATE(Datos_paciente!C203," ",Datos_paciente!A203," ",Datos_paciente!B203,""))</f>
        <v>Blanca Ximena Metaute Restrepo</v>
      </c>
      <c r="C203" s="5" t="s">
        <v>0</v>
      </c>
      <c r="D203" s="8" t="s">
        <v>408</v>
      </c>
      <c r="E203" s="8">
        <f t="shared" ca="1" si="13"/>
        <v>16</v>
      </c>
      <c r="F203" s="5" t="s">
        <v>1</v>
      </c>
      <c r="G203" s="5" t="s">
        <v>45</v>
      </c>
      <c r="H203" s="10" t="s">
        <v>46</v>
      </c>
      <c r="I203" s="26">
        <v>39092</v>
      </c>
      <c r="J203" s="27">
        <f t="shared" ca="1" si="14"/>
        <v>37137.4</v>
      </c>
      <c r="K203" s="72">
        <f t="shared" si="15"/>
        <v>10</v>
      </c>
      <c r="L203" s="10">
        <f t="shared" ca="1" si="16"/>
        <v>11727.6</v>
      </c>
    </row>
    <row r="204" spans="1:12" x14ac:dyDescent="0.25">
      <c r="A204" s="7">
        <v>39626</v>
      </c>
      <c r="B204" s="7" t="str">
        <f>PROPER(CONCATENATE(Datos_paciente!C204," ",Datos_paciente!A204," ",Datos_paciente!B204,""))</f>
        <v>Hija De Ronny Yadira Renteria Sanabria</v>
      </c>
      <c r="C204" s="5" t="s">
        <v>81</v>
      </c>
      <c r="D204" s="8" t="s">
        <v>411</v>
      </c>
      <c r="E204" s="8">
        <f t="shared" ca="1" si="13"/>
        <v>12</v>
      </c>
      <c r="F204" s="5" t="s">
        <v>1</v>
      </c>
      <c r="G204" s="5" t="s">
        <v>26</v>
      </c>
      <c r="H204" s="10" t="s">
        <v>32</v>
      </c>
      <c r="I204" s="26">
        <v>71707</v>
      </c>
      <c r="J204" s="27">
        <f t="shared" ca="1" si="14"/>
        <v>68121.649999999994</v>
      </c>
      <c r="K204" s="72">
        <f t="shared" si="15"/>
        <v>6</v>
      </c>
      <c r="L204" s="10">
        <f t="shared" ca="1" si="16"/>
        <v>71707</v>
      </c>
    </row>
    <row r="205" spans="1:12" x14ac:dyDescent="0.25">
      <c r="A205" s="7">
        <v>39812</v>
      </c>
      <c r="B205" s="7" t="str">
        <f>PROPER(CONCATENATE(Datos_paciente!C205," ",Datos_paciente!A205," ",Datos_paciente!B205,""))</f>
        <v>Alicia  Zuluaga De Marin</v>
      </c>
      <c r="C205" s="5" t="s">
        <v>0</v>
      </c>
      <c r="D205" s="8" t="s">
        <v>414</v>
      </c>
      <c r="E205" s="8">
        <f t="shared" ca="1" si="13"/>
        <v>12</v>
      </c>
      <c r="F205" s="5" t="s">
        <v>1</v>
      </c>
      <c r="G205" s="5" t="s">
        <v>35</v>
      </c>
      <c r="H205" s="10" t="s">
        <v>27</v>
      </c>
      <c r="I205" s="26">
        <v>60223</v>
      </c>
      <c r="J205" s="27">
        <f t="shared" ca="1" si="14"/>
        <v>57211.85</v>
      </c>
      <c r="K205" s="72">
        <f t="shared" si="15"/>
        <v>12</v>
      </c>
      <c r="L205" s="10">
        <f t="shared" ca="1" si="16"/>
        <v>60223</v>
      </c>
    </row>
    <row r="206" spans="1:12" x14ac:dyDescent="0.25">
      <c r="A206" s="7">
        <v>39569</v>
      </c>
      <c r="B206" s="7" t="str">
        <f>PROPER(CONCATENATE(Datos_paciente!C206," ",Datos_paciente!A206," ",Datos_paciente!B206,""))</f>
        <v>Ismael  Loaiza Marin</v>
      </c>
      <c r="C206" s="5" t="s">
        <v>25</v>
      </c>
      <c r="D206" s="8" t="s">
        <v>415</v>
      </c>
      <c r="E206" s="8">
        <f t="shared" ca="1" si="13"/>
        <v>12</v>
      </c>
      <c r="F206" s="5" t="s">
        <v>3</v>
      </c>
      <c r="G206" s="5" t="s">
        <v>45</v>
      </c>
      <c r="H206" s="10" t="s">
        <v>142</v>
      </c>
      <c r="I206" s="26">
        <v>80419</v>
      </c>
      <c r="J206" s="27">
        <f t="shared" ca="1" si="14"/>
        <v>80419</v>
      </c>
      <c r="K206" s="72">
        <f t="shared" si="15"/>
        <v>5</v>
      </c>
      <c r="L206" s="10">
        <f t="shared" ca="1" si="16"/>
        <v>13.727272727272727</v>
      </c>
    </row>
    <row r="207" spans="1:12" x14ac:dyDescent="0.25">
      <c r="A207" s="7">
        <v>39470</v>
      </c>
      <c r="B207" s="7" t="str">
        <f>PROPER(CONCATENATE(Datos_paciente!C207," ",Datos_paciente!A207," ",Datos_paciente!B207,""))</f>
        <v>Isabela  Cardona Gil</v>
      </c>
      <c r="C207" s="5" t="s">
        <v>25</v>
      </c>
      <c r="D207" s="8" t="s">
        <v>416</v>
      </c>
      <c r="E207" s="8">
        <f t="shared" ca="1" si="13"/>
        <v>13</v>
      </c>
      <c r="F207" s="5" t="s">
        <v>1</v>
      </c>
      <c r="G207" s="5" t="s">
        <v>35</v>
      </c>
      <c r="H207" s="10" t="s">
        <v>36</v>
      </c>
      <c r="I207" s="26">
        <v>94279</v>
      </c>
      <c r="J207" s="27">
        <f t="shared" ca="1" si="14"/>
        <v>89565.05</v>
      </c>
      <c r="K207" s="72">
        <f t="shared" si="15"/>
        <v>1</v>
      </c>
      <c r="L207" s="10">
        <f t="shared" ca="1" si="16"/>
        <v>94279</v>
      </c>
    </row>
    <row r="208" spans="1:12" x14ac:dyDescent="0.25">
      <c r="A208" s="7">
        <v>38152</v>
      </c>
      <c r="B208" s="7" t="str">
        <f>PROPER(CONCATENATE(Datos_paciente!C208," ",Datos_paciente!A208," ",Datos_paciente!B208,""))</f>
        <v>Sebastian  Casta?O Ramirez</v>
      </c>
      <c r="C208" s="5" t="s">
        <v>25</v>
      </c>
      <c r="D208" s="8" t="s">
        <v>417</v>
      </c>
      <c r="E208" s="8">
        <f t="shared" ca="1" si="13"/>
        <v>16</v>
      </c>
      <c r="F208" s="5" t="s">
        <v>3</v>
      </c>
      <c r="G208" s="5" t="s">
        <v>45</v>
      </c>
      <c r="H208" s="10" t="s">
        <v>274</v>
      </c>
      <c r="I208" s="26">
        <v>20509</v>
      </c>
      <c r="J208" s="27">
        <f t="shared" ca="1" si="14"/>
        <v>20509</v>
      </c>
      <c r="K208" s="72">
        <f t="shared" si="15"/>
        <v>6</v>
      </c>
      <c r="L208" s="10">
        <f t="shared" ca="1" si="16"/>
        <v>13.78125</v>
      </c>
    </row>
    <row r="209" spans="1:12" x14ac:dyDescent="0.25">
      <c r="A209" s="7">
        <v>39206</v>
      </c>
      <c r="B209" s="7" t="str">
        <f>PROPER(CONCATENATE(Datos_paciente!C209," ",Datos_paciente!A209," ",Datos_paciente!B209,""))</f>
        <v>Humberto  Morales Jaramillo</v>
      </c>
      <c r="C209" s="5" t="s">
        <v>25</v>
      </c>
      <c r="D209" s="8" t="s">
        <v>418</v>
      </c>
      <c r="E209" s="8">
        <f t="shared" ca="1" si="13"/>
        <v>13</v>
      </c>
      <c r="F209" s="5" t="s">
        <v>3</v>
      </c>
      <c r="G209" s="5" t="s">
        <v>29</v>
      </c>
      <c r="H209" s="10" t="s">
        <v>61</v>
      </c>
      <c r="I209" s="26">
        <v>78043</v>
      </c>
      <c r="J209" s="27">
        <f t="shared" ca="1" si="14"/>
        <v>78043</v>
      </c>
      <c r="K209" s="72">
        <f t="shared" si="15"/>
        <v>5</v>
      </c>
      <c r="L209" s="10">
        <f t="shared" ca="1" si="16"/>
        <v>13.709677419354838</v>
      </c>
    </row>
    <row r="210" spans="1:12" x14ac:dyDescent="0.25">
      <c r="A210" s="7">
        <v>39377</v>
      </c>
      <c r="B210" s="7" t="str">
        <f>PROPER(CONCATENATE(Datos_paciente!C210," ",Datos_paciente!A210," ",Datos_paciente!B210,""))</f>
        <v>Sara  Gomez Cadavid</v>
      </c>
      <c r="C210" s="5" t="s">
        <v>25</v>
      </c>
      <c r="D210" s="8" t="s">
        <v>420</v>
      </c>
      <c r="E210" s="8">
        <f t="shared" ca="1" si="13"/>
        <v>13</v>
      </c>
      <c r="F210" s="5" t="s">
        <v>1</v>
      </c>
      <c r="G210" s="5" t="s">
        <v>35</v>
      </c>
      <c r="H210" s="10" t="s">
        <v>36</v>
      </c>
      <c r="I210" s="26">
        <v>84379</v>
      </c>
      <c r="J210" s="27">
        <f t="shared" ca="1" si="14"/>
        <v>80160.05</v>
      </c>
      <c r="K210" s="72">
        <f t="shared" si="15"/>
        <v>10</v>
      </c>
      <c r="L210" s="10">
        <f t="shared" ca="1" si="16"/>
        <v>84379</v>
      </c>
    </row>
    <row r="211" spans="1:12" x14ac:dyDescent="0.25">
      <c r="A211" s="7">
        <v>39043</v>
      </c>
      <c r="B211" s="7" t="str">
        <f>PROPER(CONCATENATE(Datos_paciente!C211," ",Datos_paciente!A211," ",Datos_paciente!B211,""))</f>
        <v>Miguel Angel Orrego Benitez</v>
      </c>
      <c r="C211" s="5" t="s">
        <v>25</v>
      </c>
      <c r="D211" s="8" t="s">
        <v>423</v>
      </c>
      <c r="E211" s="8">
        <f t="shared" ca="1" si="13"/>
        <v>14</v>
      </c>
      <c r="F211" s="5" t="s">
        <v>3</v>
      </c>
      <c r="G211" s="5" t="s">
        <v>29</v>
      </c>
      <c r="H211" s="10" t="s">
        <v>36</v>
      </c>
      <c r="I211" s="26">
        <v>27944</v>
      </c>
      <c r="J211" s="27">
        <f t="shared" ca="1" si="14"/>
        <v>27944</v>
      </c>
      <c r="K211" s="72">
        <f t="shared" si="15"/>
        <v>11</v>
      </c>
      <c r="L211" s="10">
        <f t="shared" ca="1" si="16"/>
        <v>13.733333333333333</v>
      </c>
    </row>
    <row r="212" spans="1:12" x14ac:dyDescent="0.25">
      <c r="A212" s="7">
        <v>39956</v>
      </c>
      <c r="B212" s="7" t="str">
        <f>PROPER(CONCATENATE(Datos_paciente!C212," ",Datos_paciente!A212," ",Datos_paciente!B212,""))</f>
        <v>Carlos Enrique Marin Mesa</v>
      </c>
      <c r="C212" s="5" t="s">
        <v>0</v>
      </c>
      <c r="D212" s="8" t="s">
        <v>424</v>
      </c>
      <c r="E212" s="8">
        <f t="shared" ca="1" si="13"/>
        <v>11</v>
      </c>
      <c r="F212" s="5" t="s">
        <v>3</v>
      </c>
      <c r="G212" s="5" t="s">
        <v>35</v>
      </c>
      <c r="H212" s="10" t="s">
        <v>36</v>
      </c>
      <c r="I212" s="26">
        <v>80023</v>
      </c>
      <c r="J212" s="27">
        <f t="shared" ca="1" si="14"/>
        <v>80023</v>
      </c>
      <c r="K212" s="72">
        <f t="shared" si="15"/>
        <v>5</v>
      </c>
      <c r="L212" s="10">
        <f t="shared" ca="1" si="16"/>
        <v>13.724137931034482</v>
      </c>
    </row>
    <row r="213" spans="1:12" x14ac:dyDescent="0.25">
      <c r="A213" s="7">
        <v>39141</v>
      </c>
      <c r="B213" s="7" t="str">
        <f>PROPER(CONCATENATE(Datos_paciente!C213," ",Datos_paciente!A213," ",Datos_paciente!B213,""))</f>
        <v>Elizabeth  Zapata Sierra</v>
      </c>
      <c r="C213" s="5" t="s">
        <v>25</v>
      </c>
      <c r="D213" s="8" t="s">
        <v>425</v>
      </c>
      <c r="E213" s="8">
        <f t="shared" ca="1" si="13"/>
        <v>13</v>
      </c>
      <c r="F213" s="5" t="s">
        <v>1</v>
      </c>
      <c r="G213" s="5" t="s">
        <v>29</v>
      </c>
      <c r="H213" s="10" t="s">
        <v>61</v>
      </c>
      <c r="I213" s="26">
        <v>61015</v>
      </c>
      <c r="J213" s="27">
        <f t="shared" ca="1" si="14"/>
        <v>57964.25</v>
      </c>
      <c r="K213" s="72">
        <f t="shared" si="15"/>
        <v>2</v>
      </c>
      <c r="L213" s="10">
        <f t="shared" ca="1" si="16"/>
        <v>61015</v>
      </c>
    </row>
    <row r="214" spans="1:12" x14ac:dyDescent="0.25">
      <c r="A214" s="7">
        <v>39577</v>
      </c>
      <c r="B214" s="7" t="str">
        <f>PROPER(CONCATENATE(Datos_paciente!C214," ",Datos_paciente!A214," ",Datos_paciente!B214,""))</f>
        <v>Sofia  Giraldo Duque</v>
      </c>
      <c r="C214" s="5" t="s">
        <v>25</v>
      </c>
      <c r="D214" s="8" t="s">
        <v>426</v>
      </c>
      <c r="E214" s="8">
        <f t="shared" ca="1" si="13"/>
        <v>12</v>
      </c>
      <c r="F214" s="5" t="s">
        <v>1</v>
      </c>
      <c r="G214" s="5" t="s">
        <v>35</v>
      </c>
      <c r="H214" s="10" t="s">
        <v>36</v>
      </c>
      <c r="I214" s="26">
        <v>85171</v>
      </c>
      <c r="J214" s="27">
        <f t="shared" ca="1" si="14"/>
        <v>80912.45</v>
      </c>
      <c r="K214" s="72">
        <f t="shared" si="15"/>
        <v>5</v>
      </c>
      <c r="L214" s="10">
        <f t="shared" ca="1" si="16"/>
        <v>85171</v>
      </c>
    </row>
    <row r="215" spans="1:12" x14ac:dyDescent="0.25">
      <c r="A215" s="7">
        <v>39427</v>
      </c>
      <c r="B215" s="7" t="str">
        <f>PROPER(CONCATENATE(Datos_paciente!C215," ",Datos_paciente!A215," ",Datos_paciente!B215,""))</f>
        <v>Samuel  Baena Velez</v>
      </c>
      <c r="C215" s="5" t="s">
        <v>25</v>
      </c>
      <c r="D215" s="8" t="s">
        <v>427</v>
      </c>
      <c r="E215" s="8">
        <f t="shared" ca="1" si="13"/>
        <v>13</v>
      </c>
      <c r="F215" s="5" t="s">
        <v>3</v>
      </c>
      <c r="G215" s="5" t="s">
        <v>35</v>
      </c>
      <c r="H215" s="10" t="s">
        <v>36</v>
      </c>
      <c r="I215" s="26">
        <v>98239</v>
      </c>
      <c r="J215" s="27">
        <f t="shared" ca="1" si="14"/>
        <v>98239</v>
      </c>
      <c r="K215" s="72">
        <f t="shared" si="15"/>
        <v>12</v>
      </c>
      <c r="L215" s="10">
        <f t="shared" ca="1" si="16"/>
        <v>13.821428571428571</v>
      </c>
    </row>
    <row r="216" spans="1:12" x14ac:dyDescent="0.25">
      <c r="A216" s="7">
        <v>39448</v>
      </c>
      <c r="B216" s="7" t="str">
        <f>PROPER(CONCATENATE(Datos_paciente!C216," ",Datos_paciente!A216," ",Datos_paciente!B216,""))</f>
        <v>Jhoan  Ortiz Tobon</v>
      </c>
      <c r="C216" s="5" t="s">
        <v>25</v>
      </c>
      <c r="D216" s="8" t="s">
        <v>428</v>
      </c>
      <c r="E216" s="8">
        <f t="shared" ca="1" si="13"/>
        <v>13</v>
      </c>
      <c r="F216" s="5" t="s">
        <v>3</v>
      </c>
      <c r="G216" s="5" t="s">
        <v>45</v>
      </c>
      <c r="H216" s="10" t="s">
        <v>50</v>
      </c>
      <c r="I216" s="26">
        <v>76063</v>
      </c>
      <c r="J216" s="27">
        <f t="shared" ca="1" si="14"/>
        <v>76063</v>
      </c>
      <c r="K216" s="72">
        <f t="shared" si="15"/>
        <v>1</v>
      </c>
      <c r="L216" s="10">
        <f t="shared" ca="1" si="16"/>
        <v>13.851851851851851</v>
      </c>
    </row>
    <row r="217" spans="1:12" x14ac:dyDescent="0.25">
      <c r="A217" s="7">
        <v>39562</v>
      </c>
      <c r="B217" s="7" t="str">
        <f>PROPER(CONCATENATE(Datos_paciente!C217," ",Datos_paciente!A217," ",Datos_paciente!B217,""))</f>
        <v>Andres  Lopez Diaz</v>
      </c>
      <c r="C217" s="5" t="s">
        <v>25</v>
      </c>
      <c r="D217" s="8" t="s">
        <v>429</v>
      </c>
      <c r="E217" s="8">
        <f t="shared" ca="1" si="13"/>
        <v>12</v>
      </c>
      <c r="F217" s="5" t="s">
        <v>3</v>
      </c>
      <c r="G217" s="5" t="s">
        <v>29</v>
      </c>
      <c r="H217" s="10" t="s">
        <v>32</v>
      </c>
      <c r="I217" s="26">
        <v>82795</v>
      </c>
      <c r="J217" s="27">
        <f t="shared" ca="1" si="14"/>
        <v>82795</v>
      </c>
      <c r="K217" s="72">
        <f t="shared" si="15"/>
        <v>4</v>
      </c>
      <c r="L217" s="10">
        <f t="shared" ca="1" si="16"/>
        <v>13.884615384615385</v>
      </c>
    </row>
    <row r="218" spans="1:12" x14ac:dyDescent="0.25">
      <c r="A218" s="7">
        <v>39502</v>
      </c>
      <c r="B218" s="7" t="str">
        <f>PROPER(CONCATENATE(Datos_paciente!C218," ",Datos_paciente!A218," ",Datos_paciente!B218,""))</f>
        <v>Juan Angel Charris Suarez</v>
      </c>
      <c r="C218" s="5" t="s">
        <v>25</v>
      </c>
      <c r="D218" s="8" t="s">
        <v>430</v>
      </c>
      <c r="E218" s="8">
        <f t="shared" ca="1" si="13"/>
        <v>12</v>
      </c>
      <c r="F218" s="5" t="s">
        <v>3</v>
      </c>
      <c r="G218" s="5" t="s">
        <v>35</v>
      </c>
      <c r="H218" s="10" t="s">
        <v>36</v>
      </c>
      <c r="I218" s="26">
        <v>91903</v>
      </c>
      <c r="J218" s="27">
        <f t="shared" ca="1" si="14"/>
        <v>91903</v>
      </c>
      <c r="K218" s="72">
        <f t="shared" si="15"/>
        <v>2</v>
      </c>
      <c r="L218" s="10">
        <f t="shared" ca="1" si="16"/>
        <v>13.96</v>
      </c>
    </row>
    <row r="219" spans="1:12" x14ac:dyDescent="0.25">
      <c r="A219" s="7">
        <v>38175</v>
      </c>
      <c r="B219" s="7" t="str">
        <f>PROPER(CONCATENATE(Datos_paciente!C219," ",Datos_paciente!A219," ",Datos_paciente!B219,""))</f>
        <v>Maria Camila Gil Lopez</v>
      </c>
      <c r="C219" s="5" t="s">
        <v>25</v>
      </c>
      <c r="D219" s="8" t="s">
        <v>431</v>
      </c>
      <c r="E219" s="8">
        <f t="shared" ca="1" si="13"/>
        <v>16</v>
      </c>
      <c r="F219" s="5" t="s">
        <v>1</v>
      </c>
      <c r="G219" s="5" t="s">
        <v>26</v>
      </c>
      <c r="H219" s="10" t="s">
        <v>32</v>
      </c>
      <c r="I219" s="26">
        <v>33802</v>
      </c>
      <c r="J219" s="27">
        <f t="shared" ca="1" si="14"/>
        <v>32111.9</v>
      </c>
      <c r="K219" s="72">
        <f t="shared" si="15"/>
        <v>7</v>
      </c>
      <c r="L219" s="10">
        <f t="shared" ca="1" si="16"/>
        <v>10140.6</v>
      </c>
    </row>
    <row r="220" spans="1:12" x14ac:dyDescent="0.25">
      <c r="A220" s="7">
        <v>39291</v>
      </c>
      <c r="B220" s="7" t="str">
        <f>PROPER(CONCATENATE(Datos_paciente!C220," ",Datos_paciente!A220," ",Datos_paciente!B220,""))</f>
        <v>Edelmira  Loaiza Julio</v>
      </c>
      <c r="C220" s="5" t="s">
        <v>0</v>
      </c>
      <c r="D220" s="8" t="s">
        <v>433</v>
      </c>
      <c r="E220" s="8">
        <f t="shared" ca="1" si="13"/>
        <v>13</v>
      </c>
      <c r="F220" s="5" t="s">
        <v>1</v>
      </c>
      <c r="G220" s="5" t="s">
        <v>35</v>
      </c>
      <c r="H220" s="10" t="s">
        <v>36</v>
      </c>
      <c r="I220" s="26">
        <v>81607</v>
      </c>
      <c r="J220" s="27">
        <f t="shared" ca="1" si="14"/>
        <v>77526.649999999994</v>
      </c>
      <c r="K220" s="72">
        <f t="shared" si="15"/>
        <v>7</v>
      </c>
      <c r="L220" s="10">
        <f t="shared" ca="1" si="16"/>
        <v>81607</v>
      </c>
    </row>
    <row r="221" spans="1:12" x14ac:dyDescent="0.25">
      <c r="A221" s="7">
        <v>39102</v>
      </c>
      <c r="B221" s="7" t="str">
        <f>PROPER(CONCATENATE(Datos_paciente!C221," ",Datos_paciente!A221," ",Datos_paciente!B221,""))</f>
        <v>Deiny Manuela Franco Durango</v>
      </c>
      <c r="C221" s="5" t="s">
        <v>25</v>
      </c>
      <c r="D221" s="8" t="s">
        <v>434</v>
      </c>
      <c r="E221" s="8">
        <f t="shared" ca="1" si="13"/>
        <v>14</v>
      </c>
      <c r="F221" s="5" t="s">
        <v>1</v>
      </c>
      <c r="G221" s="5" t="s">
        <v>26</v>
      </c>
      <c r="H221" s="10" t="s">
        <v>32</v>
      </c>
      <c r="I221" s="26">
        <v>19795</v>
      </c>
      <c r="J221" s="27">
        <f t="shared" ca="1" si="14"/>
        <v>18805.25</v>
      </c>
      <c r="K221" s="72">
        <f t="shared" si="15"/>
        <v>1</v>
      </c>
      <c r="L221" s="10">
        <f t="shared" ca="1" si="16"/>
        <v>19795</v>
      </c>
    </row>
    <row r="222" spans="1:12" x14ac:dyDescent="0.25">
      <c r="A222" s="7">
        <v>39956</v>
      </c>
      <c r="B222" s="7" t="str">
        <f>PROPER(CONCATENATE(Datos_paciente!C222," ",Datos_paciente!A222," ",Datos_paciente!B222,""))</f>
        <v>Carlos Enrique Loaiza Mesa</v>
      </c>
      <c r="C222" s="5" t="s">
        <v>0</v>
      </c>
      <c r="D222" s="8" t="s">
        <v>435</v>
      </c>
      <c r="E222" s="8">
        <f t="shared" ca="1" si="13"/>
        <v>11</v>
      </c>
      <c r="F222" s="5" t="s">
        <v>3</v>
      </c>
      <c r="G222" s="5" t="s">
        <v>45</v>
      </c>
      <c r="H222" s="10" t="s">
        <v>436</v>
      </c>
      <c r="I222" s="26">
        <v>79627</v>
      </c>
      <c r="J222" s="27">
        <f t="shared" ca="1" si="14"/>
        <v>79627</v>
      </c>
      <c r="K222" s="72">
        <f t="shared" si="15"/>
        <v>5</v>
      </c>
      <c r="L222" s="10">
        <f t="shared" ca="1" si="16"/>
        <v>14.041666666666666</v>
      </c>
    </row>
    <row r="223" spans="1:12" x14ac:dyDescent="0.25">
      <c r="A223" s="7">
        <v>38833</v>
      </c>
      <c r="B223" s="7" t="str">
        <f>PROPER(CONCATENATE(Datos_paciente!C223," ",Datos_paciente!A223," ",Datos_paciente!B223,""))</f>
        <v>Johan Alexis Vasquez Alzate</v>
      </c>
      <c r="C223" s="5" t="s">
        <v>25</v>
      </c>
      <c r="D223" s="8" t="s">
        <v>437</v>
      </c>
      <c r="E223" s="8">
        <f t="shared" ca="1" si="13"/>
        <v>14</v>
      </c>
      <c r="F223" s="5" t="s">
        <v>3</v>
      </c>
      <c r="G223" s="5" t="s">
        <v>35</v>
      </c>
      <c r="H223" s="10" t="s">
        <v>36</v>
      </c>
      <c r="I223" s="26">
        <v>45066</v>
      </c>
      <c r="J223" s="27">
        <f t="shared" ca="1" si="14"/>
        <v>45066</v>
      </c>
      <c r="K223" s="72">
        <f t="shared" si="15"/>
        <v>4</v>
      </c>
      <c r="L223" s="10">
        <f t="shared" ca="1" si="16"/>
        <v>14.173913043478262</v>
      </c>
    </row>
    <row r="224" spans="1:12" x14ac:dyDescent="0.25">
      <c r="A224" s="7">
        <v>37975</v>
      </c>
      <c r="B224" s="7" t="str">
        <f>PROPER(CONCATENATE(Datos_paciente!C224," ",Datos_paciente!A224," ",Datos_paciente!B224,""))</f>
        <v>Susana  Gil Yarce</v>
      </c>
      <c r="C224" s="5" t="s">
        <v>25</v>
      </c>
      <c r="D224" s="8" t="s">
        <v>438</v>
      </c>
      <c r="E224" s="8">
        <f t="shared" ca="1" si="13"/>
        <v>17</v>
      </c>
      <c r="F224" s="5" t="s">
        <v>1</v>
      </c>
      <c r="G224" s="5" t="s">
        <v>26</v>
      </c>
      <c r="H224" s="10" t="s">
        <v>32</v>
      </c>
      <c r="I224" s="26">
        <v>43347</v>
      </c>
      <c r="J224" s="27">
        <f t="shared" ca="1" si="14"/>
        <v>41179.65</v>
      </c>
      <c r="K224" s="72">
        <f t="shared" si="15"/>
        <v>12</v>
      </c>
      <c r="L224" s="10">
        <f t="shared" ca="1" si="16"/>
        <v>13004.1</v>
      </c>
    </row>
    <row r="225" spans="1:12" x14ac:dyDescent="0.25">
      <c r="A225" s="7">
        <v>39598</v>
      </c>
      <c r="B225" s="7" t="str">
        <f>PROPER(CONCATENATE(Datos_paciente!C225," ",Datos_paciente!A225," ",Datos_paciente!B225,""))</f>
        <v>Manuela  Aricapa Sepulveda</v>
      </c>
      <c r="C225" s="5" t="s">
        <v>25</v>
      </c>
      <c r="D225" s="8" t="s">
        <v>440</v>
      </c>
      <c r="E225" s="8">
        <f t="shared" ca="1" si="13"/>
        <v>12</v>
      </c>
      <c r="F225" s="5" t="s">
        <v>1</v>
      </c>
      <c r="G225" s="5" t="s">
        <v>29</v>
      </c>
      <c r="H225" s="10" t="s">
        <v>32</v>
      </c>
      <c r="I225" s="26">
        <v>54120</v>
      </c>
      <c r="J225" s="27">
        <f t="shared" ca="1" si="14"/>
        <v>51414</v>
      </c>
      <c r="K225" s="72">
        <f t="shared" si="15"/>
        <v>5</v>
      </c>
      <c r="L225" s="10">
        <f t="shared" ca="1" si="16"/>
        <v>54120</v>
      </c>
    </row>
    <row r="226" spans="1:12" x14ac:dyDescent="0.25">
      <c r="A226" s="7">
        <v>38126</v>
      </c>
      <c r="B226" s="7" t="str">
        <f>PROPER(CONCATENATE(Datos_paciente!C226," ",Datos_paciente!A226," ",Datos_paciente!B226,""))</f>
        <v>Maria Paulina Valencia Castro</v>
      </c>
      <c r="C226" s="5" t="s">
        <v>25</v>
      </c>
      <c r="D226" s="8" t="s">
        <v>442</v>
      </c>
      <c r="E226" s="8">
        <f t="shared" ca="1" si="13"/>
        <v>16</v>
      </c>
      <c r="F226" s="5" t="s">
        <v>1</v>
      </c>
      <c r="G226" s="5" t="s">
        <v>45</v>
      </c>
      <c r="H226" s="10" t="s">
        <v>142</v>
      </c>
      <c r="I226" s="26">
        <v>43481</v>
      </c>
      <c r="J226" s="27">
        <f t="shared" ca="1" si="14"/>
        <v>41306.949999999997</v>
      </c>
      <c r="K226" s="72">
        <f t="shared" si="15"/>
        <v>5</v>
      </c>
      <c r="L226" s="10">
        <f t="shared" ca="1" si="16"/>
        <v>13044.3</v>
      </c>
    </row>
    <row r="227" spans="1:12" x14ac:dyDescent="0.25">
      <c r="A227" s="7">
        <v>38986</v>
      </c>
      <c r="B227" s="7" t="str">
        <f>PROPER(CONCATENATE(Datos_paciente!C227," ",Datos_paciente!A227," ",Datos_paciente!B227,""))</f>
        <v>Deiby  Atehortua Meneses</v>
      </c>
      <c r="C227" s="5" t="s">
        <v>25</v>
      </c>
      <c r="D227" s="8" t="s">
        <v>443</v>
      </c>
      <c r="E227" s="8">
        <f t="shared" ca="1" si="13"/>
        <v>14</v>
      </c>
      <c r="F227" s="5" t="s">
        <v>3</v>
      </c>
      <c r="G227" s="5" t="s">
        <v>26</v>
      </c>
      <c r="H227" s="10" t="s">
        <v>32</v>
      </c>
      <c r="I227" s="26">
        <v>48636</v>
      </c>
      <c r="J227" s="27">
        <f t="shared" ca="1" si="14"/>
        <v>48636</v>
      </c>
      <c r="K227" s="72">
        <f t="shared" si="15"/>
        <v>9</v>
      </c>
      <c r="L227" s="10">
        <f t="shared" ca="1" si="16"/>
        <v>14.181818181818182</v>
      </c>
    </row>
    <row r="228" spans="1:12" x14ac:dyDescent="0.25">
      <c r="A228" s="7">
        <v>39310</v>
      </c>
      <c r="B228" s="7" t="str">
        <f>PROPER(CONCATENATE(Datos_paciente!C228," ",Datos_paciente!A228," ",Datos_paciente!B228,""))</f>
        <v>Luis Esteban Arroyave Alzate</v>
      </c>
      <c r="C228" s="5" t="s">
        <v>25</v>
      </c>
      <c r="D228" s="8" t="s">
        <v>444</v>
      </c>
      <c r="E228" s="8">
        <f t="shared" ca="1" si="13"/>
        <v>13</v>
      </c>
      <c r="F228" s="5" t="s">
        <v>3</v>
      </c>
      <c r="G228" s="5" t="s">
        <v>35</v>
      </c>
      <c r="H228" s="10" t="s">
        <v>36</v>
      </c>
      <c r="I228" s="26">
        <v>54120</v>
      </c>
      <c r="J228" s="27">
        <f t="shared" ca="1" si="14"/>
        <v>54120</v>
      </c>
      <c r="K228" s="72">
        <f t="shared" si="15"/>
        <v>8</v>
      </c>
      <c r="L228" s="10">
        <f t="shared" ca="1" si="16"/>
        <v>14.19047619047619</v>
      </c>
    </row>
    <row r="229" spans="1:12" x14ac:dyDescent="0.25">
      <c r="A229" s="7">
        <v>38454</v>
      </c>
      <c r="B229" s="7" t="str">
        <f>PROPER(CONCATENATE(Datos_paciente!C229," ",Datos_paciente!A229," ",Datos_paciente!B229,""))</f>
        <v>Dahiana  Valencia Arango</v>
      </c>
      <c r="C229" s="5" t="s">
        <v>25</v>
      </c>
      <c r="D229" s="8" t="s">
        <v>445</v>
      </c>
      <c r="E229" s="8">
        <f t="shared" ca="1" si="13"/>
        <v>15</v>
      </c>
      <c r="F229" s="5" t="s">
        <v>1</v>
      </c>
      <c r="G229" s="5" t="s">
        <v>26</v>
      </c>
      <c r="H229" s="10" t="s">
        <v>32</v>
      </c>
      <c r="I229" s="26">
        <v>15850</v>
      </c>
      <c r="J229" s="27">
        <f t="shared" ca="1" si="14"/>
        <v>15057.5</v>
      </c>
      <c r="K229" s="72">
        <f t="shared" si="15"/>
        <v>4</v>
      </c>
      <c r="L229" s="10">
        <f t="shared" ca="1" si="16"/>
        <v>4755</v>
      </c>
    </row>
    <row r="230" spans="1:12" x14ac:dyDescent="0.25">
      <c r="A230" s="7">
        <v>38249</v>
      </c>
      <c r="B230" s="7" t="str">
        <f>PROPER(CONCATENATE(Datos_paciente!C230," ",Datos_paciente!A230," ",Datos_paciente!B230,""))</f>
        <v>Mariana  Cabezas Ceferino</v>
      </c>
      <c r="C230" s="5" t="s">
        <v>25</v>
      </c>
      <c r="D230" s="8" t="s">
        <v>448</v>
      </c>
      <c r="E230" s="8">
        <f t="shared" ca="1" si="13"/>
        <v>16</v>
      </c>
      <c r="F230" s="5" t="s">
        <v>1</v>
      </c>
      <c r="G230" s="5" t="s">
        <v>35</v>
      </c>
      <c r="H230" s="10" t="s">
        <v>36</v>
      </c>
      <c r="I230" s="26">
        <v>44608</v>
      </c>
      <c r="J230" s="27">
        <f t="shared" ca="1" si="14"/>
        <v>42377.599999999999</v>
      </c>
      <c r="K230" s="72">
        <f t="shared" si="15"/>
        <v>9</v>
      </c>
      <c r="L230" s="10">
        <f t="shared" ca="1" si="16"/>
        <v>13382.4</v>
      </c>
    </row>
    <row r="231" spans="1:12" x14ac:dyDescent="0.25">
      <c r="A231" s="7">
        <v>38837</v>
      </c>
      <c r="B231" s="7" t="str">
        <f>PROPER(CONCATENATE(Datos_paciente!C231," ",Datos_paciente!A231," ",Datos_paciente!B231,""))</f>
        <v>Luis Mateo Mazo Flores</v>
      </c>
      <c r="C231" s="5" t="s">
        <v>25</v>
      </c>
      <c r="D231" s="8" t="s">
        <v>449</v>
      </c>
      <c r="E231" s="8">
        <f t="shared" ca="1" si="13"/>
        <v>14</v>
      </c>
      <c r="F231" s="5" t="s">
        <v>3</v>
      </c>
      <c r="G231" s="5" t="s">
        <v>29</v>
      </c>
      <c r="H231" s="10" t="s">
        <v>32</v>
      </c>
      <c r="I231" s="26">
        <v>30496</v>
      </c>
      <c r="J231" s="27">
        <f t="shared" ca="1" si="14"/>
        <v>30496</v>
      </c>
      <c r="K231" s="72">
        <f t="shared" si="15"/>
        <v>4</v>
      </c>
      <c r="L231" s="10">
        <f t="shared" ca="1" si="16"/>
        <v>14.25</v>
      </c>
    </row>
    <row r="232" spans="1:12" x14ac:dyDescent="0.25">
      <c r="A232" s="7">
        <v>38355</v>
      </c>
      <c r="B232" s="7" t="str">
        <f>PROPER(CONCATENATE(Datos_paciente!C232," ",Datos_paciente!A232," ",Datos_paciente!B232,""))</f>
        <v>Yesid  Tobon Zapata</v>
      </c>
      <c r="C232" s="5" t="s">
        <v>25</v>
      </c>
      <c r="D232" s="8" t="s">
        <v>450</v>
      </c>
      <c r="E232" s="8">
        <f t="shared" ca="1" si="13"/>
        <v>16</v>
      </c>
      <c r="F232" s="5" t="s">
        <v>3</v>
      </c>
      <c r="G232" s="5" t="s">
        <v>35</v>
      </c>
      <c r="H232" s="10" t="s">
        <v>27</v>
      </c>
      <c r="I232" s="26">
        <v>30840</v>
      </c>
      <c r="J232" s="27">
        <f t="shared" ca="1" si="14"/>
        <v>30840</v>
      </c>
      <c r="K232" s="72">
        <f t="shared" si="15"/>
        <v>1</v>
      </c>
      <c r="L232" s="10">
        <f t="shared" ca="1" si="16"/>
        <v>14.263157894736842</v>
      </c>
    </row>
    <row r="233" spans="1:12" x14ac:dyDescent="0.25">
      <c r="A233" s="7">
        <v>38772</v>
      </c>
      <c r="B233" s="7" t="str">
        <f>PROPER(CONCATENATE(Datos_paciente!C233," ",Datos_paciente!A233," ",Datos_paciente!B233,""))</f>
        <v>Juan Sebastian Rave Martinez</v>
      </c>
      <c r="C233" s="5" t="s">
        <v>25</v>
      </c>
      <c r="D233" s="8" t="s">
        <v>452</v>
      </c>
      <c r="E233" s="8">
        <f t="shared" ca="1" si="13"/>
        <v>14</v>
      </c>
      <c r="F233" s="5" t="s">
        <v>1</v>
      </c>
      <c r="G233" s="5" t="s">
        <v>35</v>
      </c>
      <c r="H233" s="10" t="s">
        <v>32</v>
      </c>
      <c r="I233" s="26">
        <v>33361</v>
      </c>
      <c r="J233" s="27">
        <f t="shared" ca="1" si="14"/>
        <v>31692.95</v>
      </c>
      <c r="K233" s="72">
        <f t="shared" si="15"/>
        <v>2</v>
      </c>
      <c r="L233" s="10">
        <f t="shared" ca="1" si="16"/>
        <v>33361</v>
      </c>
    </row>
    <row r="234" spans="1:12" x14ac:dyDescent="0.25">
      <c r="A234" s="7">
        <v>38988</v>
      </c>
      <c r="B234" s="7" t="str">
        <f>PROPER(CONCATENATE(Datos_paciente!C234," ",Datos_paciente!A234," ",Datos_paciente!B234,""))</f>
        <v>Valentina  Garcia Araque</v>
      </c>
      <c r="C234" s="5" t="s">
        <v>25</v>
      </c>
      <c r="D234" s="8" t="s">
        <v>454</v>
      </c>
      <c r="E234" s="8">
        <f t="shared" ca="1" si="13"/>
        <v>14</v>
      </c>
      <c r="F234" s="5" t="s">
        <v>1</v>
      </c>
      <c r="G234" s="5" t="s">
        <v>35</v>
      </c>
      <c r="H234" s="10" t="s">
        <v>36</v>
      </c>
      <c r="I234" s="26">
        <v>42873</v>
      </c>
      <c r="J234" s="27">
        <f t="shared" ca="1" si="14"/>
        <v>40729.35</v>
      </c>
      <c r="K234" s="72">
        <f t="shared" si="15"/>
        <v>9</v>
      </c>
      <c r="L234" s="10">
        <f t="shared" ca="1" si="16"/>
        <v>42873</v>
      </c>
    </row>
    <row r="235" spans="1:12" x14ac:dyDescent="0.25">
      <c r="A235" s="7">
        <v>38932</v>
      </c>
      <c r="B235" s="7" t="str">
        <f>PROPER(CONCATENATE(Datos_paciente!C235," ",Datos_paciente!A235," ",Datos_paciente!B235,""))</f>
        <v>Jeronimo  Moreno Garcia</v>
      </c>
      <c r="C235" s="5" t="s">
        <v>25</v>
      </c>
      <c r="D235" s="8" t="s">
        <v>455</v>
      </c>
      <c r="E235" s="8">
        <f t="shared" ca="1" si="13"/>
        <v>14</v>
      </c>
      <c r="F235" s="5" t="s">
        <v>3</v>
      </c>
      <c r="G235" s="5" t="s">
        <v>26</v>
      </c>
      <c r="H235" s="10" t="s">
        <v>32</v>
      </c>
      <c r="I235" s="26">
        <v>25622</v>
      </c>
      <c r="J235" s="27">
        <f t="shared" ca="1" si="14"/>
        <v>25622</v>
      </c>
      <c r="K235" s="72">
        <f t="shared" si="15"/>
        <v>8</v>
      </c>
      <c r="L235" s="10">
        <f t="shared" ca="1" si="16"/>
        <v>14.166666666666666</v>
      </c>
    </row>
    <row r="236" spans="1:12" x14ac:dyDescent="0.25">
      <c r="A236" s="7">
        <v>38896</v>
      </c>
      <c r="B236" s="7" t="str">
        <f>PROPER(CONCATENATE(Datos_paciente!C236," ",Datos_paciente!A236," ",Datos_paciente!B236,""))</f>
        <v>Mariana  Salazar Garcia</v>
      </c>
      <c r="C236" s="5" t="s">
        <v>25</v>
      </c>
      <c r="D236" s="8" t="s">
        <v>456</v>
      </c>
      <c r="E236" s="8">
        <f t="shared" ca="1" si="13"/>
        <v>14</v>
      </c>
      <c r="F236" s="5" t="s">
        <v>1</v>
      </c>
      <c r="G236" s="5" t="s">
        <v>29</v>
      </c>
      <c r="H236" s="10" t="s">
        <v>32</v>
      </c>
      <c r="I236" s="26">
        <v>57397</v>
      </c>
      <c r="J236" s="27">
        <f t="shared" ca="1" si="14"/>
        <v>54527.15</v>
      </c>
      <c r="K236" s="72">
        <f t="shared" si="15"/>
        <v>6</v>
      </c>
      <c r="L236" s="10">
        <f t="shared" ca="1" si="16"/>
        <v>57397</v>
      </c>
    </row>
    <row r="237" spans="1:12" x14ac:dyDescent="0.25">
      <c r="A237" s="7">
        <v>38712</v>
      </c>
      <c r="B237" s="7" t="str">
        <f>PROPER(CONCATENATE(Datos_paciente!C237," ",Datos_paciente!A237," ",Datos_paciente!B237,""))</f>
        <v>Jorge Andres Quintero Duque</v>
      </c>
      <c r="C237" s="5" t="s">
        <v>301</v>
      </c>
      <c r="D237" s="8" t="s">
        <v>457</v>
      </c>
      <c r="E237" s="8">
        <f t="shared" ca="1" si="13"/>
        <v>15</v>
      </c>
      <c r="F237" s="5" t="s">
        <v>3</v>
      </c>
      <c r="G237" s="5" t="s">
        <v>29</v>
      </c>
      <c r="H237" s="10" t="s">
        <v>52</v>
      </c>
      <c r="I237" s="26">
        <v>43159</v>
      </c>
      <c r="J237" s="27">
        <f t="shared" ca="1" si="14"/>
        <v>43159</v>
      </c>
      <c r="K237" s="72">
        <f t="shared" si="15"/>
        <v>12</v>
      </c>
      <c r="L237" s="10">
        <f t="shared" ca="1" si="16"/>
        <v>14.176470588235293</v>
      </c>
    </row>
    <row r="238" spans="1:12" x14ac:dyDescent="0.25">
      <c r="A238" s="7">
        <v>38278</v>
      </c>
      <c r="B238" s="7" t="str">
        <f>PROPER(CONCATENATE(Datos_paciente!C238," ",Datos_paciente!A238," ",Datos_paciente!B238,""))</f>
        <v>Luis Felipe Moreno Herrera</v>
      </c>
      <c r="C238" s="5" t="s">
        <v>25</v>
      </c>
      <c r="D238" s="8" t="s">
        <v>458</v>
      </c>
      <c r="E238" s="8">
        <f t="shared" ca="1" si="13"/>
        <v>16</v>
      </c>
      <c r="F238" s="5" t="s">
        <v>3</v>
      </c>
      <c r="G238" s="5" t="s">
        <v>29</v>
      </c>
      <c r="H238" s="13" t="s">
        <v>667</v>
      </c>
      <c r="I238" s="26">
        <v>53211</v>
      </c>
      <c r="J238" s="27">
        <f t="shared" ca="1" si="14"/>
        <v>53211</v>
      </c>
      <c r="K238" s="72">
        <f t="shared" si="15"/>
        <v>10</v>
      </c>
      <c r="L238" s="10">
        <f t="shared" ca="1" si="16"/>
        <v>14.125</v>
      </c>
    </row>
    <row r="239" spans="1:12" x14ac:dyDescent="0.25">
      <c r="A239" s="7">
        <v>38842</v>
      </c>
      <c r="B239" s="7" t="str">
        <f>PROPER(CONCATENATE(Datos_paciente!C239," ",Datos_paciente!A239," ",Datos_paciente!B239,""))</f>
        <v>Cristian David Corrales Pecerra</v>
      </c>
      <c r="C239" s="5" t="s">
        <v>0</v>
      </c>
      <c r="D239" s="8" t="s">
        <v>459</v>
      </c>
      <c r="E239" s="8">
        <f t="shared" ca="1" si="13"/>
        <v>14</v>
      </c>
      <c r="F239" s="5" t="s">
        <v>3</v>
      </c>
      <c r="G239" s="5" t="s">
        <v>29</v>
      </c>
      <c r="H239" s="10" t="s">
        <v>142</v>
      </c>
      <c r="I239" s="26">
        <v>17293</v>
      </c>
      <c r="J239" s="27">
        <f t="shared" ca="1" si="14"/>
        <v>17293</v>
      </c>
      <c r="K239" s="72">
        <f t="shared" si="15"/>
        <v>5</v>
      </c>
      <c r="L239" s="10">
        <f t="shared" ca="1" si="16"/>
        <v>14</v>
      </c>
    </row>
    <row r="240" spans="1:12" x14ac:dyDescent="0.25">
      <c r="A240" s="7">
        <v>38561</v>
      </c>
      <c r="B240" s="7" t="str">
        <f>PROPER(CONCATENATE(Datos_paciente!C240," ",Datos_paciente!A240," ",Datos_paciente!B240,""))</f>
        <v>Andres  Flores Botero</v>
      </c>
      <c r="C240" s="5" t="s">
        <v>25</v>
      </c>
      <c r="D240" s="8" t="s">
        <v>460</v>
      </c>
      <c r="E240" s="8">
        <f t="shared" ca="1" si="13"/>
        <v>15</v>
      </c>
      <c r="F240" s="5" t="s">
        <v>3</v>
      </c>
      <c r="G240" s="5" t="s">
        <v>26</v>
      </c>
      <c r="H240" s="10" t="s">
        <v>32</v>
      </c>
      <c r="I240" s="26">
        <v>25622</v>
      </c>
      <c r="J240" s="27">
        <f t="shared" ca="1" si="14"/>
        <v>25622</v>
      </c>
      <c r="K240" s="72">
        <f t="shared" si="15"/>
        <v>7</v>
      </c>
      <c r="L240" s="10">
        <f t="shared" ca="1" si="16"/>
        <v>14</v>
      </c>
    </row>
    <row r="241" spans="1:12" x14ac:dyDescent="0.25">
      <c r="A241" s="7">
        <v>39337</v>
      </c>
      <c r="B241" s="7" t="str">
        <f>PROPER(CONCATENATE(Datos_paciente!C241," ",Datos_paciente!A241," ",Datos_paciente!B241,""))</f>
        <v>Jhonatan  David Ibarra</v>
      </c>
      <c r="C241" s="5" t="s">
        <v>25</v>
      </c>
      <c r="D241" s="8" t="s">
        <v>462</v>
      </c>
      <c r="E241" s="8">
        <f t="shared" ca="1" si="13"/>
        <v>13</v>
      </c>
      <c r="F241" s="5" t="s">
        <v>3</v>
      </c>
      <c r="G241" s="5" t="s">
        <v>26</v>
      </c>
      <c r="H241" s="10" t="s">
        <v>32</v>
      </c>
      <c r="I241" s="26">
        <v>25622</v>
      </c>
      <c r="J241" s="27">
        <f t="shared" ca="1" si="14"/>
        <v>25622</v>
      </c>
      <c r="K241" s="72">
        <f t="shared" si="15"/>
        <v>9</v>
      </c>
      <c r="L241" s="10">
        <f t="shared" ca="1" si="16"/>
        <v>13.923076923076923</v>
      </c>
    </row>
    <row r="242" spans="1:12" x14ac:dyDescent="0.25">
      <c r="A242" s="7">
        <v>39108</v>
      </c>
      <c r="B242" s="7" t="str">
        <f>PROPER(CONCATENATE(Datos_paciente!C242," ",Datos_paciente!A242," ",Datos_paciente!B242,""))</f>
        <v>Asly Dahiana Narvaez Tobon</v>
      </c>
      <c r="C242" s="5" t="s">
        <v>25</v>
      </c>
      <c r="D242" s="8" t="s">
        <v>464</v>
      </c>
      <c r="E242" s="8">
        <f t="shared" ca="1" si="13"/>
        <v>14</v>
      </c>
      <c r="F242" s="5" t="s">
        <v>1</v>
      </c>
      <c r="G242" s="5" t="s">
        <v>35</v>
      </c>
      <c r="H242" s="10" t="s">
        <v>36</v>
      </c>
      <c r="I242" s="26">
        <v>19710</v>
      </c>
      <c r="J242" s="27">
        <f t="shared" ca="1" si="14"/>
        <v>18724.5</v>
      </c>
      <c r="K242" s="72">
        <f t="shared" si="15"/>
        <v>1</v>
      </c>
      <c r="L242" s="10">
        <f t="shared" ca="1" si="16"/>
        <v>19710</v>
      </c>
    </row>
    <row r="243" spans="1:12" x14ac:dyDescent="0.25">
      <c r="A243" s="7">
        <v>38599</v>
      </c>
      <c r="B243" s="7" t="str">
        <f>PROPER(CONCATENATE(Datos_paciente!C243," ",Datos_paciente!A243," ",Datos_paciente!B243,""))</f>
        <v>Daniel Alexander Gonzalez Fernandez</v>
      </c>
      <c r="C243" s="5" t="s">
        <v>25</v>
      </c>
      <c r="D243" s="8" t="s">
        <v>465</v>
      </c>
      <c r="E243" s="8">
        <f t="shared" ca="1" si="13"/>
        <v>15</v>
      </c>
      <c r="F243" s="5" t="s">
        <v>3</v>
      </c>
      <c r="G243" s="5" t="s">
        <v>26</v>
      </c>
      <c r="H243" s="10" t="s">
        <v>32</v>
      </c>
      <c r="I243" s="26">
        <v>25622</v>
      </c>
      <c r="J243" s="27">
        <f t="shared" ca="1" si="14"/>
        <v>25622</v>
      </c>
      <c r="K243" s="72">
        <f t="shared" si="15"/>
        <v>9</v>
      </c>
      <c r="L243" s="10">
        <f t="shared" ca="1" si="16"/>
        <v>14</v>
      </c>
    </row>
    <row r="244" spans="1:12" x14ac:dyDescent="0.25">
      <c r="A244" s="7">
        <v>39542</v>
      </c>
      <c r="B244" s="7" t="str">
        <f>PROPER(CONCATENATE(Datos_paciente!C244," ",Datos_paciente!A244," ",Datos_paciente!B244,""))</f>
        <v>Maria Paulina Bermudez Correa</v>
      </c>
      <c r="C244" s="5" t="s">
        <v>25</v>
      </c>
      <c r="D244" s="8" t="s">
        <v>467</v>
      </c>
      <c r="E244" s="8">
        <f t="shared" ca="1" si="13"/>
        <v>12</v>
      </c>
      <c r="F244" s="5" t="s">
        <v>1</v>
      </c>
      <c r="G244" s="5" t="s">
        <v>26</v>
      </c>
      <c r="H244" s="10" t="s">
        <v>32</v>
      </c>
      <c r="I244" s="26">
        <v>25622</v>
      </c>
      <c r="J244" s="27">
        <f t="shared" ca="1" si="14"/>
        <v>24340.9</v>
      </c>
      <c r="K244" s="72">
        <f t="shared" si="15"/>
        <v>4</v>
      </c>
      <c r="L244" s="10">
        <f t="shared" ca="1" si="16"/>
        <v>25622</v>
      </c>
    </row>
    <row r="245" spans="1:12" x14ac:dyDescent="0.25">
      <c r="A245" s="7">
        <v>38395</v>
      </c>
      <c r="B245" s="7" t="str">
        <f>PROPER(CONCATENATE(Datos_paciente!C245," ",Datos_paciente!A245," ",Datos_paciente!B245,""))</f>
        <v>Veronica  Trivi?O Sepulveda</v>
      </c>
      <c r="C245" s="5" t="s">
        <v>25</v>
      </c>
      <c r="D245" s="8" t="s">
        <v>469</v>
      </c>
      <c r="E245" s="8">
        <f t="shared" ref="E245:E268" ca="1" si="17">INT((TODAY()-A245)/365)</f>
        <v>15</v>
      </c>
      <c r="F245" s="5" t="s">
        <v>1</v>
      </c>
      <c r="G245" s="5" t="s">
        <v>29</v>
      </c>
      <c r="H245" s="13" t="s">
        <v>667</v>
      </c>
      <c r="I245" s="26">
        <v>22261</v>
      </c>
      <c r="J245" s="27">
        <f t="shared" ca="1" si="14"/>
        <v>21147.95</v>
      </c>
      <c r="K245" s="72">
        <f t="shared" si="15"/>
        <v>2</v>
      </c>
      <c r="L245" s="10">
        <f t="shared" ca="1" si="16"/>
        <v>6678.3</v>
      </c>
    </row>
    <row r="246" spans="1:12" x14ac:dyDescent="0.25">
      <c r="A246" s="7">
        <v>39192</v>
      </c>
      <c r="B246" s="7" t="str">
        <f>PROPER(CONCATENATE(Datos_paciente!C246," ",Datos_paciente!A246," ",Datos_paciente!B246,""))</f>
        <v>Celeni  Alvarez Gomez</v>
      </c>
      <c r="C246" s="5" t="s">
        <v>25</v>
      </c>
      <c r="D246" s="8" t="s">
        <v>470</v>
      </c>
      <c r="E246" s="8">
        <f t="shared" ca="1" si="17"/>
        <v>13</v>
      </c>
      <c r="F246" s="5" t="s">
        <v>1</v>
      </c>
      <c r="G246" s="5" t="s">
        <v>35</v>
      </c>
      <c r="H246" s="10" t="s">
        <v>27</v>
      </c>
      <c r="I246" s="26">
        <v>48602</v>
      </c>
      <c r="J246" s="27">
        <f t="shared" ca="1" si="14"/>
        <v>46171.9</v>
      </c>
      <c r="K246" s="72">
        <f t="shared" si="15"/>
        <v>4</v>
      </c>
      <c r="L246" s="10">
        <f t="shared" ca="1" si="16"/>
        <v>48602</v>
      </c>
    </row>
    <row r="247" spans="1:12" x14ac:dyDescent="0.25">
      <c r="A247" s="7">
        <v>38472</v>
      </c>
      <c r="B247" s="7" t="str">
        <f>PROPER(CONCATENATE(Datos_paciente!C247," ",Datos_paciente!A247," ",Datos_paciente!B247,""))</f>
        <v>Paulina  Piedrahita Maya</v>
      </c>
      <c r="C247" s="5" t="s">
        <v>25</v>
      </c>
      <c r="D247" s="8" t="s">
        <v>472</v>
      </c>
      <c r="E247" s="8">
        <f t="shared" ca="1" si="17"/>
        <v>15</v>
      </c>
      <c r="F247" s="5" t="s">
        <v>1</v>
      </c>
      <c r="G247" s="5" t="s">
        <v>26</v>
      </c>
      <c r="H247" s="10" t="s">
        <v>32</v>
      </c>
      <c r="I247" s="26">
        <v>25622</v>
      </c>
      <c r="J247" s="27">
        <f t="shared" ca="1" si="14"/>
        <v>24340.9</v>
      </c>
      <c r="K247" s="72">
        <f t="shared" si="15"/>
        <v>4</v>
      </c>
      <c r="L247" s="10">
        <f t="shared" ca="1" si="16"/>
        <v>7686.5999999999995</v>
      </c>
    </row>
    <row r="248" spans="1:12" x14ac:dyDescent="0.25">
      <c r="A248" s="7">
        <v>39191</v>
      </c>
      <c r="B248" s="7" t="str">
        <f>PROPER(CONCATENATE(Datos_paciente!C248," ",Datos_paciente!A248," ",Datos_paciente!B248,""))</f>
        <v>Simon  Ossa Correa</v>
      </c>
      <c r="C248" s="5" t="s">
        <v>25</v>
      </c>
      <c r="D248" s="8" t="s">
        <v>474</v>
      </c>
      <c r="E248" s="8">
        <f t="shared" ca="1" si="17"/>
        <v>13</v>
      </c>
      <c r="F248" s="5" t="s">
        <v>3</v>
      </c>
      <c r="G248" s="5" t="s">
        <v>26</v>
      </c>
      <c r="H248" s="10" t="s">
        <v>32</v>
      </c>
      <c r="I248" s="26">
        <v>25622</v>
      </c>
      <c r="J248" s="27">
        <f t="shared" ca="1" si="14"/>
        <v>25622</v>
      </c>
      <c r="K248" s="72">
        <f t="shared" si="15"/>
        <v>4</v>
      </c>
      <c r="L248" s="10">
        <f t="shared" ca="1" si="16"/>
        <v>13.909090909090908</v>
      </c>
    </row>
    <row r="249" spans="1:12" x14ac:dyDescent="0.25">
      <c r="A249" s="7">
        <v>38935</v>
      </c>
      <c r="B249" s="7" t="str">
        <f>PROPER(CONCATENATE(Datos_paciente!C249," ",Datos_paciente!A249," ",Datos_paciente!B249,""))</f>
        <v>Isabela  Henao Ramirez</v>
      </c>
      <c r="C249" s="5" t="s">
        <v>25</v>
      </c>
      <c r="D249" s="8" t="s">
        <v>475</v>
      </c>
      <c r="E249" s="8">
        <f t="shared" ca="1" si="17"/>
        <v>14</v>
      </c>
      <c r="F249" s="5" t="s">
        <v>1</v>
      </c>
      <c r="G249" s="5" t="s">
        <v>29</v>
      </c>
      <c r="H249" s="10" t="s">
        <v>32</v>
      </c>
      <c r="I249" s="26">
        <v>55307</v>
      </c>
      <c r="J249" s="27">
        <f t="shared" ca="1" si="14"/>
        <v>52541.65</v>
      </c>
      <c r="K249" s="72">
        <f t="shared" si="15"/>
        <v>8</v>
      </c>
      <c r="L249" s="10">
        <f t="shared" ca="1" si="16"/>
        <v>55307</v>
      </c>
    </row>
    <row r="250" spans="1:12" x14ac:dyDescent="0.25">
      <c r="A250" s="7">
        <v>38562</v>
      </c>
      <c r="B250" s="7" t="str">
        <f>PROPER(CONCATENATE(Datos_paciente!C250," ",Datos_paciente!A250," ",Datos_paciente!B250,""))</f>
        <v>Alejandro  Pelaez Mora</v>
      </c>
      <c r="C250" s="5" t="s">
        <v>25</v>
      </c>
      <c r="D250" s="8" t="s">
        <v>477</v>
      </c>
      <c r="E250" s="8">
        <f t="shared" ca="1" si="17"/>
        <v>15</v>
      </c>
      <c r="F250" s="5" t="s">
        <v>3</v>
      </c>
      <c r="G250" s="5" t="s">
        <v>35</v>
      </c>
      <c r="H250" s="10" t="s">
        <v>27</v>
      </c>
      <c r="I250" s="26">
        <v>47311</v>
      </c>
      <c r="J250" s="27">
        <f t="shared" ca="1" si="14"/>
        <v>47311</v>
      </c>
      <c r="K250" s="72">
        <f t="shared" si="15"/>
        <v>7</v>
      </c>
      <c r="L250" s="10">
        <f t="shared" ca="1" si="16"/>
        <v>14</v>
      </c>
    </row>
    <row r="251" spans="1:12" x14ac:dyDescent="0.25">
      <c r="A251" s="7">
        <v>39459</v>
      </c>
      <c r="B251" s="7" t="str">
        <f>PROPER(CONCATENATE(Datos_paciente!C251," ",Datos_paciente!A251," ",Datos_paciente!B251,""))</f>
        <v>Sara  Quintero Osorio</v>
      </c>
      <c r="C251" s="5" t="s">
        <v>25</v>
      </c>
      <c r="D251" s="8" t="s">
        <v>478</v>
      </c>
      <c r="E251" s="8">
        <f t="shared" ca="1" si="17"/>
        <v>13</v>
      </c>
      <c r="F251" s="5" t="s">
        <v>1</v>
      </c>
      <c r="G251" s="5" t="s">
        <v>35</v>
      </c>
      <c r="H251" s="10" t="s">
        <v>27</v>
      </c>
      <c r="I251" s="26">
        <v>72499</v>
      </c>
      <c r="J251" s="27">
        <f t="shared" ca="1" si="14"/>
        <v>68874.05</v>
      </c>
      <c r="K251" s="72">
        <f t="shared" si="15"/>
        <v>1</v>
      </c>
      <c r="L251" s="10">
        <f t="shared" ca="1" si="16"/>
        <v>72499</v>
      </c>
    </row>
    <row r="252" spans="1:12" x14ac:dyDescent="0.25">
      <c r="A252" s="7">
        <v>38626</v>
      </c>
      <c r="B252" s="7" t="str">
        <f>PROPER(CONCATENATE(Datos_paciente!C252," ",Datos_paciente!A252," ",Datos_paciente!B252,""))</f>
        <v>Jonatan Arley Loaiza Corpa</v>
      </c>
      <c r="C252" s="5" t="s">
        <v>25</v>
      </c>
      <c r="D252" s="8" t="s">
        <v>480</v>
      </c>
      <c r="E252" s="8">
        <f t="shared" ca="1" si="17"/>
        <v>15</v>
      </c>
      <c r="F252" s="5" t="s">
        <v>3</v>
      </c>
      <c r="G252" s="5" t="s">
        <v>26</v>
      </c>
      <c r="H252" s="10" t="s">
        <v>32</v>
      </c>
      <c r="I252" s="26">
        <v>25622</v>
      </c>
      <c r="J252" s="27">
        <f t="shared" ca="1" si="14"/>
        <v>25622</v>
      </c>
      <c r="K252" s="72">
        <f t="shared" si="15"/>
        <v>10</v>
      </c>
      <c r="L252" s="10">
        <f t="shared" ca="1" si="16"/>
        <v>13.888888888888889</v>
      </c>
    </row>
    <row r="253" spans="1:12" x14ac:dyDescent="0.25">
      <c r="A253" s="7">
        <v>38968</v>
      </c>
      <c r="B253" s="7" t="str">
        <f>PROPER(CONCATENATE(Datos_paciente!C253," ",Datos_paciente!A253," ",Datos_paciente!B253,""))</f>
        <v>Sara  Moreno Zapata</v>
      </c>
      <c r="C253" s="5" t="s">
        <v>25</v>
      </c>
      <c r="D253" s="8" t="s">
        <v>481</v>
      </c>
      <c r="E253" s="8">
        <f t="shared" ca="1" si="17"/>
        <v>14</v>
      </c>
      <c r="F253" s="5" t="s">
        <v>1</v>
      </c>
      <c r="G253" s="5" t="s">
        <v>45</v>
      </c>
      <c r="H253" s="10" t="s">
        <v>50</v>
      </c>
      <c r="I253" s="26">
        <v>58618</v>
      </c>
      <c r="J253" s="27">
        <f t="shared" ca="1" si="14"/>
        <v>55687.1</v>
      </c>
      <c r="K253" s="72">
        <f t="shared" si="15"/>
        <v>9</v>
      </c>
      <c r="L253" s="10">
        <f t="shared" ca="1" si="16"/>
        <v>58618</v>
      </c>
    </row>
    <row r="254" spans="1:12" x14ac:dyDescent="0.25">
      <c r="A254" s="7">
        <v>38859</v>
      </c>
      <c r="B254" s="7" t="str">
        <f>PROPER(CONCATENATE(Datos_paciente!C254," ",Datos_paciente!A254," ",Datos_paciente!B254,""))</f>
        <v>Carolina  Blandon Yanes</v>
      </c>
      <c r="C254" s="5" t="s">
        <v>25</v>
      </c>
      <c r="D254" s="8" t="s">
        <v>484</v>
      </c>
      <c r="E254" s="8">
        <f t="shared" ca="1" si="17"/>
        <v>14</v>
      </c>
      <c r="F254" s="5" t="s">
        <v>1</v>
      </c>
      <c r="G254" s="5" t="s">
        <v>26</v>
      </c>
      <c r="H254" s="10" t="s">
        <v>32</v>
      </c>
      <c r="I254" s="26">
        <v>25622</v>
      </c>
      <c r="J254" s="27">
        <f t="shared" ca="1" si="14"/>
        <v>24340.9</v>
      </c>
      <c r="K254" s="72">
        <f t="shared" si="15"/>
        <v>5</v>
      </c>
      <c r="L254" s="10">
        <f t="shared" ca="1" si="16"/>
        <v>25622</v>
      </c>
    </row>
    <row r="255" spans="1:12" x14ac:dyDescent="0.25">
      <c r="A255" s="7">
        <v>38986</v>
      </c>
      <c r="B255" s="7" t="str">
        <f>PROPER(CONCATENATE(Datos_paciente!C255," ",Datos_paciente!A255," ",Datos_paciente!B255,""))</f>
        <v>Deiby  Atehortua Meneses</v>
      </c>
      <c r="C255" s="5" t="s">
        <v>25</v>
      </c>
      <c r="D255" s="8" t="s">
        <v>485</v>
      </c>
      <c r="E255" s="8">
        <f t="shared" ca="1" si="17"/>
        <v>14</v>
      </c>
      <c r="F255" s="5" t="s">
        <v>3</v>
      </c>
      <c r="G255" s="5" t="s">
        <v>26</v>
      </c>
      <c r="H255" s="10" t="s">
        <v>32</v>
      </c>
      <c r="I255" s="26">
        <v>25622</v>
      </c>
      <c r="J255" s="27">
        <f t="shared" ca="1" si="14"/>
        <v>25622</v>
      </c>
      <c r="K255" s="72">
        <f t="shared" si="15"/>
        <v>9</v>
      </c>
      <c r="L255" s="10">
        <f t="shared" ca="1" si="16"/>
        <v>13.75</v>
      </c>
    </row>
    <row r="256" spans="1:12" x14ac:dyDescent="0.25">
      <c r="A256" s="7">
        <v>38075</v>
      </c>
      <c r="B256" s="7" t="str">
        <f>PROPER(CONCATENATE(Datos_paciente!C256," ",Datos_paciente!A256," ",Datos_paciente!B256,""))</f>
        <v>Sofia  Zapata Olarte</v>
      </c>
      <c r="C256" s="5" t="s">
        <v>25</v>
      </c>
      <c r="D256" s="8" t="s">
        <v>487</v>
      </c>
      <c r="E256" s="8">
        <f t="shared" ca="1" si="17"/>
        <v>16</v>
      </c>
      <c r="F256" s="5" t="s">
        <v>1</v>
      </c>
      <c r="G256" s="5" t="s">
        <v>35</v>
      </c>
      <c r="H256" s="10" t="s">
        <v>27</v>
      </c>
      <c r="I256" s="26">
        <v>41599</v>
      </c>
      <c r="J256" s="27">
        <f t="shared" ca="1" si="14"/>
        <v>39519.050000000003</v>
      </c>
      <c r="K256" s="72">
        <f t="shared" si="15"/>
        <v>3</v>
      </c>
      <c r="L256" s="10">
        <f t="shared" ca="1" si="16"/>
        <v>12479.699999999999</v>
      </c>
    </row>
    <row r="257" spans="1:12" x14ac:dyDescent="0.25">
      <c r="A257" s="7">
        <v>38626</v>
      </c>
      <c r="B257" s="7" t="str">
        <f>PROPER(CONCATENATE(Datos_paciente!C257," ",Datos_paciente!A257," ",Datos_paciente!B257,""))</f>
        <v>Karla Mireth Torres Rodriguez</v>
      </c>
      <c r="C257" s="5" t="s">
        <v>25</v>
      </c>
      <c r="D257" s="8" t="s">
        <v>488</v>
      </c>
      <c r="E257" s="8">
        <f t="shared" ca="1" si="17"/>
        <v>15</v>
      </c>
      <c r="F257" s="5" t="s">
        <v>1</v>
      </c>
      <c r="G257" s="5" t="s">
        <v>29</v>
      </c>
      <c r="H257" s="13" t="s">
        <v>667</v>
      </c>
      <c r="I257" s="26">
        <v>39341</v>
      </c>
      <c r="J257" s="27">
        <f t="shared" ca="1" si="14"/>
        <v>37373.949999999997</v>
      </c>
      <c r="K257" s="72">
        <f t="shared" si="15"/>
        <v>10</v>
      </c>
      <c r="L257" s="10">
        <f t="shared" ca="1" si="16"/>
        <v>11802.3</v>
      </c>
    </row>
    <row r="258" spans="1:12" x14ac:dyDescent="0.25">
      <c r="A258" s="7">
        <v>38196</v>
      </c>
      <c r="B258" s="7" t="str">
        <f>PROPER(CONCATENATE(Datos_paciente!C258," ",Datos_paciente!A258," ",Datos_paciente!B258,""))</f>
        <v>Carolina  Zapata Jimenez</v>
      </c>
      <c r="C258" s="5" t="s">
        <v>25</v>
      </c>
      <c r="D258" s="8" t="s">
        <v>489</v>
      </c>
      <c r="E258" s="8">
        <f t="shared" ca="1" si="17"/>
        <v>16</v>
      </c>
      <c r="F258" s="5" t="s">
        <v>1</v>
      </c>
      <c r="G258" s="5" t="s">
        <v>26</v>
      </c>
      <c r="H258" s="10" t="s">
        <v>32</v>
      </c>
      <c r="I258" s="26">
        <v>55792</v>
      </c>
      <c r="J258" s="27">
        <f t="shared" ref="J258:J268" ca="1" si="18">I258-(IF(F258="F",(IF(E258&lt;18,I258*0.05,IF(E258&lt;34,I258*0.1,IF(E258&gt;62,I258*0.5,0)))),IF(F258="M",IF(E258&gt;65,I258*0.3,0),0)))</f>
        <v>53002.400000000001</v>
      </c>
      <c r="K258" s="72">
        <f t="shared" si="15"/>
        <v>7</v>
      </c>
      <c r="L258" s="10">
        <f t="shared" ca="1" si="16"/>
        <v>16737.599999999999</v>
      </c>
    </row>
    <row r="259" spans="1:12" x14ac:dyDescent="0.25">
      <c r="A259" s="7">
        <v>39176</v>
      </c>
      <c r="B259" s="7" t="str">
        <f>PROPER(CONCATENATE(Datos_paciente!C259," ",Datos_paciente!A259," ",Datos_paciente!B259,""))</f>
        <v>Evelyn Andrea Quintana Mejia</v>
      </c>
      <c r="C259" s="5" t="s">
        <v>25</v>
      </c>
      <c r="D259" s="8" t="s">
        <v>491</v>
      </c>
      <c r="E259" s="8">
        <f t="shared" ca="1" si="17"/>
        <v>13</v>
      </c>
      <c r="F259" s="5" t="s">
        <v>1</v>
      </c>
      <c r="G259" s="5" t="s">
        <v>26</v>
      </c>
      <c r="H259" s="10" t="s">
        <v>32</v>
      </c>
      <c r="I259" s="26">
        <v>55792</v>
      </c>
      <c r="J259" s="27">
        <f t="shared" ca="1" si="18"/>
        <v>53002.400000000001</v>
      </c>
      <c r="K259" s="72">
        <f t="shared" ref="K259:K268" si="19">MONTH(A259)</f>
        <v>4</v>
      </c>
      <c r="L259" s="10">
        <f t="shared" ref="L259:L268" ca="1" si="20">IF(F259="F",IF(E259&gt;AVERAGEIF(F259:F525,"F",E259:E525),I259*0.3,I259),AVERAGEIF(F259:F525,"M",E259:E525))</f>
        <v>55792</v>
      </c>
    </row>
    <row r="260" spans="1:12" x14ac:dyDescent="0.25">
      <c r="A260" s="7">
        <v>38932</v>
      </c>
      <c r="B260" s="7" t="str">
        <f>PROPER(CONCATENATE(Datos_paciente!C260," ",Datos_paciente!A260," ",Datos_paciente!B260,""))</f>
        <v>Junior Andres Quintero Bustamante</v>
      </c>
      <c r="C260" s="5" t="s">
        <v>25</v>
      </c>
      <c r="D260" s="8" t="s">
        <v>493</v>
      </c>
      <c r="E260" s="8">
        <f t="shared" ca="1" si="17"/>
        <v>14</v>
      </c>
      <c r="F260" s="5" t="s">
        <v>3</v>
      </c>
      <c r="G260" s="5" t="s">
        <v>26</v>
      </c>
      <c r="H260" s="10" t="s">
        <v>32</v>
      </c>
      <c r="I260" s="26">
        <v>55792</v>
      </c>
      <c r="J260" s="27">
        <f t="shared" ca="1" si="18"/>
        <v>55792</v>
      </c>
      <c r="K260" s="72">
        <f t="shared" si="19"/>
        <v>8</v>
      </c>
      <c r="L260" s="10">
        <f t="shared" ca="1" si="20"/>
        <v>13.714285714285714</v>
      </c>
    </row>
    <row r="261" spans="1:12" x14ac:dyDescent="0.25">
      <c r="A261" s="7">
        <v>39505</v>
      </c>
      <c r="B261" s="7" t="str">
        <f>PROPER(CONCATENATE(Datos_paciente!C261," ",Datos_paciente!A261," ",Datos_paciente!B261,""))</f>
        <v>Keith  Restrepo Moreno</v>
      </c>
      <c r="C261" s="5" t="s">
        <v>25</v>
      </c>
      <c r="D261" s="8" t="s">
        <v>494</v>
      </c>
      <c r="E261" s="8">
        <f t="shared" ca="1" si="17"/>
        <v>12</v>
      </c>
      <c r="F261" s="5" t="s">
        <v>3</v>
      </c>
      <c r="G261" s="5" t="s">
        <v>29</v>
      </c>
      <c r="H261" s="10" t="s">
        <v>32</v>
      </c>
      <c r="I261" s="26">
        <v>71311</v>
      </c>
      <c r="J261" s="27">
        <f t="shared" ca="1" si="18"/>
        <v>71311</v>
      </c>
      <c r="K261" s="72">
        <f t="shared" si="19"/>
        <v>2</v>
      </c>
      <c r="L261" s="10">
        <f t="shared" ca="1" si="20"/>
        <v>13.666666666666666</v>
      </c>
    </row>
    <row r="262" spans="1:12" ht="16.5" customHeight="1" x14ac:dyDescent="0.25">
      <c r="A262" s="7">
        <v>38169</v>
      </c>
      <c r="B262" s="7" t="str">
        <f>PROPER(CONCATENATE(Datos_paciente!C262," ",Datos_paciente!A262," ",Datos_paciente!B262,""))</f>
        <v xml:space="preserve">Santiago  Londo?O </v>
      </c>
      <c r="C262" s="5" t="s">
        <v>25</v>
      </c>
      <c r="D262" s="8" t="s">
        <v>495</v>
      </c>
      <c r="E262" s="8">
        <f t="shared" ca="1" si="17"/>
        <v>16</v>
      </c>
      <c r="F262" s="5" t="s">
        <v>3</v>
      </c>
      <c r="G262" s="5" t="s">
        <v>29</v>
      </c>
      <c r="H262" s="10" t="s">
        <v>61</v>
      </c>
      <c r="I262" s="26">
        <v>44193</v>
      </c>
      <c r="J262" s="27">
        <f t="shared" ca="1" si="18"/>
        <v>44193</v>
      </c>
      <c r="K262" s="72">
        <f t="shared" si="19"/>
        <v>7</v>
      </c>
      <c r="L262" s="10">
        <f t="shared" ca="1" si="20"/>
        <v>14</v>
      </c>
    </row>
    <row r="263" spans="1:12" ht="16.5" customHeight="1" x14ac:dyDescent="0.25">
      <c r="A263" s="7">
        <v>38920</v>
      </c>
      <c r="B263" s="7" t="str">
        <f>PROPER(CONCATENATE(Datos_paciente!C263," ",Datos_paciente!A263," ",Datos_paciente!B263,""))</f>
        <v>Johan Stivenson Hurtado Mosquera</v>
      </c>
      <c r="C263" s="5" t="s">
        <v>25</v>
      </c>
      <c r="D263" s="8" t="s">
        <v>497</v>
      </c>
      <c r="E263" s="8">
        <f t="shared" ca="1" si="17"/>
        <v>14</v>
      </c>
      <c r="F263" s="5" t="s">
        <v>3</v>
      </c>
      <c r="G263" s="5" t="s">
        <v>45</v>
      </c>
      <c r="H263" s="10" t="s">
        <v>61</v>
      </c>
      <c r="I263" s="26">
        <v>50334</v>
      </c>
      <c r="J263" s="27">
        <f t="shared" ca="1" si="18"/>
        <v>50334</v>
      </c>
      <c r="K263" s="72">
        <f t="shared" si="19"/>
        <v>7</v>
      </c>
      <c r="L263" s="10">
        <f t="shared" ca="1" si="20"/>
        <v>13.5</v>
      </c>
    </row>
    <row r="264" spans="1:12" x14ac:dyDescent="0.25">
      <c r="A264" s="7">
        <v>39492</v>
      </c>
      <c r="B264" s="7" t="str">
        <f>PROPER(CONCATENATE(Datos_paciente!C264," ",Datos_paciente!A264," ",Datos_paciente!B264,""))</f>
        <v>Esteban  Salazar Alcalde</v>
      </c>
      <c r="C264" s="5" t="s">
        <v>25</v>
      </c>
      <c r="D264" s="8" t="s">
        <v>498</v>
      </c>
      <c r="E264" s="8">
        <f t="shared" ca="1" si="17"/>
        <v>12</v>
      </c>
      <c r="F264" s="5" t="s">
        <v>3</v>
      </c>
      <c r="G264" s="5" t="s">
        <v>35</v>
      </c>
      <c r="H264" s="10" t="s">
        <v>36</v>
      </c>
      <c r="I264" s="26">
        <v>67747</v>
      </c>
      <c r="J264" s="27">
        <f t="shared" ca="1" si="18"/>
        <v>67747</v>
      </c>
      <c r="K264" s="72">
        <f t="shared" si="19"/>
        <v>2</v>
      </c>
      <c r="L264" s="10">
        <f t="shared" ca="1" si="20"/>
        <v>13.333333333333334</v>
      </c>
    </row>
    <row r="265" spans="1:12" x14ac:dyDescent="0.25">
      <c r="A265" s="7">
        <v>39562</v>
      </c>
      <c r="B265" s="7" t="str">
        <f>PROPER(CONCATENATE(Datos_paciente!C265," ",Datos_paciente!A265," ",Datos_paciente!B265,""))</f>
        <v>Andres  Lopez Osorio</v>
      </c>
      <c r="C265" s="5" t="s">
        <v>25</v>
      </c>
      <c r="D265" s="8" t="s">
        <v>499</v>
      </c>
      <c r="E265" s="8">
        <f t="shared" ca="1" si="17"/>
        <v>12</v>
      </c>
      <c r="F265" s="5" t="s">
        <v>3</v>
      </c>
      <c r="G265" s="5" t="s">
        <v>29</v>
      </c>
      <c r="H265" s="13" t="s">
        <v>667</v>
      </c>
      <c r="I265" s="26">
        <v>81211</v>
      </c>
      <c r="J265" s="27">
        <f t="shared" ca="1" si="18"/>
        <v>81211</v>
      </c>
      <c r="K265" s="72">
        <f t="shared" si="19"/>
        <v>4</v>
      </c>
      <c r="L265" s="10">
        <f t="shared" ca="1" si="20"/>
        <v>14</v>
      </c>
    </row>
    <row r="266" spans="1:12" x14ac:dyDescent="0.25">
      <c r="A266" s="7">
        <v>39192</v>
      </c>
      <c r="B266" s="7" t="str">
        <f>PROPER(CONCATENATE(Datos_paciente!C266," ",Datos_paciente!A266," ",Datos_paciente!B266,""))</f>
        <v>Celeni  Alvarez Gomez</v>
      </c>
      <c r="C266" s="5" t="s">
        <v>25</v>
      </c>
      <c r="D266" s="8" t="s">
        <v>500</v>
      </c>
      <c r="E266" s="8">
        <f t="shared" ca="1" si="17"/>
        <v>13</v>
      </c>
      <c r="F266" s="5" t="s">
        <v>1</v>
      </c>
      <c r="G266" s="5" t="s">
        <v>26</v>
      </c>
      <c r="H266" s="10" t="s">
        <v>32</v>
      </c>
      <c r="I266" s="26">
        <v>25622</v>
      </c>
      <c r="J266" s="27">
        <f t="shared" ca="1" si="18"/>
        <v>24340.9</v>
      </c>
      <c r="K266" s="72">
        <f t="shared" si="19"/>
        <v>4</v>
      </c>
      <c r="L266" s="10">
        <f t="shared" ca="1" si="20"/>
        <v>25622</v>
      </c>
    </row>
    <row r="267" spans="1:12" x14ac:dyDescent="0.25">
      <c r="A267" s="7">
        <v>38397</v>
      </c>
      <c r="B267" s="7" t="str">
        <f>PROPER(CONCATENATE(Datos_paciente!C267," ",Datos_paciente!A267," ",Datos_paciente!B267,""))</f>
        <v>Carolina  Garcia Jimenez</v>
      </c>
      <c r="C267" s="5" t="s">
        <v>25</v>
      </c>
      <c r="D267" s="8" t="s">
        <v>501</v>
      </c>
      <c r="E267" s="8">
        <f t="shared" ca="1" si="17"/>
        <v>15</v>
      </c>
      <c r="F267" s="5" t="s">
        <v>1</v>
      </c>
      <c r="G267" s="5" t="s">
        <v>45</v>
      </c>
      <c r="H267" s="10" t="s">
        <v>142</v>
      </c>
      <c r="I267" s="26">
        <v>19806</v>
      </c>
      <c r="J267" s="27">
        <f t="shared" ca="1" si="18"/>
        <v>18815.7</v>
      </c>
      <c r="K267" s="72">
        <f t="shared" si="19"/>
        <v>2</v>
      </c>
      <c r="L267" s="10">
        <f t="shared" ca="1" si="20"/>
        <v>19806</v>
      </c>
    </row>
    <row r="268" spans="1:12" x14ac:dyDescent="0.25">
      <c r="A268" s="7">
        <v>38315</v>
      </c>
      <c r="B268" s="7" t="str">
        <f>PROPER(CONCATENATE(Datos_paciente!C268," ",Datos_paciente!A268," ",Datos_paciente!B268,""))</f>
        <v>Juan David Martinez Arismendi</v>
      </c>
      <c r="C268" s="5" t="s">
        <v>25</v>
      </c>
      <c r="D268" s="8" t="s">
        <v>503</v>
      </c>
      <c r="E268" s="8">
        <f t="shared" ca="1" si="17"/>
        <v>16</v>
      </c>
      <c r="F268" s="5" t="s">
        <v>3</v>
      </c>
      <c r="G268" s="5" t="s">
        <v>35</v>
      </c>
      <c r="H268" s="10" t="s">
        <v>36</v>
      </c>
      <c r="I268" s="26">
        <v>20677</v>
      </c>
      <c r="J268" s="27">
        <f t="shared" ca="1" si="18"/>
        <v>20677</v>
      </c>
      <c r="K268" s="72">
        <f t="shared" si="19"/>
        <v>11</v>
      </c>
      <c r="L268" s="10">
        <f t="shared" ca="1" si="20"/>
        <v>16</v>
      </c>
    </row>
    <row r="271" spans="1:12" x14ac:dyDescent="0.25">
      <c r="C271" s="30"/>
      <c r="D271" s="30" t="s">
        <v>708</v>
      </c>
    </row>
  </sheetData>
  <autoFilter ref="A1:J268" xr:uid="{1DC90274-22E2-4750-889E-257D8FC2129B}"/>
  <sortState xmlns:xlrd2="http://schemas.microsoft.com/office/spreadsheetml/2017/richdata2" ref="L1:L283">
    <sortCondition ref="L1:L283"/>
  </sortState>
  <phoneticPr fontId="7" type="noConversion"/>
  <dataValidations count="1">
    <dataValidation type="list" allowBlank="1" showInputMessage="1" showErrorMessage="1" sqref="M2" xr:uid="{389FDB9D-E2C2-42F1-942B-4B2808EE2086}">
      <formula1>$L$2:$L$268</formula1>
    </dataValidation>
  </dataValidations>
  <pageMargins left="0.7" right="0.7" top="0.75" bottom="0.75" header="0.3" footer="0.3"/>
  <ignoredErrors>
    <ignoredError sqref="D4:D268"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C06A1-5CC1-4342-9A4C-DC8BFC816F03}">
  <dimension ref="A1:Q125"/>
  <sheetViews>
    <sheetView topLeftCell="A13" workbookViewId="0">
      <selection activeCell="B92" sqref="B92"/>
    </sheetView>
  </sheetViews>
  <sheetFormatPr baseColWidth="10" defaultRowHeight="15" x14ac:dyDescent="0.25"/>
  <cols>
    <col min="1" max="1" width="22.5703125" customWidth="1"/>
    <col min="2" max="2" width="24.28515625" customWidth="1"/>
    <col min="3" max="3" width="33.42578125" customWidth="1"/>
    <col min="4" max="4" width="18.28515625" customWidth="1"/>
    <col min="5" max="5" width="67.85546875" customWidth="1"/>
    <col min="6" max="6" width="15" customWidth="1"/>
    <col min="8" max="8" width="18" customWidth="1"/>
  </cols>
  <sheetData>
    <row r="1" spans="1:17" ht="26.25" x14ac:dyDescent="0.4">
      <c r="A1" s="96" t="s">
        <v>671</v>
      </c>
      <c r="B1" s="96"/>
      <c r="C1" s="96"/>
      <c r="D1" s="96"/>
      <c r="E1" s="96"/>
      <c r="F1" s="96"/>
      <c r="G1" s="96"/>
      <c r="H1" s="96"/>
      <c r="I1" s="96"/>
      <c r="J1" s="96"/>
      <c r="K1" s="96"/>
      <c r="L1" s="96"/>
      <c r="M1" s="96"/>
      <c r="N1" s="96"/>
      <c r="O1" s="96"/>
      <c r="P1" s="96"/>
      <c r="Q1" s="96"/>
    </row>
    <row r="3" spans="1:17" x14ac:dyDescent="0.25">
      <c r="A3" s="97" t="s">
        <v>686</v>
      </c>
      <c r="B3" s="97"/>
      <c r="C3" s="97"/>
      <c r="D3" s="97"/>
      <c r="E3" s="97"/>
      <c r="F3" s="97"/>
      <c r="G3" s="97"/>
      <c r="H3" s="97"/>
      <c r="I3" s="97"/>
      <c r="J3" s="97"/>
      <c r="K3" s="97"/>
      <c r="L3" s="97"/>
      <c r="M3" s="97"/>
      <c r="N3" s="97"/>
      <c r="O3" s="97"/>
      <c r="P3" s="97"/>
      <c r="Q3" s="97"/>
    </row>
    <row r="4" spans="1:17" ht="8.25" customHeight="1" x14ac:dyDescent="0.25"/>
    <row r="5" spans="1:17" x14ac:dyDescent="0.25">
      <c r="A5" s="97" t="s">
        <v>672</v>
      </c>
      <c r="B5" s="97"/>
      <c r="C5" s="97"/>
      <c r="D5" s="97"/>
      <c r="E5" s="97"/>
      <c r="F5" s="97"/>
      <c r="G5" s="97"/>
      <c r="H5" s="97"/>
      <c r="I5" s="97"/>
      <c r="J5" s="97"/>
      <c r="K5" s="97"/>
      <c r="L5" s="97"/>
      <c r="M5" s="97"/>
      <c r="N5" s="97"/>
      <c r="O5" s="97"/>
      <c r="P5" s="97"/>
      <c r="Q5" s="97"/>
    </row>
    <row r="6" spans="1:17" ht="10.5" customHeight="1" x14ac:dyDescent="0.25"/>
    <row r="7" spans="1:17" s="1" customFormat="1" x14ac:dyDescent="0.25">
      <c r="A7" s="1" t="s">
        <v>687</v>
      </c>
    </row>
    <row r="8" spans="1:17" ht="9" customHeight="1" x14ac:dyDescent="0.25"/>
    <row r="9" spans="1:17" ht="33.75" customHeight="1" x14ac:dyDescent="0.25">
      <c r="A9" s="98" t="s">
        <v>688</v>
      </c>
      <c r="B9" s="98"/>
      <c r="C9" s="98"/>
      <c r="D9" s="98"/>
      <c r="E9" s="98"/>
      <c r="F9" s="98"/>
      <c r="G9" s="98"/>
      <c r="H9" s="98"/>
      <c r="I9" s="98"/>
      <c r="J9" s="98"/>
      <c r="K9" s="98"/>
      <c r="L9" s="98"/>
      <c r="M9" s="98"/>
      <c r="N9" s="98"/>
      <c r="O9" s="98"/>
      <c r="P9" s="98"/>
      <c r="Q9" s="98"/>
    </row>
    <row r="10" spans="1:17" x14ac:dyDescent="0.25">
      <c r="A10" s="14" t="s">
        <v>689</v>
      </c>
      <c r="B10" s="14"/>
    </row>
    <row r="11" spans="1:17" x14ac:dyDescent="0.25">
      <c r="A11" s="14" t="s">
        <v>695</v>
      </c>
      <c r="B11" s="14"/>
    </row>
    <row r="12" spans="1:17" x14ac:dyDescent="0.25">
      <c r="A12" s="14" t="s">
        <v>698</v>
      </c>
      <c r="B12" s="14"/>
    </row>
    <row r="13" spans="1:17" x14ac:dyDescent="0.25">
      <c r="A13" s="14" t="s">
        <v>697</v>
      </c>
      <c r="B13" s="14"/>
    </row>
    <row r="14" spans="1:17" x14ac:dyDescent="0.25">
      <c r="A14" t="s">
        <v>696</v>
      </c>
    </row>
    <row r="16" spans="1:17" ht="31.5" customHeight="1" x14ac:dyDescent="0.25">
      <c r="A16" s="91" t="s">
        <v>690</v>
      </c>
      <c r="B16" s="91"/>
      <c r="C16" s="91"/>
      <c r="D16" s="91"/>
      <c r="E16" s="91"/>
      <c r="F16" s="91"/>
      <c r="G16" s="91"/>
      <c r="H16" s="91"/>
      <c r="I16" s="91"/>
      <c r="J16" s="91"/>
      <c r="K16" s="91"/>
      <c r="L16" s="91"/>
      <c r="M16" s="91"/>
      <c r="N16" s="91"/>
      <c r="O16" s="91"/>
      <c r="P16" s="91"/>
      <c r="Q16" s="91"/>
    </row>
    <row r="17" spans="1:17" ht="31.5" customHeight="1" x14ac:dyDescent="0.25">
      <c r="A17" s="29"/>
      <c r="B17" s="29"/>
      <c r="C17" s="29"/>
      <c r="D17" s="29"/>
      <c r="E17" s="29"/>
      <c r="F17" s="29"/>
      <c r="G17" s="29"/>
      <c r="H17" s="29"/>
      <c r="I17" s="29"/>
      <c r="J17" s="29"/>
      <c r="K17" s="29"/>
      <c r="L17" s="29"/>
      <c r="M17" s="29"/>
      <c r="N17" s="29"/>
      <c r="O17" s="29"/>
      <c r="P17" s="29"/>
      <c r="Q17" s="29"/>
    </row>
    <row r="18" spans="1:17" ht="31.5" customHeight="1" x14ac:dyDescent="0.25">
      <c r="A18" s="42" t="s">
        <v>707</v>
      </c>
      <c r="B18" s="42" t="s">
        <v>711</v>
      </c>
      <c r="C18" s="42" t="s">
        <v>709</v>
      </c>
      <c r="D18" s="42" t="s">
        <v>710</v>
      </c>
      <c r="E18" s="29"/>
      <c r="F18" s="29"/>
      <c r="G18" s="29"/>
      <c r="H18" s="29"/>
      <c r="I18" s="29"/>
      <c r="J18" s="29"/>
      <c r="K18" s="29"/>
      <c r="L18" s="29"/>
      <c r="M18" s="29"/>
      <c r="N18" s="29"/>
      <c r="O18" s="29"/>
      <c r="P18" s="29"/>
      <c r="Q18" s="29"/>
    </row>
    <row r="19" spans="1:17" ht="31.5" customHeight="1" x14ac:dyDescent="0.25">
      <c r="A19" s="41" t="s">
        <v>712</v>
      </c>
      <c r="B19" s="41">
        <v>1</v>
      </c>
      <c r="C19" s="41">
        <f>COUNTIF(Citas_IPS_2!K2:K268,B19)</f>
        <v>25</v>
      </c>
      <c r="D19" s="41">
        <f ca="1">(SUMIF(Citas_IPS_2!K2:K268,'Funciones (50%)'!B19,Citas_IPS_2!J2:J268))/C19</f>
        <v>54774.248000000007</v>
      </c>
      <c r="E19" s="29"/>
      <c r="F19" s="29"/>
      <c r="G19" s="29"/>
      <c r="H19" s="29"/>
      <c r="I19" s="29"/>
      <c r="J19" s="29"/>
      <c r="K19" s="29"/>
      <c r="L19" s="29"/>
      <c r="M19" s="29"/>
      <c r="N19" s="29"/>
      <c r="O19" s="29"/>
      <c r="P19" s="29"/>
      <c r="Q19" s="29"/>
    </row>
    <row r="20" spans="1:17" ht="31.5" customHeight="1" x14ac:dyDescent="0.25">
      <c r="A20" s="41" t="s">
        <v>713</v>
      </c>
      <c r="B20" s="41">
        <v>2</v>
      </c>
      <c r="C20" s="41">
        <f>COUNTIF(Citas_IPS_2!K3:K269,B20)</f>
        <v>18</v>
      </c>
      <c r="D20" s="41">
        <f ca="1">(SUMIF(Citas_IPS_2!K3:K269,'Funciones (50%)'!B20,Citas_IPS_2!J3:J269))/C20</f>
        <v>58637.947222222225</v>
      </c>
      <c r="E20" s="29"/>
      <c r="F20" s="29"/>
      <c r="G20" s="29"/>
      <c r="H20" s="29"/>
      <c r="I20" s="29"/>
      <c r="J20" s="29"/>
      <c r="K20" s="29"/>
      <c r="L20" s="29"/>
      <c r="M20" s="29"/>
      <c r="N20" s="29"/>
      <c r="O20" s="29"/>
      <c r="P20" s="29"/>
      <c r="Q20" s="29"/>
    </row>
    <row r="21" spans="1:17" ht="31.5" customHeight="1" x14ac:dyDescent="0.25">
      <c r="A21" s="41" t="s">
        <v>714</v>
      </c>
      <c r="B21" s="41">
        <v>3</v>
      </c>
      <c r="C21" s="41">
        <f>COUNTIF(Citas_IPS_2!K4:K270,B21)</f>
        <v>14</v>
      </c>
      <c r="D21" s="41">
        <f ca="1">(SUMIF(Citas_IPS_2!K4:K270,'Funciones (50%)'!B21,Citas_IPS_2!J4:J270))/C21</f>
        <v>52018.764285714286</v>
      </c>
      <c r="E21" s="29"/>
      <c r="F21" s="29"/>
      <c r="G21" s="29"/>
      <c r="H21" s="29"/>
      <c r="I21" s="29"/>
      <c r="J21" s="29"/>
      <c r="K21" s="29"/>
      <c r="L21" s="29"/>
      <c r="M21" s="29"/>
      <c r="N21" s="29"/>
      <c r="O21" s="29"/>
      <c r="P21" s="29"/>
      <c r="Q21" s="29"/>
    </row>
    <row r="22" spans="1:17" ht="31.5" customHeight="1" x14ac:dyDescent="0.25">
      <c r="A22" s="41" t="s">
        <v>715</v>
      </c>
      <c r="B22" s="41">
        <v>4</v>
      </c>
      <c r="C22" s="41">
        <f>COUNTIF(Citas_IPS_2!K5:K271,B22)</f>
        <v>21</v>
      </c>
      <c r="D22" s="41">
        <f ca="1">(SUMIF(Citas_IPS_2!K5:K271,'Funciones (50%)'!B22,Citas_IPS_2!J5:J271))/C22</f>
        <v>46973.028571428578</v>
      </c>
      <c r="E22" s="29"/>
      <c r="F22" s="29"/>
      <c r="G22" s="29"/>
      <c r="H22" s="29"/>
      <c r="I22" s="29"/>
      <c r="J22" s="29"/>
      <c r="K22" s="29"/>
      <c r="L22" s="29"/>
      <c r="M22" s="29"/>
      <c r="N22" s="29"/>
      <c r="O22" s="29"/>
      <c r="P22" s="29"/>
      <c r="Q22" s="29"/>
    </row>
    <row r="23" spans="1:17" ht="31.5" customHeight="1" x14ac:dyDescent="0.25">
      <c r="A23" s="41" t="s">
        <v>716</v>
      </c>
      <c r="B23" s="41">
        <v>5</v>
      </c>
      <c r="C23" s="41">
        <f>COUNTIF(Citas_IPS_2!K6:K272,B23)</f>
        <v>29</v>
      </c>
      <c r="D23" s="41">
        <f ca="1">(SUMIF(Citas_IPS_2!K6:K272,'Funciones (50%)'!B23,Citas_IPS_2!J6:J272))/C23</f>
        <v>61122.098275862067</v>
      </c>
      <c r="E23" s="29"/>
      <c r="F23" s="29"/>
      <c r="G23" s="29"/>
      <c r="H23" s="29"/>
      <c r="I23" s="29"/>
      <c r="J23" s="29"/>
      <c r="K23" s="29"/>
      <c r="L23" s="29"/>
      <c r="M23" s="29"/>
      <c r="N23" s="29"/>
      <c r="O23" s="29"/>
      <c r="P23" s="29"/>
      <c r="Q23" s="29"/>
    </row>
    <row r="24" spans="1:17" ht="31.5" customHeight="1" x14ac:dyDescent="0.25">
      <c r="A24" s="41" t="s">
        <v>717</v>
      </c>
      <c r="B24" s="41">
        <v>6</v>
      </c>
      <c r="C24" s="41">
        <f>COUNTIF(Citas_IPS_2!K7:K273,B24)</f>
        <v>22</v>
      </c>
      <c r="D24" s="41">
        <f ca="1">(SUMIF(Citas_IPS_2!K7:K273,'Funciones (50%)'!B24,Citas_IPS_2!J7:J273))/C24</f>
        <v>51855.638636363641</v>
      </c>
      <c r="E24" s="29"/>
      <c r="F24" s="29"/>
      <c r="G24" s="29"/>
      <c r="H24" s="29"/>
      <c r="I24" s="29"/>
      <c r="J24" s="29"/>
      <c r="K24" s="29"/>
      <c r="L24" s="29"/>
      <c r="M24" s="29"/>
      <c r="N24" s="29"/>
      <c r="O24" s="29"/>
      <c r="P24" s="29"/>
      <c r="Q24" s="29"/>
    </row>
    <row r="25" spans="1:17" ht="31.5" customHeight="1" x14ac:dyDescent="0.25">
      <c r="A25" s="41" t="s">
        <v>718</v>
      </c>
      <c r="B25" s="41">
        <v>7</v>
      </c>
      <c r="C25" s="41">
        <f>COUNTIF(Citas_IPS_2!K8:K274,B25)</f>
        <v>24</v>
      </c>
      <c r="D25" s="41">
        <f ca="1">(SUMIF(Citas_IPS_2!K8:K274,'Funciones (50%)'!B25,Citas_IPS_2!J8:J274))/C25</f>
        <v>42168.666666666664</v>
      </c>
      <c r="E25" s="29"/>
      <c r="F25" s="29"/>
      <c r="G25" s="29"/>
      <c r="H25" s="29"/>
      <c r="I25" s="29"/>
      <c r="J25" s="29"/>
      <c r="K25" s="29"/>
      <c r="L25" s="29"/>
      <c r="M25" s="29"/>
      <c r="N25" s="29"/>
      <c r="O25" s="29"/>
      <c r="P25" s="29"/>
      <c r="Q25" s="29"/>
    </row>
    <row r="26" spans="1:17" ht="31.5" customHeight="1" x14ac:dyDescent="0.25">
      <c r="A26" s="41" t="s">
        <v>719</v>
      </c>
      <c r="B26" s="41">
        <v>8</v>
      </c>
      <c r="C26" s="41">
        <f>COUNTIF(Citas_IPS_2!K9:K275,B26)</f>
        <v>25</v>
      </c>
      <c r="D26" s="41">
        <f ca="1">(SUMIF(Citas_IPS_2!K9:K275,'Funciones (50%)'!B26,Citas_IPS_2!J9:J275))/C26</f>
        <v>46702.947999999997</v>
      </c>
      <c r="E26" s="29"/>
      <c r="F26" s="29"/>
      <c r="G26" s="29"/>
      <c r="H26" s="29"/>
      <c r="I26" s="29"/>
      <c r="J26" s="29"/>
      <c r="K26" s="29"/>
      <c r="L26" s="29"/>
      <c r="M26" s="29"/>
      <c r="N26" s="29"/>
      <c r="O26" s="29"/>
      <c r="P26" s="29"/>
      <c r="Q26" s="29"/>
    </row>
    <row r="27" spans="1:17" ht="31.5" customHeight="1" x14ac:dyDescent="0.25">
      <c r="A27" s="41" t="s">
        <v>720</v>
      </c>
      <c r="B27" s="41">
        <v>9</v>
      </c>
      <c r="C27" s="41">
        <f>COUNTIF(Citas_IPS_2!K10:K276,B27)</f>
        <v>25</v>
      </c>
      <c r="D27" s="41">
        <f ca="1">(SUMIF(Citas_IPS_2!K10:K276,'Funciones (50%)'!B27,Citas_IPS_2!J10:J276))/C27</f>
        <v>42762.117999999988</v>
      </c>
      <c r="E27" s="29"/>
      <c r="F27" s="29"/>
      <c r="G27" s="29"/>
      <c r="H27" s="29"/>
      <c r="I27" s="29"/>
      <c r="J27" s="29"/>
      <c r="K27" s="29"/>
      <c r="L27" s="29"/>
      <c r="M27" s="29"/>
      <c r="N27" s="29"/>
      <c r="O27" s="29"/>
      <c r="P27" s="29"/>
      <c r="Q27" s="29"/>
    </row>
    <row r="28" spans="1:17" ht="31.5" customHeight="1" x14ac:dyDescent="0.25">
      <c r="A28" s="41" t="s">
        <v>721</v>
      </c>
      <c r="B28" s="41">
        <v>10</v>
      </c>
      <c r="C28" s="41">
        <f>COUNTIF(Citas_IPS_2!K11:K277,B28)</f>
        <v>20</v>
      </c>
      <c r="D28" s="41">
        <f ca="1">(SUMIF(Citas_IPS_2!K11:K277,'Funciones (50%)'!B28,Citas_IPS_2!J11:J277))/C28</f>
        <v>46799.517500000002</v>
      </c>
      <c r="E28" s="29"/>
      <c r="F28" s="29"/>
      <c r="G28" s="29"/>
      <c r="H28" s="29"/>
      <c r="I28" s="29"/>
      <c r="J28" s="29"/>
      <c r="K28" s="29"/>
      <c r="L28" s="29"/>
      <c r="M28" s="29"/>
      <c r="N28" s="29"/>
      <c r="O28" s="29"/>
      <c r="P28" s="29"/>
      <c r="Q28" s="29"/>
    </row>
    <row r="29" spans="1:17" ht="31.5" customHeight="1" x14ac:dyDescent="0.25">
      <c r="A29" s="41" t="s">
        <v>722</v>
      </c>
      <c r="B29" s="41">
        <v>11</v>
      </c>
      <c r="C29" s="41">
        <f>COUNTIF(Citas_IPS_2!K12:K278,B29)</f>
        <v>9</v>
      </c>
      <c r="D29" s="41">
        <f ca="1">(SUMIF(Citas_IPS_2!K12:K278,'Funciones (50%)'!B29,Citas_IPS_2!J12:J278))/C29</f>
        <v>33960.788888888885</v>
      </c>
      <c r="E29" s="29"/>
      <c r="F29" s="29"/>
      <c r="G29" s="29"/>
      <c r="H29" s="29"/>
      <c r="I29" s="29"/>
      <c r="J29" s="29"/>
      <c r="K29" s="29"/>
      <c r="L29" s="29"/>
      <c r="M29" s="29"/>
      <c r="N29" s="29"/>
      <c r="O29" s="29"/>
      <c r="P29" s="29"/>
      <c r="Q29" s="29"/>
    </row>
    <row r="30" spans="1:17" ht="31.5" customHeight="1" x14ac:dyDescent="0.25">
      <c r="A30" s="41" t="s">
        <v>723</v>
      </c>
      <c r="B30" s="41">
        <v>12</v>
      </c>
      <c r="C30" s="41">
        <f>COUNTIF(Citas_IPS_2!K13:K279,B30)</f>
        <v>26</v>
      </c>
      <c r="D30" s="41">
        <f ca="1">(SUMIF(Citas_IPS_2!K13:K279,'Funciones (50%)'!B30,Citas_IPS_2!J13:J279))/C30</f>
        <v>57173.544230769236</v>
      </c>
      <c r="E30" s="29"/>
      <c r="F30" s="29"/>
      <c r="G30" s="29"/>
      <c r="H30" s="29"/>
      <c r="I30" s="29"/>
      <c r="J30" s="29"/>
      <c r="K30" s="29"/>
      <c r="L30" s="29"/>
      <c r="M30" s="29"/>
      <c r="N30" s="29"/>
      <c r="O30" s="29"/>
      <c r="P30" s="29"/>
      <c r="Q30" s="29"/>
    </row>
    <row r="31" spans="1:17" ht="31.5" customHeight="1" x14ac:dyDescent="0.25">
      <c r="A31" s="29"/>
      <c r="B31" s="29"/>
      <c r="C31" s="29"/>
      <c r="D31" s="29"/>
      <c r="E31" s="29"/>
      <c r="F31" s="29"/>
      <c r="G31" s="29"/>
      <c r="H31" s="29"/>
      <c r="I31" s="29"/>
      <c r="J31" s="29"/>
      <c r="K31" s="29"/>
      <c r="L31" s="29"/>
      <c r="M31" s="29"/>
      <c r="N31" s="29"/>
      <c r="O31" s="29"/>
      <c r="P31" s="29"/>
      <c r="Q31" s="29"/>
    </row>
    <row r="33" spans="1:17" ht="32.25" customHeight="1" thickBot="1" x14ac:dyDescent="0.3">
      <c r="A33" s="95" t="s">
        <v>691</v>
      </c>
      <c r="B33" s="95"/>
      <c r="C33" s="95"/>
      <c r="D33" s="95"/>
      <c r="E33" s="95"/>
      <c r="F33" s="95"/>
      <c r="G33" s="95"/>
      <c r="H33" s="95"/>
      <c r="I33" s="95"/>
      <c r="J33" s="95"/>
      <c r="K33" s="95"/>
      <c r="L33" s="95"/>
      <c r="M33" s="95"/>
      <c r="N33" s="95"/>
      <c r="O33" s="95"/>
      <c r="P33" s="95"/>
      <c r="Q33" s="95"/>
    </row>
    <row r="34" spans="1:17" ht="32.25" customHeight="1" thickBot="1" x14ac:dyDescent="0.3">
      <c r="A34" s="45" t="s">
        <v>725</v>
      </c>
      <c r="B34" s="46" t="s">
        <v>50</v>
      </c>
      <c r="C34" s="28"/>
      <c r="D34" s="28"/>
      <c r="E34" s="28"/>
      <c r="F34" s="28"/>
      <c r="G34" s="28"/>
      <c r="H34" s="28"/>
      <c r="I34" s="28"/>
      <c r="J34" s="28"/>
      <c r="K34" s="28"/>
      <c r="L34" s="28"/>
      <c r="M34" s="28"/>
      <c r="N34" s="28"/>
      <c r="O34" s="28"/>
      <c r="P34" s="28"/>
      <c r="Q34" s="28"/>
    </row>
    <row r="35" spans="1:17" ht="32.25" customHeight="1" x14ac:dyDescent="0.25">
      <c r="A35" s="44" t="s">
        <v>707</v>
      </c>
      <c r="B35" s="44" t="s">
        <v>711</v>
      </c>
      <c r="C35" s="43" t="s">
        <v>709</v>
      </c>
      <c r="D35" s="43" t="s">
        <v>726</v>
      </c>
      <c r="E35" s="28"/>
      <c r="F35" s="28"/>
      <c r="G35" s="28"/>
      <c r="H35" s="28"/>
      <c r="I35" s="28"/>
      <c r="J35" s="28"/>
      <c r="K35" s="28"/>
      <c r="L35" s="28"/>
      <c r="M35" s="28"/>
      <c r="N35" s="28"/>
      <c r="O35" s="28"/>
      <c r="P35" s="28"/>
      <c r="Q35" s="28"/>
    </row>
    <row r="36" spans="1:17" ht="21" customHeight="1" x14ac:dyDescent="0.25">
      <c r="A36" s="18" t="s">
        <v>712</v>
      </c>
      <c r="B36" s="18">
        <v>1</v>
      </c>
      <c r="C36" s="18">
        <f>COUNTIFS(Citas_IPS_2!H2:H268,'Funciones (50%)'!$B$34,Citas_IPS_2!K2:K268,'Funciones (50%)'!B36)</f>
        <v>1</v>
      </c>
      <c r="D36" s="18">
        <f ca="1">SUMIFS(Citas_IPS_2!J2:J268,Citas_IPS_2!H2:H268,'Funciones (50%)'!$B$34,Citas_IPS_2!K2:K268,'Funciones (50%)'!B36)</f>
        <v>76063</v>
      </c>
      <c r="E36" s="28"/>
      <c r="F36" s="28"/>
      <c r="G36" s="28"/>
      <c r="H36" s="28"/>
      <c r="I36" s="28"/>
      <c r="J36" s="28"/>
      <c r="K36" s="28"/>
      <c r="L36" s="28"/>
      <c r="M36" s="28"/>
      <c r="N36" s="28"/>
      <c r="O36" s="28"/>
      <c r="P36" s="28"/>
      <c r="Q36" s="28"/>
    </row>
    <row r="37" spans="1:17" ht="21" customHeight="1" x14ac:dyDescent="0.25">
      <c r="A37" s="18" t="s">
        <v>713</v>
      </c>
      <c r="B37" s="18">
        <v>2</v>
      </c>
      <c r="C37" s="18">
        <f>COUNTIFS(Citas_IPS_2!H3:H269,'Funciones (50%)'!$B$34,Citas_IPS_2!K3:K269,'Funciones (50%)'!B37)</f>
        <v>0</v>
      </c>
      <c r="D37" s="18">
        <f>SUMIFS(Citas_IPS_2!J3:J269,Citas_IPS_2!H3:H269,'Funciones (50%)'!$B$34,Citas_IPS_2!K3:K269,'Funciones (50%)'!B37)</f>
        <v>0</v>
      </c>
      <c r="E37" s="28"/>
      <c r="F37" s="28"/>
      <c r="G37" s="28"/>
      <c r="H37" s="28"/>
      <c r="I37" s="28"/>
      <c r="J37" s="28"/>
      <c r="K37" s="28"/>
      <c r="L37" s="28"/>
      <c r="M37" s="28"/>
      <c r="N37" s="28"/>
      <c r="O37" s="28"/>
      <c r="P37" s="28"/>
      <c r="Q37" s="28"/>
    </row>
    <row r="38" spans="1:17" ht="23.25" customHeight="1" x14ac:dyDescent="0.25">
      <c r="A38" s="18" t="s">
        <v>714</v>
      </c>
      <c r="B38" s="18">
        <v>3</v>
      </c>
      <c r="C38" s="18">
        <f>COUNTIFS(Citas_IPS_2!H4:H270,'Funciones (50%)'!$B$34,Citas_IPS_2!K4:K270,'Funciones (50%)'!B38)</f>
        <v>1</v>
      </c>
      <c r="D38" s="18">
        <f ca="1">SUMIFS(Citas_IPS_2!J4:J270,Citas_IPS_2!H4:H270,'Funciones (50%)'!$B$34,Citas_IPS_2!K4:K270,'Funciones (50%)'!B38)</f>
        <v>21952</v>
      </c>
      <c r="E38" s="28"/>
      <c r="F38" s="28"/>
      <c r="G38" s="28"/>
      <c r="H38" s="28"/>
      <c r="I38" s="28"/>
      <c r="J38" s="28"/>
      <c r="K38" s="28"/>
      <c r="L38" s="28"/>
      <c r="M38" s="28"/>
      <c r="N38" s="28"/>
      <c r="O38" s="28"/>
      <c r="P38" s="28"/>
      <c r="Q38" s="28"/>
    </row>
    <row r="39" spans="1:17" ht="18.75" customHeight="1" x14ac:dyDescent="0.25">
      <c r="A39" s="18" t="s">
        <v>715</v>
      </c>
      <c r="B39" s="18">
        <v>4</v>
      </c>
      <c r="C39" s="18">
        <f>COUNTIFS(Citas_IPS_2!H5:H271,'Funciones (50%)'!$B$34,Citas_IPS_2!K5:K271,'Funciones (50%)'!B39)</f>
        <v>0</v>
      </c>
      <c r="D39" s="18">
        <f>SUMIFS(Citas_IPS_2!J5:J271,Citas_IPS_2!H5:H271,'Funciones (50%)'!$B$34,Citas_IPS_2!K5:K271,'Funciones (50%)'!B39)</f>
        <v>0</v>
      </c>
      <c r="E39" s="28"/>
      <c r="F39" s="28"/>
      <c r="G39" s="28"/>
      <c r="H39" s="28"/>
      <c r="I39" s="28"/>
      <c r="J39" s="28"/>
      <c r="K39" s="28"/>
      <c r="L39" s="28"/>
      <c r="M39" s="28"/>
      <c r="N39" s="28"/>
      <c r="O39" s="28"/>
      <c r="P39" s="28"/>
      <c r="Q39" s="28"/>
    </row>
    <row r="40" spans="1:17" ht="21.75" customHeight="1" x14ac:dyDescent="0.25">
      <c r="A40" s="18" t="s">
        <v>716</v>
      </c>
      <c r="B40" s="18">
        <v>5</v>
      </c>
      <c r="C40" s="18">
        <f>COUNTIFS(Citas_IPS_2!H6:H272,'Funciones (50%)'!$B$34,Citas_IPS_2!K6:K272,'Funciones (50%)'!B40)</f>
        <v>1</v>
      </c>
      <c r="D40" s="18">
        <f ca="1">SUMIFS(Citas_IPS_2!J6:J272,Citas_IPS_2!H6:H272,'Funciones (50%)'!$B$34,Citas_IPS_2!K6:K272,'Funciones (50%)'!B40)</f>
        <v>37028</v>
      </c>
      <c r="E40" s="28"/>
      <c r="F40" s="28"/>
      <c r="G40" s="28"/>
      <c r="H40" s="28"/>
      <c r="I40" s="28"/>
      <c r="J40" s="28"/>
      <c r="K40" s="28"/>
      <c r="L40" s="28"/>
      <c r="M40" s="28"/>
      <c r="N40" s="28"/>
      <c r="O40" s="28"/>
      <c r="P40" s="28"/>
      <c r="Q40" s="28"/>
    </row>
    <row r="41" spans="1:17" ht="18" customHeight="1" x14ac:dyDescent="0.25">
      <c r="A41" s="18" t="s">
        <v>717</v>
      </c>
      <c r="B41" s="18">
        <v>6</v>
      </c>
      <c r="C41" s="18">
        <f>COUNTIFS(Citas_IPS_2!H7:H273,'Funciones (50%)'!$B$34,Citas_IPS_2!K7:K273,'Funciones (50%)'!B41)</f>
        <v>2</v>
      </c>
      <c r="D41" s="18">
        <f ca="1">SUMIFS(Citas_IPS_2!J7:J273,Citas_IPS_2!H7:H273,'Funciones (50%)'!$B$34,Citas_IPS_2!K7:K273,'Funciones (50%)'!B41)</f>
        <v>96675.8</v>
      </c>
      <c r="E41" s="28"/>
      <c r="F41" s="28"/>
      <c r="G41" s="28"/>
      <c r="H41" s="28"/>
      <c r="I41" s="28"/>
      <c r="J41" s="28"/>
      <c r="K41" s="28"/>
      <c r="L41" s="28"/>
      <c r="M41" s="28"/>
      <c r="N41" s="28"/>
      <c r="O41" s="28"/>
      <c r="P41" s="28"/>
      <c r="Q41" s="28"/>
    </row>
    <row r="42" spans="1:17" x14ac:dyDescent="0.25">
      <c r="A42" s="18" t="s">
        <v>718</v>
      </c>
      <c r="B42" s="18">
        <v>7</v>
      </c>
      <c r="C42" s="18">
        <f>COUNTIFS(Citas_IPS_2!H8:H274,'Funciones (50%)'!$B$34,Citas_IPS_2!K8:K274,'Funciones (50%)'!B42)</f>
        <v>0</v>
      </c>
      <c r="D42" s="18">
        <f>SUMIFS(Citas_IPS_2!J8:J274,Citas_IPS_2!H8:H274,'Funciones (50%)'!$B$34,Citas_IPS_2!K8:K274,'Funciones (50%)'!B42)</f>
        <v>0</v>
      </c>
    </row>
    <row r="43" spans="1:17" x14ac:dyDescent="0.25">
      <c r="A43" s="18" t="s">
        <v>719</v>
      </c>
      <c r="B43" s="18">
        <v>8</v>
      </c>
      <c r="C43" s="18">
        <f>COUNTIFS(Citas_IPS_2!H9:H275,'Funciones (50%)'!$B$34,Citas_IPS_2!K9:K275,'Funciones (50%)'!B43)</f>
        <v>1</v>
      </c>
      <c r="D43" s="18">
        <f ca="1">SUMIFS(Citas_IPS_2!J9:J275,Citas_IPS_2!H9:H275,'Funciones (50%)'!$B$34,Citas_IPS_2!K9:K275,'Funciones (50%)'!B43)</f>
        <v>47937.95</v>
      </c>
      <c r="H43" s="15"/>
      <c r="I43" s="15"/>
      <c r="J43" s="15"/>
    </row>
    <row r="44" spans="1:17" x14ac:dyDescent="0.25">
      <c r="A44" s="18" t="s">
        <v>720</v>
      </c>
      <c r="B44" s="18">
        <v>9</v>
      </c>
      <c r="C44" s="18">
        <f>COUNTIFS(Citas_IPS_2!H10:H276,'Funciones (50%)'!$B$34,Citas_IPS_2!K10:K276,'Funciones (50%)'!B44)</f>
        <v>3</v>
      </c>
      <c r="D44" s="18">
        <f ca="1">SUMIFS(Citas_IPS_2!J10:J276,Citas_IPS_2!H10:H276,'Funciones (50%)'!$B$34,Citas_IPS_2!K10:K276,'Funciones (50%)'!B44)</f>
        <v>126836.85</v>
      </c>
      <c r="H44" s="15"/>
      <c r="I44" s="15"/>
      <c r="J44" s="15"/>
    </row>
    <row r="45" spans="1:17" ht="26.1" customHeight="1" x14ac:dyDescent="0.25">
      <c r="A45" s="18" t="s">
        <v>721</v>
      </c>
      <c r="B45" s="18">
        <v>10</v>
      </c>
      <c r="C45" s="18">
        <f>COUNTIFS(Citas_IPS_2!H11:H277,'Funciones (50%)'!$B$34,Citas_IPS_2!K11:K277,'Funciones (50%)'!B45)</f>
        <v>1</v>
      </c>
      <c r="D45" s="18">
        <f ca="1">SUMIFS(Citas_IPS_2!J11:J277,Citas_IPS_2!H11:H277,'Funciones (50%)'!$B$34,Citas_IPS_2!K11:K277,'Funciones (50%)'!B45)</f>
        <v>17665.25</v>
      </c>
      <c r="E45" s="28"/>
      <c r="F45" s="28"/>
      <c r="G45" s="28"/>
      <c r="H45" s="28"/>
      <c r="I45" s="28"/>
      <c r="J45" s="28"/>
      <c r="K45" s="28"/>
      <c r="L45" s="28"/>
      <c r="M45" s="28"/>
      <c r="N45" s="28"/>
      <c r="O45" s="28"/>
      <c r="P45" s="28"/>
      <c r="Q45" s="28"/>
    </row>
    <row r="46" spans="1:17" x14ac:dyDescent="0.25">
      <c r="A46" s="18" t="s">
        <v>722</v>
      </c>
      <c r="B46" s="18">
        <v>11</v>
      </c>
      <c r="C46" s="18">
        <f>COUNTIFS(Citas_IPS_2!H12:H278,'Funciones (50%)'!$B$34,Citas_IPS_2!K12:K278,'Funciones (50%)'!B46)</f>
        <v>0</v>
      </c>
      <c r="D46" s="18">
        <f>SUMIFS(Citas_IPS_2!J12:J278,Citas_IPS_2!H12:H278,'Funciones (50%)'!$B$34,Citas_IPS_2!K12:K278,'Funciones (50%)'!B46)</f>
        <v>0</v>
      </c>
      <c r="H46" s="15"/>
      <c r="I46" s="15"/>
      <c r="J46" s="15"/>
    </row>
    <row r="47" spans="1:17" x14ac:dyDescent="0.25">
      <c r="A47" s="18" t="s">
        <v>723</v>
      </c>
      <c r="B47" s="18">
        <v>12</v>
      </c>
      <c r="C47" s="18">
        <f>COUNTIFS(Citas_IPS_2!H13:H279,'Funciones (50%)'!$B$34,Citas_IPS_2!K13:K279,'Funciones (50%)'!B47)</f>
        <v>2</v>
      </c>
      <c r="D47" s="18">
        <f ca="1">SUMIFS(Citas_IPS_2!J13:J279,Citas_IPS_2!H13:H279,'Funciones (50%)'!$B$34,Citas_IPS_2!K13:K279,'Funciones (50%)'!B47)</f>
        <v>59567.85</v>
      </c>
      <c r="H47" s="15"/>
      <c r="I47" s="15"/>
      <c r="J47" s="15"/>
    </row>
    <row r="48" spans="1:17" x14ac:dyDescent="0.25">
      <c r="A48" s="15"/>
      <c r="B48" s="15"/>
      <c r="C48" s="15"/>
      <c r="D48" s="15"/>
      <c r="H48" s="15"/>
      <c r="I48" s="15"/>
      <c r="J48" s="15"/>
    </row>
    <row r="49" spans="1:10" x14ac:dyDescent="0.25">
      <c r="A49" s="15"/>
      <c r="B49" s="15"/>
      <c r="C49" s="15"/>
      <c r="D49" s="15"/>
      <c r="H49" s="15"/>
      <c r="I49" s="15"/>
      <c r="J49" s="15"/>
    </row>
    <row r="50" spans="1:10" x14ac:dyDescent="0.25">
      <c r="A50" t="s">
        <v>692</v>
      </c>
      <c r="H50" s="15"/>
      <c r="I50" s="15"/>
      <c r="J50" s="15"/>
    </row>
    <row r="51" spans="1:10" ht="15.75" thickBot="1" x14ac:dyDescent="0.3">
      <c r="H51" s="15"/>
      <c r="I51" s="15"/>
      <c r="J51" s="15"/>
    </row>
    <row r="52" spans="1:10" ht="15.75" thickBot="1" x14ac:dyDescent="0.3">
      <c r="A52" s="47" t="s">
        <v>19</v>
      </c>
      <c r="B52" s="48" t="s">
        <v>26</v>
      </c>
      <c r="C52" s="51"/>
      <c r="H52" s="15"/>
      <c r="I52" s="15"/>
      <c r="J52" s="15"/>
    </row>
    <row r="53" spans="1:10" x14ac:dyDescent="0.25">
      <c r="A53" s="44" t="s">
        <v>707</v>
      </c>
      <c r="B53" s="44" t="s">
        <v>711</v>
      </c>
      <c r="C53" s="44" t="s">
        <v>709</v>
      </c>
      <c r="D53" s="43" t="s">
        <v>726</v>
      </c>
      <c r="H53" s="15"/>
      <c r="I53" s="15"/>
      <c r="J53" s="15"/>
    </row>
    <row r="54" spans="1:10" x14ac:dyDescent="0.25">
      <c r="A54" s="18" t="s">
        <v>712</v>
      </c>
      <c r="B54" s="18">
        <v>1</v>
      </c>
      <c r="C54" s="18">
        <f>COUNTIFS(Citas_IPS_2!G2:G268,$B$52,Citas_IPS_2!K2:K268,'Funciones (50%)'!B54)</f>
        <v>6</v>
      </c>
      <c r="D54" s="18">
        <f ca="1">SUMIFS(Citas_IPS_2!J2:J268,Citas_IPS_2!G2:G268,'Funciones (50%)'!$B$52,Citas_IPS_2!K2:K268,'Funciones (50%)'!B54)</f>
        <v>337056.2</v>
      </c>
      <c r="H54" s="15"/>
      <c r="I54" s="15"/>
      <c r="J54" s="15"/>
    </row>
    <row r="55" spans="1:10" x14ac:dyDescent="0.25">
      <c r="A55" s="18" t="s">
        <v>713</v>
      </c>
      <c r="B55" s="18">
        <v>2</v>
      </c>
      <c r="C55" s="18">
        <f>COUNTIFS(Citas_IPS_2!G3:G269,$B$52,Citas_IPS_2!K3:K269,'Funciones (50%)'!B55)</f>
        <v>1</v>
      </c>
      <c r="D55" s="18">
        <f ca="1">SUMIFS(Citas_IPS_2!J3:J269,Citas_IPS_2!G3:G269,'Funciones (50%)'!$B$52,Citas_IPS_2!K3:K269,'Funciones (50%)'!B55)</f>
        <v>79407.649999999994</v>
      </c>
      <c r="H55" s="15"/>
      <c r="I55" s="15"/>
      <c r="J55" s="15"/>
    </row>
    <row r="56" spans="1:10" x14ac:dyDescent="0.25">
      <c r="A56" s="18" t="s">
        <v>714</v>
      </c>
      <c r="B56" s="18">
        <v>3</v>
      </c>
      <c r="C56" s="18">
        <f>COUNTIFS(Citas_IPS_2!G4:G270,$B$52,Citas_IPS_2!K4:K270,'Funciones (50%)'!B56)</f>
        <v>1</v>
      </c>
      <c r="D56" s="18">
        <f ca="1">SUMIFS(Citas_IPS_2!J4:J270,Citas_IPS_2!G4:G270,'Funciones (50%)'!$B$52,Citas_IPS_2!K4:K270,'Funciones (50%)'!B56)</f>
        <v>63787</v>
      </c>
      <c r="H56" s="15"/>
      <c r="I56" s="15"/>
      <c r="J56" s="15"/>
    </row>
    <row r="57" spans="1:10" x14ac:dyDescent="0.25">
      <c r="A57" s="18" t="s">
        <v>715</v>
      </c>
      <c r="B57" s="18">
        <v>4</v>
      </c>
      <c r="C57" s="18">
        <f>COUNTIFS(Citas_IPS_2!G5:G271,$B$52,Citas_IPS_2!K5:K271,'Funciones (50%)'!B57)</f>
        <v>10</v>
      </c>
      <c r="D57" s="18">
        <f ca="1">SUMIFS(Citas_IPS_2!J5:J271,Citas_IPS_2!G5:G271,'Funciones (50%)'!$B$52,Citas_IPS_2!K5:K271,'Funciones (50%)'!B57)</f>
        <v>411620.8000000001</v>
      </c>
      <c r="H57" s="15"/>
      <c r="I57" s="15"/>
      <c r="J57" s="15"/>
    </row>
    <row r="58" spans="1:10" x14ac:dyDescent="0.25">
      <c r="A58" s="18" t="s">
        <v>716</v>
      </c>
      <c r="B58" s="18">
        <v>5</v>
      </c>
      <c r="C58" s="18">
        <f>COUNTIFS(Citas_IPS_2!G6:G272,$B$52,Citas_IPS_2!K6:K272,'Funciones (50%)'!B58)</f>
        <v>7</v>
      </c>
      <c r="D58" s="18">
        <f ca="1">SUMIFS(Citas_IPS_2!J6:J272,Citas_IPS_2!G6:G272,'Funciones (50%)'!$B$52,Citas_IPS_2!K6:K272,'Funciones (50%)'!B58)</f>
        <v>370812</v>
      </c>
      <c r="H58" s="15"/>
      <c r="I58" s="15"/>
      <c r="J58" s="15"/>
    </row>
    <row r="59" spans="1:10" x14ac:dyDescent="0.25">
      <c r="A59" s="18" t="s">
        <v>717</v>
      </c>
      <c r="B59" s="18">
        <v>6</v>
      </c>
      <c r="C59" s="18">
        <f>COUNTIFS(Citas_IPS_2!G7:G273,$B$52,Citas_IPS_2!K7:K273,'Funciones (50%)'!B59)</f>
        <v>4</v>
      </c>
      <c r="D59" s="18">
        <f ca="1">SUMIFS(Citas_IPS_2!J7:J273,Citas_IPS_2!G7:G273,'Funciones (50%)'!$B$52,Citas_IPS_2!K7:K273,'Funciones (50%)'!B59)</f>
        <v>245124.25</v>
      </c>
      <c r="H59" s="15"/>
      <c r="I59" s="15"/>
      <c r="J59" s="15"/>
    </row>
    <row r="60" spans="1:10" x14ac:dyDescent="0.25">
      <c r="A60" s="18" t="s">
        <v>718</v>
      </c>
      <c r="B60" s="18">
        <v>7</v>
      </c>
      <c r="C60" s="18">
        <f>COUNTIFS(Citas_IPS_2!G8:G274,$B$52,Citas_IPS_2!K8:K274,'Funciones (50%)'!B60)</f>
        <v>7</v>
      </c>
      <c r="D60" s="18">
        <f ca="1">SUMIFS(Citas_IPS_2!J8:J274,Citas_IPS_2!G8:G274,'Funciones (50%)'!$B$52,Citas_IPS_2!K8:K274,'Funciones (50%)'!B60)</f>
        <v>298338.90000000002</v>
      </c>
      <c r="H60" s="15"/>
      <c r="I60" s="15"/>
      <c r="J60" s="15"/>
    </row>
    <row r="61" spans="1:10" x14ac:dyDescent="0.25">
      <c r="A61" s="18" t="s">
        <v>719</v>
      </c>
      <c r="B61" s="18">
        <v>8</v>
      </c>
      <c r="C61" s="18">
        <f>COUNTIFS(Citas_IPS_2!G9:G275,$B$52,Citas_IPS_2!K9:K275,'Funciones (50%)'!B61)</f>
        <v>6</v>
      </c>
      <c r="D61" s="18">
        <f ca="1">SUMIFS(Citas_IPS_2!J9:J275,Citas_IPS_2!G9:G275,'Funciones (50%)'!$B$52,Citas_IPS_2!K9:K275,'Funciones (50%)'!B61)</f>
        <v>251584.15000000002</v>
      </c>
      <c r="H61" s="15"/>
      <c r="I61" s="15"/>
      <c r="J61" s="15"/>
    </row>
    <row r="62" spans="1:10" x14ac:dyDescent="0.25">
      <c r="A62" s="18" t="s">
        <v>720</v>
      </c>
      <c r="B62" s="18">
        <v>9</v>
      </c>
      <c r="C62" s="18">
        <f>COUNTIFS(Citas_IPS_2!G10:G276,$B$52,Citas_IPS_2!K10:K276,'Funciones (50%)'!B62)</f>
        <v>6</v>
      </c>
      <c r="D62" s="18">
        <f ca="1">SUMIFS(Citas_IPS_2!J10:J276,Citas_IPS_2!G10:G276,'Funciones (50%)'!$B$52,Citas_IPS_2!K10:K276,'Funciones (50%)'!B62)</f>
        <v>220139</v>
      </c>
      <c r="H62" s="15"/>
      <c r="I62" s="15"/>
      <c r="J62" s="15"/>
    </row>
    <row r="63" spans="1:10" x14ac:dyDescent="0.25">
      <c r="A63" s="18" t="s">
        <v>721</v>
      </c>
      <c r="B63" s="18">
        <v>10</v>
      </c>
      <c r="C63" s="18">
        <f>COUNTIFS(Citas_IPS_2!G11:G277,$B$52,Citas_IPS_2!K11:K277,'Funciones (50%)'!B63)</f>
        <v>4</v>
      </c>
      <c r="D63" s="18">
        <f ca="1">SUMIFS(Citas_IPS_2!J11:J277,Citas_IPS_2!G11:G277,'Funciones (50%)'!$B$52,Citas_IPS_2!K11:K277,'Funciones (50%)'!B63)</f>
        <v>147700.65</v>
      </c>
      <c r="H63" s="15"/>
      <c r="I63" s="15"/>
      <c r="J63" s="15"/>
    </row>
    <row r="64" spans="1:10" x14ac:dyDescent="0.25">
      <c r="A64" s="18" t="s">
        <v>722</v>
      </c>
      <c r="B64" s="18">
        <v>11</v>
      </c>
      <c r="C64" s="18">
        <f>COUNTIFS(Citas_IPS_2!G12:G278,$B$52,Citas_IPS_2!K12:K278,'Funciones (50%)'!B64)</f>
        <v>1</v>
      </c>
      <c r="D64" s="18">
        <f ca="1">SUMIFS(Citas_IPS_2!J12:J278,Citas_IPS_2!G12:G278,'Funciones (50%)'!$B$52,Citas_IPS_2!K12:K278,'Funciones (50%)'!B64)</f>
        <v>55182.65</v>
      </c>
      <c r="H64" s="15"/>
      <c r="I64" s="15"/>
      <c r="J64" s="15"/>
    </row>
    <row r="65" spans="1:10" x14ac:dyDescent="0.25">
      <c r="A65" s="18" t="s">
        <v>723</v>
      </c>
      <c r="B65" s="18">
        <v>12</v>
      </c>
      <c r="C65" s="18">
        <f>COUNTIFS(Citas_IPS_2!G13:G279,$B$52,Citas_IPS_2!K13:K279,'Funciones (50%)'!B65)</f>
        <v>9</v>
      </c>
      <c r="D65" s="18">
        <f ca="1">SUMIFS(Citas_IPS_2!J13:J279,Citas_IPS_2!G13:G279,'Funciones (50%)'!$B$52,Citas_IPS_2!K13:K279,'Funciones (50%)'!B65)</f>
        <v>560885.1</v>
      </c>
      <c r="H65" s="15"/>
      <c r="I65" s="15"/>
      <c r="J65" s="15"/>
    </row>
    <row r="66" spans="1:10" x14ac:dyDescent="0.25">
      <c r="H66" s="15"/>
      <c r="I66" s="15"/>
      <c r="J66" s="15"/>
    </row>
    <row r="67" spans="1:10" ht="195" x14ac:dyDescent="0.25">
      <c r="A67" s="28" t="s">
        <v>693</v>
      </c>
      <c r="H67" s="15"/>
      <c r="I67" s="15"/>
      <c r="J67" s="15"/>
    </row>
    <row r="68" spans="1:10" x14ac:dyDescent="0.25">
      <c r="A68" s="39"/>
      <c r="H68" s="15"/>
      <c r="I68" s="15"/>
      <c r="J68" s="15"/>
    </row>
    <row r="69" spans="1:10" ht="15.75" thickBot="1" x14ac:dyDescent="0.3">
      <c r="A69" s="52" t="s">
        <v>727</v>
      </c>
      <c r="B69" s="8" t="s">
        <v>477</v>
      </c>
      <c r="H69" s="15"/>
      <c r="I69" s="15"/>
      <c r="J69" s="15"/>
    </row>
    <row r="70" spans="1:10" x14ac:dyDescent="0.25">
      <c r="A70" s="54" t="s">
        <v>728</v>
      </c>
      <c r="B70" s="55" t="s">
        <v>729</v>
      </c>
      <c r="C70" s="55" t="s">
        <v>730</v>
      </c>
      <c r="D70" s="55" t="s">
        <v>725</v>
      </c>
      <c r="E70" s="56" t="s">
        <v>19</v>
      </c>
      <c r="F70" s="53"/>
      <c r="H70" s="15"/>
      <c r="I70" s="15"/>
      <c r="J70" s="15"/>
    </row>
    <row r="71" spans="1:10" ht="15.75" thickBot="1" x14ac:dyDescent="0.3">
      <c r="A71" s="57">
        <f>_xlfn.XLOOKUP(B69,Citas_IPS_2!D2:D268,Citas_IPS_2!A2:A268)</f>
        <v>38562</v>
      </c>
      <c r="B71" s="58">
        <f ca="1">_xlfn.XLOOKUP(B69,Citas_IPS_2!D2:D268,Citas_IPS_2!E2:E268)</f>
        <v>15</v>
      </c>
      <c r="C71" s="58" t="str">
        <f>_xlfn.XLOOKUP(B69,Citas_IPS_2!D2:D268,Citas_IPS_2!B2:B268)</f>
        <v>Alejandro  Pelaez Mora</v>
      </c>
      <c r="D71" s="58" t="str">
        <f>_xlfn.XLOOKUP(B69,Citas_IPS_2!D2:D268,Citas_IPS_2!H2:H268)</f>
        <v>Cirugia General</v>
      </c>
      <c r="E71" s="59" t="str">
        <f>_xlfn.XLOOKUP(B69,Citas_IPS_2!D2:D268,Citas_IPS_2!G2:G268)</f>
        <v>CONSULTA DE URGENCIAS, POR MEDICINA GENERAL</v>
      </c>
      <c r="F71" s="53"/>
      <c r="H71" s="15"/>
      <c r="I71" s="15"/>
      <c r="J71" s="15"/>
    </row>
    <row r="72" spans="1:10" x14ac:dyDescent="0.25">
      <c r="A72" s="39"/>
      <c r="H72" s="15"/>
      <c r="I72" s="15"/>
      <c r="J72" s="15"/>
    </row>
    <row r="73" spans="1:10" x14ac:dyDescent="0.25">
      <c r="H73" s="15"/>
      <c r="I73" s="15"/>
      <c r="J73" s="15"/>
    </row>
    <row r="74" spans="1:10" x14ac:dyDescent="0.25">
      <c r="A74" s="16" t="s">
        <v>703</v>
      </c>
      <c r="H74" s="15"/>
      <c r="I74" s="15"/>
      <c r="J74" s="15"/>
    </row>
    <row r="75" spans="1:10" x14ac:dyDescent="0.25">
      <c r="H75" s="15"/>
      <c r="I75" s="15"/>
      <c r="J75" s="15"/>
    </row>
    <row r="76" spans="1:10" x14ac:dyDescent="0.25">
      <c r="H76" s="15"/>
      <c r="I76" s="15"/>
      <c r="J76" s="15"/>
    </row>
    <row r="77" spans="1:10" x14ac:dyDescent="0.25">
      <c r="H77" s="15"/>
      <c r="I77" s="15"/>
      <c r="J77" s="15"/>
    </row>
    <row r="78" spans="1:10" x14ac:dyDescent="0.25">
      <c r="A78" s="33" t="s">
        <v>19</v>
      </c>
      <c r="B78" s="36" t="s">
        <v>18</v>
      </c>
      <c r="C78" s="37"/>
      <c r="D78" s="37"/>
      <c r="E78" s="38"/>
      <c r="F78" s="92" t="s">
        <v>673</v>
      </c>
      <c r="H78" s="15"/>
      <c r="I78" s="15"/>
      <c r="J78" s="15"/>
    </row>
    <row r="79" spans="1:10" x14ac:dyDescent="0.25">
      <c r="A79" s="34"/>
      <c r="B79" s="36" t="s">
        <v>674</v>
      </c>
      <c r="C79" s="38"/>
      <c r="D79" s="36" t="s">
        <v>675</v>
      </c>
      <c r="E79" s="38"/>
      <c r="F79" s="93"/>
      <c r="I79" s="15"/>
      <c r="J79" s="15"/>
    </row>
    <row r="80" spans="1:10" x14ac:dyDescent="0.25">
      <c r="A80" s="35"/>
      <c r="B80" s="17" t="s">
        <v>676</v>
      </c>
      <c r="C80" s="17" t="s">
        <v>677</v>
      </c>
      <c r="D80" s="17" t="s">
        <v>676</v>
      </c>
      <c r="E80" s="17" t="s">
        <v>677</v>
      </c>
      <c r="F80" s="94"/>
    </row>
    <row r="81" spans="1:6" ht="60" x14ac:dyDescent="0.25">
      <c r="A81" s="31" t="s">
        <v>26</v>
      </c>
      <c r="B81" s="17">
        <f>COUNTIFS(Citas_IPS_2!G2:G268,'Funciones (50%)'!A81,Citas_IPS_2!F2:F268,"F")</f>
        <v>36</v>
      </c>
      <c r="C81" s="61">
        <f>B81/COUNT(Citas_IPS_2!K2:K268)</f>
        <v>0.1348314606741573</v>
      </c>
      <c r="D81" s="17">
        <f>COUNTIFS(Citas_IPS_2!G2:G268,'Funciones (50%)'!A81,Citas_IPS_2!F2:F268,"M")</f>
        <v>27</v>
      </c>
      <c r="E81" s="61">
        <f>D81/COUNT(Citas_IPS_2!K2:K268)</f>
        <v>0.10112359550561797</v>
      </c>
      <c r="F81" s="23">
        <f>B81+D81</f>
        <v>63</v>
      </c>
    </row>
    <row r="82" spans="1:6" ht="60" x14ac:dyDescent="0.25">
      <c r="A82" s="31" t="s">
        <v>29</v>
      </c>
      <c r="B82" s="17">
        <f>COUNTIFS(Citas_IPS_2!G3:G269,'Funciones (50%)'!A82,Citas_IPS_2!F3:F269,"F")</f>
        <v>41</v>
      </c>
      <c r="C82" s="61">
        <f>B82/COUNT(Citas_IPS_2!K3:K269)</f>
        <v>0.15413533834586465</v>
      </c>
      <c r="D82" s="17">
        <f>COUNTIFS(Citas_IPS_2!G3:G269,'Funciones (50%)'!A82,Citas_IPS_2!F3:F269,"M")</f>
        <v>38</v>
      </c>
      <c r="E82" s="61">
        <f>D82/COUNT(Citas_IPS_2!K3:K269)</f>
        <v>0.14285714285714285</v>
      </c>
      <c r="F82" s="35">
        <f t="shared" ref="F82:F85" si="0">B82+D82</f>
        <v>79</v>
      </c>
    </row>
    <row r="83" spans="1:6" ht="45" x14ac:dyDescent="0.25">
      <c r="A83" s="31" t="s">
        <v>35</v>
      </c>
      <c r="B83" s="17">
        <f>COUNTIFS(Citas_IPS_2!G4:G270,'Funciones (50%)'!A83,Citas_IPS_2!F4:F270,"F")</f>
        <v>42</v>
      </c>
      <c r="C83" s="61">
        <f>B83/COUNT(Citas_IPS_2!K4:K270)</f>
        <v>0.15849056603773584</v>
      </c>
      <c r="D83" s="17">
        <f>COUNTIFS(Citas_IPS_2!G4:G270,'Funciones (50%)'!A83,Citas_IPS_2!F4:F270,"M")</f>
        <v>50</v>
      </c>
      <c r="E83" s="61">
        <f>D83/COUNT(Citas_IPS_2!K4:K270)</f>
        <v>0.18867924528301888</v>
      </c>
      <c r="F83" s="35">
        <f t="shared" si="0"/>
        <v>92</v>
      </c>
    </row>
    <row r="84" spans="1:6" ht="45" x14ac:dyDescent="0.25">
      <c r="A84" s="31" t="s">
        <v>45</v>
      </c>
      <c r="B84" s="17">
        <f>COUNTIFS(Citas_IPS_2!G5:G271,'Funciones (50%)'!A84,Citas_IPS_2!F5:F271,"F")</f>
        <v>7</v>
      </c>
      <c r="C84" s="61">
        <f>B84/COUNT(Citas_IPS_2!K5:K271)</f>
        <v>2.6515151515151516E-2</v>
      </c>
      <c r="D84" s="17">
        <f>COUNTIFS(Citas_IPS_2!G5:G271,'Funciones (50%)'!A84,Citas_IPS_2!F5:F271,"M")</f>
        <v>25</v>
      </c>
      <c r="E84" s="61">
        <f>D84/COUNT(Citas_IPS_2!K5:K271)</f>
        <v>9.4696969696969696E-2</v>
      </c>
      <c r="F84" s="35">
        <f t="shared" si="0"/>
        <v>32</v>
      </c>
    </row>
    <row r="85" spans="1:6" ht="45" x14ac:dyDescent="0.25">
      <c r="A85" s="32" t="s">
        <v>55</v>
      </c>
      <c r="B85" s="17">
        <f>COUNTIFS(Citas_IPS_2!G6:G272,'Funciones (50%)'!A85,Citas_IPS_2!F6:F272,"F")</f>
        <v>1</v>
      </c>
      <c r="C85" s="61">
        <f>B85/COUNT(Citas_IPS_2!K6:K272)</f>
        <v>3.8022813688212928E-3</v>
      </c>
      <c r="D85" s="17">
        <f>COUNTIFS(Citas_IPS_2!G6:G272,'Funciones (50%)'!A85,Citas_IPS_2!F6:F272,"M")</f>
        <v>0</v>
      </c>
      <c r="E85" s="61">
        <f>D85/COUNT(Citas_IPS_2!K6:K272)</f>
        <v>0</v>
      </c>
      <c r="F85" s="35">
        <f t="shared" si="0"/>
        <v>1</v>
      </c>
    </row>
    <row r="86" spans="1:6" x14ac:dyDescent="0.25">
      <c r="A86" s="17"/>
      <c r="B86" s="18"/>
      <c r="C86" s="18"/>
      <c r="D86" s="18"/>
      <c r="E86" s="18"/>
      <c r="F86" s="18"/>
    </row>
    <row r="87" spans="1:6" x14ac:dyDescent="0.25">
      <c r="A87" s="19" t="s">
        <v>673</v>
      </c>
      <c r="B87" s="20"/>
      <c r="C87" s="20"/>
      <c r="D87" s="20"/>
      <c r="E87" s="20"/>
      <c r="F87" s="20">
        <f>SUM(F81:F86)</f>
        <v>267</v>
      </c>
    </row>
    <row r="88" spans="1:6" ht="17.25" customHeight="1" x14ac:dyDescent="0.25"/>
    <row r="89" spans="1:6" x14ac:dyDescent="0.25">
      <c r="A89" s="33" t="s">
        <v>19</v>
      </c>
      <c r="B89" s="36" t="s">
        <v>18</v>
      </c>
      <c r="C89" s="37"/>
      <c r="D89" s="37"/>
      <c r="E89" s="38"/>
      <c r="F89" s="92" t="s">
        <v>673</v>
      </c>
    </row>
    <row r="90" spans="1:6" x14ac:dyDescent="0.25">
      <c r="A90" s="34"/>
      <c r="B90" s="36" t="s">
        <v>674</v>
      </c>
      <c r="C90" s="38"/>
      <c r="D90" s="36" t="s">
        <v>675</v>
      </c>
      <c r="E90" s="38"/>
      <c r="F90" s="93"/>
    </row>
    <row r="91" spans="1:6" x14ac:dyDescent="0.25">
      <c r="A91" s="35"/>
      <c r="B91" s="17" t="s">
        <v>676</v>
      </c>
      <c r="C91" s="17" t="s">
        <v>677</v>
      </c>
      <c r="D91" s="17" t="s">
        <v>676</v>
      </c>
      <c r="E91" s="17" t="s">
        <v>677</v>
      </c>
      <c r="F91" s="94"/>
    </row>
    <row r="92" spans="1:6" ht="60" x14ac:dyDescent="0.25">
      <c r="A92" s="31" t="s">
        <v>26</v>
      </c>
      <c r="B92" s="17">
        <f ca="1">SUMIFS(Citas_IPS_2!J2:J268,Citas_IPS_2!G2:G268,'Funciones (50%)'!A92,Citas_IPS_2!F2:F268,"F")</f>
        <v>1713951.9999999988</v>
      </c>
      <c r="C92" s="61">
        <f ca="1">B92/SUM(Citas_IPS_2!J2:J268)</f>
        <v>0.12870086597496261</v>
      </c>
      <c r="D92" s="17">
        <f ca="1">SUMIFS(Citas_IPS_2!J2:J268,Citas_IPS_2!G2:G268,'Funciones (50%)'!A92,Citas_IPS_2!F2:F268,"M")</f>
        <v>1358967</v>
      </c>
      <c r="E92" s="61">
        <f ca="1">D92/SUM(Citas_IPS_2!J2:J268)</f>
        <v>0.10204499876974216</v>
      </c>
      <c r="F92" s="23">
        <f ca="1">B92+D92</f>
        <v>3072918.9999999991</v>
      </c>
    </row>
    <row r="93" spans="1:6" ht="60" x14ac:dyDescent="0.25">
      <c r="A93" s="31" t="s">
        <v>29</v>
      </c>
      <c r="B93" s="17">
        <f ca="1">SUMIFS(Citas_IPS_2!J3:J269,Citas_IPS_2!G3:G269,'Funciones (50%)'!A93,Citas_IPS_2!F3:F269,"F")</f>
        <v>1989835.7999999996</v>
      </c>
      <c r="C93" s="61">
        <f ca="1">B93/SUM(Citas_IPS_2!J3:J269)</f>
        <v>0.14976880148901431</v>
      </c>
      <c r="D93" s="17">
        <f ca="1">SUMIFS(Citas_IPS_2!J3:J269,Citas_IPS_2!G3:G269,'Funciones (50%)'!A93,Citas_IPS_2!F3:F269,"M")</f>
        <v>1989476</v>
      </c>
      <c r="E93" s="61">
        <f ca="1">D93/SUM(Citas_IPS_2!J3:J269)</f>
        <v>0.14974172045309384</v>
      </c>
      <c r="F93" s="35">
        <f t="shared" ref="F93:F96" ca="1" si="1">B93+D93</f>
        <v>3979311.8</v>
      </c>
    </row>
    <row r="94" spans="1:6" ht="45" x14ac:dyDescent="0.25">
      <c r="A94" s="31" t="s">
        <v>35</v>
      </c>
      <c r="B94" s="17">
        <f ca="1">SUMIFS(Citas_IPS_2!J4:J270,Citas_IPS_2!G4:G270,'Funciones (50%)'!A94,Citas_IPS_2!F4:F270,"F")</f>
        <v>2133752.25</v>
      </c>
      <c r="C94" s="61">
        <f ca="1">B94/SUM(Citas_IPS_2!J4:J270)</f>
        <v>0.16119060364814569</v>
      </c>
      <c r="D94" s="17">
        <f ca="1">SUMIFS(Citas_IPS_2!J4:J270,Citas_IPS_2!G4:G270,'Funciones (50%)'!A94,Citas_IPS_2!F4:F270,"M")</f>
        <v>2587140</v>
      </c>
      <c r="E94" s="61">
        <f ca="1">D94/SUM(Citas_IPS_2!J4:J270)</f>
        <v>0.19544099289046496</v>
      </c>
      <c r="F94" s="35">
        <f t="shared" ca="1" si="1"/>
        <v>4720892.25</v>
      </c>
    </row>
    <row r="95" spans="1:6" ht="45" x14ac:dyDescent="0.25">
      <c r="A95" s="31" t="s">
        <v>45</v>
      </c>
      <c r="B95" s="17">
        <f ca="1">SUMIFS(Citas_IPS_2!J5:J271,Citas_IPS_2!G5:G271,'Funciones (50%)'!A95,Citas_IPS_2!F5:F271,"F")</f>
        <v>249165.05000000002</v>
      </c>
      <c r="C95" s="61">
        <f ca="1">B95/SUM(Citas_IPS_2!J5:J271)</f>
        <v>1.8885400149650646E-2</v>
      </c>
      <c r="D95" s="17">
        <f ca="1">SUMIFS(Citas_IPS_2!J5:J271,Citas_IPS_2!G5:G271,'Funciones (50%)'!A95,Citas_IPS_2!F5:F271,"M")</f>
        <v>1270982</v>
      </c>
      <c r="E95" s="61">
        <f ca="1">D95/SUM(Citas_IPS_2!J5:J271)</f>
        <v>9.6333750070498547E-2</v>
      </c>
      <c r="F95" s="35">
        <f t="shared" ca="1" si="1"/>
        <v>1520147.05</v>
      </c>
    </row>
    <row r="96" spans="1:6" ht="45" x14ac:dyDescent="0.25">
      <c r="A96" s="32" t="s">
        <v>55</v>
      </c>
      <c r="B96" s="17">
        <f ca="1">SUMIFS(Citas_IPS_2!J6:J272,Citas_IPS_2!G6:G272,'Funciones (50%)'!A96,Citas_IPS_2!F6:F272,"F")</f>
        <v>24060.65</v>
      </c>
      <c r="C96" s="61">
        <f ca="1">B96/SUM(Citas_IPS_2!J6:J272)</f>
        <v>1.8270704490599898E-3</v>
      </c>
      <c r="D96" s="17">
        <f>SUMIFS(Citas_IPS_2!J6:J272,Citas_IPS_2!G6:G272,'Funciones (50%)'!A96,Citas_IPS_2!F6:F272,"M")</f>
        <v>0</v>
      </c>
      <c r="E96" s="61">
        <f ca="1">D96/SUM(Citas_IPS_2!J6:J272)</f>
        <v>0</v>
      </c>
      <c r="F96" s="35">
        <f t="shared" ca="1" si="1"/>
        <v>24060.65</v>
      </c>
    </row>
    <row r="97" spans="1:6" x14ac:dyDescent="0.25">
      <c r="A97" s="17"/>
      <c r="B97" s="18"/>
      <c r="C97" s="18"/>
      <c r="D97" s="18"/>
      <c r="E97" s="18"/>
      <c r="F97" s="18"/>
    </row>
    <row r="98" spans="1:6" x14ac:dyDescent="0.25">
      <c r="A98" s="19" t="s">
        <v>673</v>
      </c>
      <c r="B98" s="20"/>
      <c r="C98" s="20"/>
      <c r="D98" s="20"/>
      <c r="E98" s="20"/>
      <c r="F98" s="20"/>
    </row>
    <row r="101" spans="1:6" x14ac:dyDescent="0.25">
      <c r="A101" s="21"/>
    </row>
    <row r="103" spans="1:6" x14ac:dyDescent="0.25">
      <c r="A103" s="16" t="s">
        <v>678</v>
      </c>
    </row>
    <row r="104" spans="1:6" x14ac:dyDescent="0.25">
      <c r="A104" s="40"/>
    </row>
    <row r="105" spans="1:6" ht="65.25" customHeight="1" x14ac:dyDescent="0.25">
      <c r="A105" s="40" t="s">
        <v>731</v>
      </c>
    </row>
    <row r="106" spans="1:6" x14ac:dyDescent="0.25">
      <c r="A106" s="40"/>
    </row>
    <row r="108" spans="1:6" x14ac:dyDescent="0.25">
      <c r="A108" s="24" t="s">
        <v>702</v>
      </c>
    </row>
    <row r="109" spans="1:6" ht="15.75" thickBot="1" x14ac:dyDescent="0.3"/>
    <row r="110" spans="1:6" x14ac:dyDescent="0.25">
      <c r="A110" s="62" t="s">
        <v>683</v>
      </c>
      <c r="B110" s="63">
        <v>1022096300</v>
      </c>
    </row>
    <row r="111" spans="1:6" ht="15.75" thickBot="1" x14ac:dyDescent="0.3">
      <c r="A111" s="64" t="s">
        <v>684</v>
      </c>
      <c r="B111" s="65">
        <v>9</v>
      </c>
    </row>
    <row r="112" spans="1:6" ht="15.75" thickBot="1" x14ac:dyDescent="0.3"/>
    <row r="113" spans="1:7" x14ac:dyDescent="0.25">
      <c r="A113" s="66" t="s">
        <v>682</v>
      </c>
      <c r="B113" s="56"/>
    </row>
    <row r="114" spans="1:7" x14ac:dyDescent="0.25">
      <c r="A114" s="67" t="s">
        <v>685</v>
      </c>
      <c r="B114" s="68">
        <f>(B110^2)/(B111+1)^2</f>
        <v>1.04468084647369E+16</v>
      </c>
    </row>
    <row r="115" spans="1:7" ht="15.75" thickBot="1" x14ac:dyDescent="0.3">
      <c r="A115" s="69"/>
      <c r="B115" s="70"/>
    </row>
    <row r="120" spans="1:7" x14ac:dyDescent="0.25">
      <c r="A120" s="24" t="s">
        <v>694</v>
      </c>
    </row>
    <row r="123" spans="1:7" x14ac:dyDescent="0.25">
      <c r="B123" s="60"/>
      <c r="F123" s="18" t="s">
        <v>733</v>
      </c>
      <c r="G123" s="18" t="s">
        <v>734</v>
      </c>
    </row>
    <row r="124" spans="1:7" x14ac:dyDescent="0.25">
      <c r="F124" s="18" t="s">
        <v>1</v>
      </c>
      <c r="G124" s="18">
        <f>COUNTIF(Citas_IPS_2!F2:F268,"F")</f>
        <v>127</v>
      </c>
    </row>
    <row r="125" spans="1:7" x14ac:dyDescent="0.25">
      <c r="F125" s="18" t="s">
        <v>3</v>
      </c>
      <c r="G125" s="18">
        <f>COUNTIF(Citas_IPS_2!F2:F268,"M")</f>
        <v>140</v>
      </c>
    </row>
  </sheetData>
  <mergeCells count="8">
    <mergeCell ref="F89:F91"/>
    <mergeCell ref="A33:Q33"/>
    <mergeCell ref="F78:F80"/>
    <mergeCell ref="A1:Q1"/>
    <mergeCell ref="A3:Q3"/>
    <mergeCell ref="A5:Q5"/>
    <mergeCell ref="A9:Q9"/>
    <mergeCell ref="A16:Q16"/>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E2E77126-BD8B-45E3-BCA5-ADC1CE9A244A}">
          <x14:formula1>
            <xm:f>Citas_IPS_2!$H$2:$H$268</xm:f>
          </x14:formula1>
          <xm:sqref>B34</xm:sqref>
        </x14:dataValidation>
        <x14:dataValidation type="list" allowBlank="1" showInputMessage="1" showErrorMessage="1" xr:uid="{461ECD10-B6C4-486C-8918-A5F3BD1E9925}">
          <x14:formula1>
            <xm:f>Citas_IPS_2!$G$2:$G$268</xm:f>
          </x14:formula1>
          <xm:sqref>B52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FAF31-1759-4FE4-A475-8162AB4AA5D6}">
  <dimension ref="A1:D268"/>
  <sheetViews>
    <sheetView workbookViewId="0">
      <selection activeCell="F252" sqref="F252"/>
    </sheetView>
  </sheetViews>
  <sheetFormatPr baseColWidth="10" defaultColWidth="22.140625" defaultRowHeight="15" x14ac:dyDescent="0.25"/>
  <cols>
    <col min="1" max="1" width="15.28515625" bestFit="1" customWidth="1"/>
    <col min="2" max="2" width="17.42578125" bestFit="1" customWidth="1"/>
    <col min="3" max="3" width="24.5703125" bestFit="1" customWidth="1"/>
    <col min="4" max="4" width="13.28515625" bestFit="1" customWidth="1"/>
  </cols>
  <sheetData>
    <row r="1" spans="1:4" x14ac:dyDescent="0.25">
      <c r="A1" s="3" t="s">
        <v>504</v>
      </c>
      <c r="B1" s="2" t="s">
        <v>505</v>
      </c>
      <c r="C1" s="3" t="s">
        <v>666</v>
      </c>
      <c r="D1" s="2" t="s">
        <v>16</v>
      </c>
    </row>
    <row r="2" spans="1:4" x14ac:dyDescent="0.25">
      <c r="A2" s="5" t="s">
        <v>23</v>
      </c>
      <c r="B2" s="5" t="s">
        <v>24</v>
      </c>
      <c r="C2" s="6" t="s">
        <v>519</v>
      </c>
      <c r="D2" s="5" t="s">
        <v>507</v>
      </c>
    </row>
    <row r="3" spans="1:4" x14ac:dyDescent="0.25">
      <c r="A3" s="5" t="s">
        <v>7</v>
      </c>
      <c r="B3" s="5" t="s">
        <v>28</v>
      </c>
      <c r="C3" s="6" t="s">
        <v>520</v>
      </c>
      <c r="D3" s="5" t="s">
        <v>508</v>
      </c>
    </row>
    <row r="4" spans="1:4" x14ac:dyDescent="0.25">
      <c r="A4" s="5" t="s">
        <v>30</v>
      </c>
      <c r="B4" s="5" t="s">
        <v>31</v>
      </c>
      <c r="C4" s="6" t="s">
        <v>521</v>
      </c>
      <c r="D4" s="5" t="s">
        <v>509</v>
      </c>
    </row>
    <row r="5" spans="1:4" x14ac:dyDescent="0.25">
      <c r="A5" s="5" t="s">
        <v>33</v>
      </c>
      <c r="B5" s="5" t="s">
        <v>34</v>
      </c>
      <c r="C5" s="6" t="s">
        <v>522</v>
      </c>
      <c r="D5" s="5" t="s">
        <v>510</v>
      </c>
    </row>
    <row r="6" spans="1:4" x14ac:dyDescent="0.25">
      <c r="A6" s="5" t="s">
        <v>37</v>
      </c>
      <c r="B6" s="5" t="s">
        <v>38</v>
      </c>
      <c r="C6" s="6" t="s">
        <v>523</v>
      </c>
      <c r="D6" s="5" t="s">
        <v>511</v>
      </c>
    </row>
    <row r="7" spans="1:4" x14ac:dyDescent="0.25">
      <c r="A7" s="5" t="s">
        <v>39</v>
      </c>
      <c r="B7" s="5" t="s">
        <v>40</v>
      </c>
      <c r="C7" s="6" t="s">
        <v>524</v>
      </c>
      <c r="D7" s="5" t="s">
        <v>512</v>
      </c>
    </row>
    <row r="8" spans="1:4" x14ac:dyDescent="0.25">
      <c r="A8" s="5" t="s">
        <v>41</v>
      </c>
      <c r="B8" s="5" t="s">
        <v>14</v>
      </c>
      <c r="C8" s="6" t="s">
        <v>525</v>
      </c>
      <c r="D8" s="5" t="s">
        <v>513</v>
      </c>
    </row>
    <row r="9" spans="1:4" x14ac:dyDescent="0.25">
      <c r="A9" s="5" t="s">
        <v>42</v>
      </c>
      <c r="B9" s="5" t="s">
        <v>43</v>
      </c>
      <c r="C9" s="6" t="s">
        <v>526</v>
      </c>
      <c r="D9" s="5" t="s">
        <v>514</v>
      </c>
    </row>
    <row r="10" spans="1:4" x14ac:dyDescent="0.25">
      <c r="A10" s="5" t="s">
        <v>47</v>
      </c>
      <c r="B10" s="5" t="s">
        <v>48</v>
      </c>
      <c r="C10" s="6" t="s">
        <v>527</v>
      </c>
      <c r="D10" s="5" t="s">
        <v>515</v>
      </c>
    </row>
    <row r="11" spans="1:4" x14ac:dyDescent="0.25">
      <c r="A11" s="5" t="s">
        <v>49</v>
      </c>
      <c r="B11" s="5" t="s">
        <v>14</v>
      </c>
      <c r="C11" s="6" t="s">
        <v>528</v>
      </c>
      <c r="D11" s="5" t="s">
        <v>516</v>
      </c>
    </row>
    <row r="12" spans="1:4" x14ac:dyDescent="0.25">
      <c r="A12" s="5" t="s">
        <v>51</v>
      </c>
      <c r="B12" s="5" t="s">
        <v>5</v>
      </c>
      <c r="C12" s="6" t="s">
        <v>527</v>
      </c>
      <c r="D12" s="5" t="s">
        <v>517</v>
      </c>
    </row>
    <row r="13" spans="1:4" x14ac:dyDescent="0.25">
      <c r="A13" s="5" t="s">
        <v>53</v>
      </c>
      <c r="B13" s="5" t="s">
        <v>54</v>
      </c>
      <c r="C13" s="6" t="s">
        <v>529</v>
      </c>
      <c r="D13" s="5" t="s">
        <v>518</v>
      </c>
    </row>
    <row r="14" spans="1:4" x14ac:dyDescent="0.25">
      <c r="A14" s="5" t="s">
        <v>38</v>
      </c>
      <c r="B14" s="5" t="s">
        <v>2</v>
      </c>
      <c r="C14" s="6" t="s">
        <v>530</v>
      </c>
      <c r="D14" s="5" t="s">
        <v>56</v>
      </c>
    </row>
    <row r="15" spans="1:4" x14ac:dyDescent="0.25">
      <c r="A15" s="5" t="s">
        <v>7</v>
      </c>
      <c r="B15" s="5" t="s">
        <v>57</v>
      </c>
      <c r="C15" s="6" t="s">
        <v>531</v>
      </c>
      <c r="D15" s="5" t="s">
        <v>58</v>
      </c>
    </row>
    <row r="16" spans="1:4" ht="15.75" customHeight="1" x14ac:dyDescent="0.25">
      <c r="A16" s="5" t="s">
        <v>59</v>
      </c>
      <c r="B16" s="5" t="s">
        <v>60</v>
      </c>
      <c r="C16" s="6" t="s">
        <v>532</v>
      </c>
      <c r="D16" s="5" t="s">
        <v>58</v>
      </c>
    </row>
    <row r="17" spans="1:4" x14ac:dyDescent="0.25">
      <c r="A17" s="5" t="s">
        <v>62</v>
      </c>
      <c r="B17" s="5" t="s">
        <v>63</v>
      </c>
      <c r="C17" s="6" t="s">
        <v>533</v>
      </c>
      <c r="D17" s="5" t="s">
        <v>64</v>
      </c>
    </row>
    <row r="18" spans="1:4" x14ac:dyDescent="0.25">
      <c r="A18" s="5" t="s">
        <v>57</v>
      </c>
      <c r="B18" s="5" t="s">
        <v>62</v>
      </c>
      <c r="C18" s="6" t="s">
        <v>534</v>
      </c>
      <c r="D18" s="5" t="s">
        <v>65</v>
      </c>
    </row>
    <row r="19" spans="1:4" x14ac:dyDescent="0.25">
      <c r="A19" s="5" t="s">
        <v>66</v>
      </c>
      <c r="B19" s="5" t="s">
        <v>67</v>
      </c>
      <c r="C19" s="6" t="s">
        <v>535</v>
      </c>
      <c r="D19" s="5" t="s">
        <v>68</v>
      </c>
    </row>
    <row r="20" spans="1:4" x14ac:dyDescent="0.25">
      <c r="A20" s="5" t="s">
        <v>69</v>
      </c>
      <c r="B20" s="5" t="s">
        <v>4</v>
      </c>
      <c r="C20" s="6" t="s">
        <v>536</v>
      </c>
      <c r="D20" s="5" t="s">
        <v>70</v>
      </c>
    </row>
    <row r="21" spans="1:4" x14ac:dyDescent="0.25">
      <c r="A21" s="5" t="s">
        <v>71</v>
      </c>
      <c r="B21" s="5" t="s">
        <v>7</v>
      </c>
      <c r="C21" s="6" t="s">
        <v>537</v>
      </c>
      <c r="D21" s="5" t="s">
        <v>72</v>
      </c>
    </row>
    <row r="22" spans="1:4" x14ac:dyDescent="0.25">
      <c r="A22" s="5" t="s">
        <v>73</v>
      </c>
      <c r="B22" s="5" t="s">
        <v>74</v>
      </c>
      <c r="C22" s="6" t="s">
        <v>538</v>
      </c>
      <c r="D22" s="5" t="s">
        <v>75</v>
      </c>
    </row>
    <row r="23" spans="1:4" x14ac:dyDescent="0.25">
      <c r="A23" s="5" t="s">
        <v>76</v>
      </c>
      <c r="B23" s="5" t="s">
        <v>77</v>
      </c>
      <c r="C23" s="6" t="s">
        <v>539</v>
      </c>
      <c r="D23" s="5" t="s">
        <v>78</v>
      </c>
    </row>
    <row r="24" spans="1:4" x14ac:dyDescent="0.25">
      <c r="A24" s="5" t="s">
        <v>79</v>
      </c>
      <c r="B24" s="5" t="s">
        <v>80</v>
      </c>
      <c r="C24" s="6" t="s">
        <v>540</v>
      </c>
      <c r="D24" s="5" t="s">
        <v>82</v>
      </c>
    </row>
    <row r="25" spans="1:4" x14ac:dyDescent="0.25">
      <c r="A25" s="5" t="s">
        <v>83</v>
      </c>
      <c r="B25" s="5" t="s">
        <v>84</v>
      </c>
      <c r="C25" s="6" t="s">
        <v>541</v>
      </c>
      <c r="D25" s="5" t="s">
        <v>85</v>
      </c>
    </row>
    <row r="26" spans="1:4" x14ac:dyDescent="0.25">
      <c r="A26" s="5" t="s">
        <v>86</v>
      </c>
      <c r="B26" s="5" t="s">
        <v>86</v>
      </c>
      <c r="C26" s="6" t="s">
        <v>542</v>
      </c>
      <c r="D26" s="5" t="s">
        <v>87</v>
      </c>
    </row>
    <row r="27" spans="1:4" x14ac:dyDescent="0.25">
      <c r="A27" s="5" t="s">
        <v>15</v>
      </c>
      <c r="B27" s="5" t="s">
        <v>84</v>
      </c>
      <c r="C27" s="6" t="s">
        <v>543</v>
      </c>
      <c r="D27" s="5" t="s">
        <v>88</v>
      </c>
    </row>
    <row r="28" spans="1:4" x14ac:dyDescent="0.25">
      <c r="A28" s="5" t="s">
        <v>89</v>
      </c>
      <c r="B28" s="5" t="s">
        <v>8</v>
      </c>
      <c r="C28" s="6" t="s">
        <v>544</v>
      </c>
      <c r="D28" s="5" t="s">
        <v>90</v>
      </c>
    </row>
    <row r="29" spans="1:4" x14ac:dyDescent="0.25">
      <c r="A29" s="5" t="s">
        <v>91</v>
      </c>
      <c r="B29" s="5" t="s">
        <v>92</v>
      </c>
      <c r="C29" s="6" t="s">
        <v>545</v>
      </c>
      <c r="D29" s="5" t="s">
        <v>90</v>
      </c>
    </row>
    <row r="30" spans="1:4" x14ac:dyDescent="0.25">
      <c r="A30" s="5" t="s">
        <v>93</v>
      </c>
      <c r="B30" s="5" t="s">
        <v>94</v>
      </c>
      <c r="C30" s="6" t="s">
        <v>546</v>
      </c>
      <c r="D30" s="5" t="s">
        <v>95</v>
      </c>
    </row>
    <row r="31" spans="1:4" x14ac:dyDescent="0.25">
      <c r="A31" s="5" t="s">
        <v>74</v>
      </c>
      <c r="B31" s="5" t="s">
        <v>96</v>
      </c>
      <c r="C31" s="6" t="s">
        <v>547</v>
      </c>
      <c r="D31" s="5" t="s">
        <v>97</v>
      </c>
    </row>
    <row r="32" spans="1:4" x14ac:dyDescent="0.25">
      <c r="A32" s="5" t="s">
        <v>98</v>
      </c>
      <c r="B32" s="5" t="s">
        <v>99</v>
      </c>
      <c r="C32" s="6" t="s">
        <v>548</v>
      </c>
      <c r="D32" s="5" t="s">
        <v>100</v>
      </c>
    </row>
    <row r="33" spans="1:4" x14ac:dyDescent="0.25">
      <c r="A33" s="5" t="s">
        <v>91</v>
      </c>
      <c r="B33" s="5" t="s">
        <v>74</v>
      </c>
      <c r="C33" s="6" t="s">
        <v>549</v>
      </c>
      <c r="D33" s="5" t="s">
        <v>101</v>
      </c>
    </row>
    <row r="34" spans="1:4" x14ac:dyDescent="0.25">
      <c r="A34" s="5" t="s">
        <v>89</v>
      </c>
      <c r="B34" s="5" t="s">
        <v>8</v>
      </c>
      <c r="C34" s="6" t="s">
        <v>550</v>
      </c>
      <c r="D34" s="5" t="s">
        <v>102</v>
      </c>
    </row>
    <row r="35" spans="1:4" x14ac:dyDescent="0.25">
      <c r="A35" s="5" t="s">
        <v>103</v>
      </c>
      <c r="B35" s="5" t="s">
        <v>104</v>
      </c>
      <c r="C35" s="6" t="s">
        <v>551</v>
      </c>
      <c r="D35" s="5" t="s">
        <v>105</v>
      </c>
    </row>
    <row r="36" spans="1:4" x14ac:dyDescent="0.25">
      <c r="A36" s="5" t="s">
        <v>83</v>
      </c>
      <c r="B36" s="5" t="s">
        <v>84</v>
      </c>
      <c r="C36" s="6" t="s">
        <v>552</v>
      </c>
      <c r="D36" s="5" t="s">
        <v>106</v>
      </c>
    </row>
    <row r="37" spans="1:4" x14ac:dyDescent="0.25">
      <c r="A37" s="5" t="s">
        <v>107</v>
      </c>
      <c r="B37" s="5" t="s">
        <v>108</v>
      </c>
      <c r="C37" s="6" t="s">
        <v>553</v>
      </c>
      <c r="D37" s="5" t="s">
        <v>109</v>
      </c>
    </row>
    <row r="38" spans="1:4" x14ac:dyDescent="0.25">
      <c r="A38" s="5" t="s">
        <v>4</v>
      </c>
      <c r="B38" s="5" t="s">
        <v>110</v>
      </c>
      <c r="C38" s="6" t="s">
        <v>554</v>
      </c>
      <c r="D38" s="5" t="s">
        <v>111</v>
      </c>
    </row>
    <row r="39" spans="1:4" x14ac:dyDescent="0.25">
      <c r="A39" s="5" t="s">
        <v>112</v>
      </c>
      <c r="B39" s="5" t="s">
        <v>113</v>
      </c>
      <c r="C39" s="6" t="s">
        <v>555</v>
      </c>
      <c r="D39" s="5" t="s">
        <v>114</v>
      </c>
    </row>
    <row r="40" spans="1:4" x14ac:dyDescent="0.25">
      <c r="A40" s="5" t="s">
        <v>74</v>
      </c>
      <c r="B40" s="5" t="s">
        <v>115</v>
      </c>
      <c r="C40" s="6" t="s">
        <v>556</v>
      </c>
      <c r="D40" s="5" t="s">
        <v>116</v>
      </c>
    </row>
    <row r="41" spans="1:4" x14ac:dyDescent="0.25">
      <c r="A41" s="5" t="s">
        <v>28</v>
      </c>
      <c r="B41" s="5" t="s">
        <v>67</v>
      </c>
      <c r="C41" s="6" t="s">
        <v>557</v>
      </c>
      <c r="D41" s="5" t="s">
        <v>117</v>
      </c>
    </row>
    <row r="42" spans="1:4" x14ac:dyDescent="0.25">
      <c r="A42" s="5" t="s">
        <v>118</v>
      </c>
      <c r="B42" s="5" t="s">
        <v>119</v>
      </c>
      <c r="C42" s="6" t="s">
        <v>558</v>
      </c>
      <c r="D42" s="5" t="s">
        <v>120</v>
      </c>
    </row>
    <row r="43" spans="1:4" x14ac:dyDescent="0.25">
      <c r="A43" s="5" t="s">
        <v>2</v>
      </c>
      <c r="B43" s="5" t="s">
        <v>121</v>
      </c>
      <c r="C43" s="6" t="s">
        <v>533</v>
      </c>
      <c r="D43" s="5" t="s">
        <v>122</v>
      </c>
    </row>
    <row r="44" spans="1:4" x14ac:dyDescent="0.25">
      <c r="A44" s="5" t="s">
        <v>123</v>
      </c>
      <c r="B44" s="5" t="s">
        <v>8</v>
      </c>
      <c r="C44" s="6" t="s">
        <v>529</v>
      </c>
      <c r="D44" s="5" t="s">
        <v>124</v>
      </c>
    </row>
    <row r="45" spans="1:4" x14ac:dyDescent="0.25">
      <c r="A45" s="5" t="s">
        <v>7</v>
      </c>
      <c r="B45" s="5" t="s">
        <v>125</v>
      </c>
      <c r="C45" s="6" t="s">
        <v>559</v>
      </c>
      <c r="D45" s="5" t="s">
        <v>126</v>
      </c>
    </row>
    <row r="46" spans="1:4" x14ac:dyDescent="0.25">
      <c r="A46" s="5" t="s">
        <v>34</v>
      </c>
      <c r="B46" s="5" t="s">
        <v>112</v>
      </c>
      <c r="C46" s="6" t="s">
        <v>560</v>
      </c>
      <c r="D46" s="5" t="s">
        <v>127</v>
      </c>
    </row>
    <row r="47" spans="1:4" x14ac:dyDescent="0.25">
      <c r="A47" s="5" t="s">
        <v>59</v>
      </c>
      <c r="B47" s="5" t="s">
        <v>62</v>
      </c>
      <c r="C47" s="6" t="s">
        <v>561</v>
      </c>
      <c r="D47" s="5" t="s">
        <v>128</v>
      </c>
    </row>
    <row r="48" spans="1:4" x14ac:dyDescent="0.25">
      <c r="A48" s="5" t="s">
        <v>130</v>
      </c>
      <c r="B48" s="5" t="s">
        <v>96</v>
      </c>
      <c r="C48" s="6" t="s">
        <v>547</v>
      </c>
      <c r="D48" s="5" t="s">
        <v>131</v>
      </c>
    </row>
    <row r="49" spans="1:4" x14ac:dyDescent="0.25">
      <c r="A49" s="5" t="s">
        <v>132</v>
      </c>
      <c r="B49" s="5" t="s">
        <v>59</v>
      </c>
      <c r="C49" s="6" t="s">
        <v>562</v>
      </c>
      <c r="D49" s="5" t="s">
        <v>133</v>
      </c>
    </row>
    <row r="50" spans="1:4" x14ac:dyDescent="0.25">
      <c r="A50" s="5" t="s">
        <v>134</v>
      </c>
      <c r="B50" s="5" t="s">
        <v>57</v>
      </c>
      <c r="C50" s="6" t="s">
        <v>563</v>
      </c>
      <c r="D50" s="5" t="s">
        <v>135</v>
      </c>
    </row>
    <row r="51" spans="1:4" x14ac:dyDescent="0.25">
      <c r="A51" s="5" t="s">
        <v>76</v>
      </c>
      <c r="B51" s="5" t="s">
        <v>136</v>
      </c>
      <c r="C51" s="6" t="s">
        <v>539</v>
      </c>
      <c r="D51" s="5" t="s">
        <v>137</v>
      </c>
    </row>
    <row r="52" spans="1:4" x14ac:dyDescent="0.25">
      <c r="A52" s="5" t="s">
        <v>138</v>
      </c>
      <c r="B52" s="5" t="s">
        <v>107</v>
      </c>
      <c r="C52" s="6" t="s">
        <v>564</v>
      </c>
      <c r="D52" s="5" t="s">
        <v>137</v>
      </c>
    </row>
    <row r="53" spans="1:4" x14ac:dyDescent="0.25">
      <c r="A53" s="5" t="s">
        <v>98</v>
      </c>
      <c r="B53" s="5" t="s">
        <v>74</v>
      </c>
      <c r="C53" s="6" t="s">
        <v>557</v>
      </c>
      <c r="D53" s="5" t="s">
        <v>139</v>
      </c>
    </row>
    <row r="54" spans="1:4" x14ac:dyDescent="0.25">
      <c r="A54" s="5" t="s">
        <v>140</v>
      </c>
      <c r="B54" s="5" t="s">
        <v>89</v>
      </c>
      <c r="C54" s="6" t="s">
        <v>565</v>
      </c>
      <c r="D54" s="5" t="s">
        <v>141</v>
      </c>
    </row>
    <row r="55" spans="1:4" x14ac:dyDescent="0.25">
      <c r="A55" s="5" t="s">
        <v>14</v>
      </c>
      <c r="B55" s="5" t="s">
        <v>38</v>
      </c>
      <c r="C55" s="6" t="s">
        <v>566</v>
      </c>
      <c r="D55" s="5" t="s">
        <v>143</v>
      </c>
    </row>
    <row r="56" spans="1:4" x14ac:dyDescent="0.25">
      <c r="A56" s="5" t="s">
        <v>144</v>
      </c>
      <c r="B56" s="5" t="s">
        <v>145</v>
      </c>
      <c r="C56" s="6" t="s">
        <v>567</v>
      </c>
      <c r="D56" s="5" t="s">
        <v>146</v>
      </c>
    </row>
    <row r="57" spans="1:4" x14ac:dyDescent="0.25">
      <c r="A57" s="5" t="s">
        <v>147</v>
      </c>
      <c r="B57" s="5" t="s">
        <v>148</v>
      </c>
      <c r="C57" s="6" t="s">
        <v>559</v>
      </c>
      <c r="D57" s="5" t="s">
        <v>149</v>
      </c>
    </row>
    <row r="58" spans="1:4" x14ac:dyDescent="0.25">
      <c r="A58" s="5" t="s">
        <v>2</v>
      </c>
      <c r="B58" s="5" t="s">
        <v>150</v>
      </c>
      <c r="C58" s="6" t="s">
        <v>542</v>
      </c>
      <c r="D58" s="5" t="s">
        <v>151</v>
      </c>
    </row>
    <row r="59" spans="1:4" x14ac:dyDescent="0.25">
      <c r="A59" s="5" t="s">
        <v>152</v>
      </c>
      <c r="B59" s="5" t="s">
        <v>112</v>
      </c>
      <c r="C59" s="6" t="s">
        <v>568</v>
      </c>
      <c r="D59" s="5" t="s">
        <v>153</v>
      </c>
    </row>
    <row r="60" spans="1:4" x14ac:dyDescent="0.25">
      <c r="A60" s="5" t="s">
        <v>154</v>
      </c>
      <c r="B60" s="5" t="s">
        <v>155</v>
      </c>
      <c r="C60" s="6" t="s">
        <v>569</v>
      </c>
      <c r="D60" s="5" t="s">
        <v>156</v>
      </c>
    </row>
    <row r="61" spans="1:4" x14ac:dyDescent="0.25">
      <c r="A61" s="5" t="s">
        <v>89</v>
      </c>
      <c r="B61" s="5" t="s">
        <v>157</v>
      </c>
      <c r="C61" s="6" t="s">
        <v>570</v>
      </c>
      <c r="D61" s="5" t="s">
        <v>158</v>
      </c>
    </row>
    <row r="62" spans="1:4" x14ac:dyDescent="0.25">
      <c r="A62" s="5" t="s">
        <v>91</v>
      </c>
      <c r="B62" s="5" t="s">
        <v>159</v>
      </c>
      <c r="C62" s="6" t="s">
        <v>562</v>
      </c>
      <c r="D62" s="5" t="s">
        <v>160</v>
      </c>
    </row>
    <row r="63" spans="1:4" x14ac:dyDescent="0.25">
      <c r="A63" s="5" t="s">
        <v>161</v>
      </c>
      <c r="B63" s="5" t="s">
        <v>162</v>
      </c>
      <c r="C63" s="6" t="s">
        <v>520</v>
      </c>
      <c r="D63" s="5" t="s">
        <v>163</v>
      </c>
    </row>
    <row r="64" spans="1:4" x14ac:dyDescent="0.25">
      <c r="A64" s="5" t="s">
        <v>33</v>
      </c>
      <c r="B64" s="5" t="s">
        <v>10</v>
      </c>
      <c r="C64" s="6" t="s">
        <v>571</v>
      </c>
      <c r="D64" s="5" t="s">
        <v>164</v>
      </c>
    </row>
    <row r="65" spans="1:4" x14ac:dyDescent="0.25">
      <c r="A65" s="5" t="s">
        <v>34</v>
      </c>
      <c r="B65" s="5" t="s">
        <v>165</v>
      </c>
      <c r="C65" s="6" t="s">
        <v>572</v>
      </c>
      <c r="D65" s="5" t="s">
        <v>166</v>
      </c>
    </row>
    <row r="66" spans="1:4" ht="16.5" customHeight="1" x14ac:dyDescent="0.25">
      <c r="A66" s="5" t="s">
        <v>167</v>
      </c>
      <c r="B66" s="5" t="s">
        <v>168</v>
      </c>
      <c r="C66" s="6" t="s">
        <v>573</v>
      </c>
      <c r="D66" s="5" t="s">
        <v>169</v>
      </c>
    </row>
    <row r="67" spans="1:4" x14ac:dyDescent="0.25">
      <c r="A67" s="5" t="s">
        <v>132</v>
      </c>
      <c r="B67" s="5" t="s">
        <v>59</v>
      </c>
      <c r="C67" s="6" t="s">
        <v>562</v>
      </c>
      <c r="D67" s="5" t="s">
        <v>171</v>
      </c>
    </row>
    <row r="68" spans="1:4" x14ac:dyDescent="0.25">
      <c r="A68" s="5" t="s">
        <v>172</v>
      </c>
      <c r="B68" s="5" t="s">
        <v>173</v>
      </c>
      <c r="C68" s="6" t="s">
        <v>574</v>
      </c>
      <c r="D68" s="5" t="s">
        <v>174</v>
      </c>
    </row>
    <row r="69" spans="1:4" x14ac:dyDescent="0.25">
      <c r="A69" s="5" t="s">
        <v>175</v>
      </c>
      <c r="B69" s="5" t="s">
        <v>176</v>
      </c>
      <c r="C69" s="6" t="s">
        <v>575</v>
      </c>
      <c r="D69" s="5" t="s">
        <v>177</v>
      </c>
    </row>
    <row r="70" spans="1:4" x14ac:dyDescent="0.25">
      <c r="A70" s="5" t="s">
        <v>178</v>
      </c>
      <c r="B70" s="5" t="s">
        <v>13</v>
      </c>
      <c r="C70" s="6" t="s">
        <v>576</v>
      </c>
      <c r="D70" s="5" t="s">
        <v>179</v>
      </c>
    </row>
    <row r="71" spans="1:4" x14ac:dyDescent="0.25">
      <c r="A71" s="5" t="s">
        <v>91</v>
      </c>
      <c r="B71" s="5" t="s">
        <v>37</v>
      </c>
      <c r="C71" s="6" t="s">
        <v>577</v>
      </c>
      <c r="D71" s="5" t="s">
        <v>180</v>
      </c>
    </row>
    <row r="72" spans="1:4" x14ac:dyDescent="0.25">
      <c r="A72" s="5" t="s">
        <v>92</v>
      </c>
      <c r="B72" s="5" t="s">
        <v>104</v>
      </c>
      <c r="C72" s="6" t="s">
        <v>578</v>
      </c>
      <c r="D72" s="5" t="s">
        <v>181</v>
      </c>
    </row>
    <row r="73" spans="1:4" x14ac:dyDescent="0.25">
      <c r="A73" s="5" t="s">
        <v>182</v>
      </c>
      <c r="B73" s="5" t="s">
        <v>74</v>
      </c>
      <c r="C73" s="6" t="s">
        <v>527</v>
      </c>
      <c r="D73" s="5" t="s">
        <v>183</v>
      </c>
    </row>
    <row r="74" spans="1:4" x14ac:dyDescent="0.25">
      <c r="A74" s="5" t="s">
        <v>59</v>
      </c>
      <c r="B74" s="5" t="s">
        <v>184</v>
      </c>
      <c r="C74" s="6" t="s">
        <v>576</v>
      </c>
      <c r="D74" s="5" t="s">
        <v>185</v>
      </c>
    </row>
    <row r="75" spans="1:4" x14ac:dyDescent="0.25">
      <c r="A75" s="5" t="s">
        <v>162</v>
      </c>
      <c r="B75" s="5" t="s">
        <v>186</v>
      </c>
      <c r="C75" s="6" t="s">
        <v>579</v>
      </c>
      <c r="D75" s="5" t="s">
        <v>187</v>
      </c>
    </row>
    <row r="76" spans="1:4" x14ac:dyDescent="0.25">
      <c r="A76" s="5" t="s">
        <v>189</v>
      </c>
      <c r="B76" s="5" t="s">
        <v>190</v>
      </c>
      <c r="C76" s="6" t="s">
        <v>580</v>
      </c>
      <c r="D76" s="5" t="s">
        <v>191</v>
      </c>
    </row>
    <row r="77" spans="1:4" x14ac:dyDescent="0.25">
      <c r="A77" s="5" t="s">
        <v>192</v>
      </c>
      <c r="B77" s="5" t="s">
        <v>6</v>
      </c>
      <c r="C77" s="6" t="s">
        <v>521</v>
      </c>
      <c r="D77" s="5" t="s">
        <v>193</v>
      </c>
    </row>
    <row r="78" spans="1:4" x14ac:dyDescent="0.25">
      <c r="A78" s="5" t="s">
        <v>194</v>
      </c>
      <c r="B78" s="5" t="s">
        <v>195</v>
      </c>
      <c r="C78" s="6" t="s">
        <v>581</v>
      </c>
      <c r="D78" s="5" t="s">
        <v>196</v>
      </c>
    </row>
    <row r="79" spans="1:4" x14ac:dyDescent="0.25">
      <c r="A79" s="5" t="s">
        <v>197</v>
      </c>
      <c r="B79" s="5" t="s">
        <v>198</v>
      </c>
      <c r="C79" s="6" t="s">
        <v>576</v>
      </c>
      <c r="D79" s="5" t="s">
        <v>199</v>
      </c>
    </row>
    <row r="80" spans="1:4" x14ac:dyDescent="0.25">
      <c r="A80" s="5" t="s">
        <v>200</v>
      </c>
      <c r="B80" s="5" t="s">
        <v>34</v>
      </c>
      <c r="C80" s="6" t="s">
        <v>582</v>
      </c>
      <c r="D80" s="5" t="s">
        <v>201</v>
      </c>
    </row>
    <row r="81" spans="1:4" x14ac:dyDescent="0.25">
      <c r="A81" s="5" t="s">
        <v>89</v>
      </c>
      <c r="B81" s="5" t="s">
        <v>8</v>
      </c>
      <c r="C81" s="6" t="s">
        <v>583</v>
      </c>
      <c r="D81" s="5" t="s">
        <v>202</v>
      </c>
    </row>
    <row r="82" spans="1:4" x14ac:dyDescent="0.25">
      <c r="A82" s="5" t="s">
        <v>110</v>
      </c>
      <c r="B82" s="5" t="s">
        <v>34</v>
      </c>
      <c r="C82" s="6" t="s">
        <v>584</v>
      </c>
      <c r="D82" s="5" t="s">
        <v>203</v>
      </c>
    </row>
    <row r="83" spans="1:4" x14ac:dyDescent="0.25">
      <c r="A83" s="5" t="s">
        <v>204</v>
      </c>
      <c r="B83" s="5" t="s">
        <v>204</v>
      </c>
      <c r="C83" s="6" t="s">
        <v>585</v>
      </c>
      <c r="D83" s="5" t="s">
        <v>205</v>
      </c>
    </row>
    <row r="84" spans="1:4" x14ac:dyDescent="0.25">
      <c r="A84" s="5" t="s">
        <v>11</v>
      </c>
      <c r="B84" s="5" t="s">
        <v>206</v>
      </c>
      <c r="C84" s="6" t="s">
        <v>586</v>
      </c>
      <c r="D84" s="5" t="s">
        <v>207</v>
      </c>
    </row>
    <row r="85" spans="1:4" x14ac:dyDescent="0.25">
      <c r="A85" s="5" t="s">
        <v>112</v>
      </c>
      <c r="B85" s="5" t="s">
        <v>208</v>
      </c>
      <c r="C85" s="6" t="s">
        <v>548</v>
      </c>
      <c r="D85" s="5" t="s">
        <v>209</v>
      </c>
    </row>
    <row r="86" spans="1:4" x14ac:dyDescent="0.25">
      <c r="A86" s="5" t="s">
        <v>107</v>
      </c>
      <c r="B86" s="5" t="s">
        <v>108</v>
      </c>
      <c r="C86" s="6" t="s">
        <v>553</v>
      </c>
      <c r="D86" s="5" t="s">
        <v>210</v>
      </c>
    </row>
    <row r="87" spans="1:4" x14ac:dyDescent="0.25">
      <c r="A87" s="5" t="s">
        <v>211</v>
      </c>
      <c r="B87" s="5" t="s">
        <v>212</v>
      </c>
      <c r="C87" s="6" t="s">
        <v>584</v>
      </c>
      <c r="D87" s="5" t="s">
        <v>213</v>
      </c>
    </row>
    <row r="88" spans="1:4" x14ac:dyDescent="0.25">
      <c r="A88" s="5" t="s">
        <v>121</v>
      </c>
      <c r="B88" s="5" t="s">
        <v>214</v>
      </c>
      <c r="C88" s="6" t="s">
        <v>587</v>
      </c>
      <c r="D88" s="5" t="s">
        <v>215</v>
      </c>
    </row>
    <row r="89" spans="1:4" x14ac:dyDescent="0.25">
      <c r="A89" s="5" t="s">
        <v>190</v>
      </c>
      <c r="B89" s="5" t="s">
        <v>190</v>
      </c>
      <c r="C89" s="6" t="s">
        <v>530</v>
      </c>
      <c r="D89" s="5" t="s">
        <v>216</v>
      </c>
    </row>
    <row r="90" spans="1:4" x14ac:dyDescent="0.25">
      <c r="A90" s="5" t="s">
        <v>217</v>
      </c>
      <c r="B90" s="5" t="s">
        <v>218</v>
      </c>
      <c r="C90" s="6" t="s">
        <v>588</v>
      </c>
      <c r="D90" s="5" t="s">
        <v>219</v>
      </c>
    </row>
    <row r="91" spans="1:4" x14ac:dyDescent="0.25">
      <c r="A91" s="5" t="s">
        <v>220</v>
      </c>
      <c r="B91" s="5" t="s">
        <v>99</v>
      </c>
      <c r="C91" s="6" t="s">
        <v>527</v>
      </c>
      <c r="D91" s="5" t="s">
        <v>221</v>
      </c>
    </row>
    <row r="92" spans="1:4" x14ac:dyDescent="0.25">
      <c r="A92" s="5" t="s">
        <v>222</v>
      </c>
      <c r="B92" s="5" t="s">
        <v>223</v>
      </c>
      <c r="C92" s="6" t="s">
        <v>589</v>
      </c>
      <c r="D92" s="5" t="s">
        <v>224</v>
      </c>
    </row>
    <row r="93" spans="1:4" x14ac:dyDescent="0.25">
      <c r="A93" s="5" t="s">
        <v>103</v>
      </c>
      <c r="B93" s="5" t="s">
        <v>225</v>
      </c>
      <c r="C93" s="6" t="s">
        <v>590</v>
      </c>
      <c r="D93" s="5" t="s">
        <v>226</v>
      </c>
    </row>
    <row r="94" spans="1:4" x14ac:dyDescent="0.25">
      <c r="A94" s="5" t="s">
        <v>113</v>
      </c>
      <c r="B94" s="5" t="s">
        <v>123</v>
      </c>
      <c r="C94" s="6" t="s">
        <v>591</v>
      </c>
      <c r="D94" s="5" t="s">
        <v>227</v>
      </c>
    </row>
    <row r="95" spans="1:4" x14ac:dyDescent="0.25">
      <c r="A95" s="5" t="s">
        <v>228</v>
      </c>
      <c r="B95" s="5" t="s">
        <v>229</v>
      </c>
      <c r="C95" s="6" t="s">
        <v>592</v>
      </c>
      <c r="D95" s="5" t="s">
        <v>230</v>
      </c>
    </row>
    <row r="96" spans="1:4" x14ac:dyDescent="0.25">
      <c r="A96" s="5" t="s">
        <v>231</v>
      </c>
      <c r="B96" s="5" t="s">
        <v>232</v>
      </c>
      <c r="C96" s="6" t="s">
        <v>525</v>
      </c>
      <c r="D96" s="5" t="s">
        <v>233</v>
      </c>
    </row>
    <row r="97" spans="1:4" x14ac:dyDescent="0.25">
      <c r="A97" s="5" t="s">
        <v>234</v>
      </c>
      <c r="B97" s="5" t="s">
        <v>235</v>
      </c>
      <c r="C97" s="6" t="s">
        <v>568</v>
      </c>
      <c r="D97" s="5" t="s">
        <v>236</v>
      </c>
    </row>
    <row r="98" spans="1:4" x14ac:dyDescent="0.25">
      <c r="A98" s="5" t="s">
        <v>99</v>
      </c>
      <c r="B98" s="5" t="s">
        <v>23</v>
      </c>
      <c r="C98" s="6" t="s">
        <v>520</v>
      </c>
      <c r="D98" s="5" t="s">
        <v>237</v>
      </c>
    </row>
    <row r="99" spans="1:4" x14ac:dyDescent="0.25">
      <c r="A99" s="5" t="s">
        <v>110</v>
      </c>
      <c r="B99" s="5" t="s">
        <v>13</v>
      </c>
      <c r="C99" s="6" t="s">
        <v>584</v>
      </c>
      <c r="D99" s="5" t="s">
        <v>238</v>
      </c>
    </row>
    <row r="100" spans="1:4" x14ac:dyDescent="0.25">
      <c r="A100" s="5" t="s">
        <v>71</v>
      </c>
      <c r="B100" s="5" t="s">
        <v>239</v>
      </c>
      <c r="C100" s="6" t="s">
        <v>593</v>
      </c>
      <c r="D100" s="5" t="s">
        <v>240</v>
      </c>
    </row>
    <row r="101" spans="1:4" x14ac:dyDescent="0.25">
      <c r="A101" s="5" t="s">
        <v>241</v>
      </c>
      <c r="B101" s="5" t="s">
        <v>242</v>
      </c>
      <c r="C101" s="6" t="s">
        <v>594</v>
      </c>
      <c r="D101" s="5" t="s">
        <v>243</v>
      </c>
    </row>
    <row r="102" spans="1:4" x14ac:dyDescent="0.25">
      <c r="A102" s="5" t="s">
        <v>228</v>
      </c>
      <c r="B102" s="5" t="s">
        <v>244</v>
      </c>
      <c r="C102" s="6" t="s">
        <v>595</v>
      </c>
      <c r="D102" s="5" t="s">
        <v>245</v>
      </c>
    </row>
    <row r="103" spans="1:4" x14ac:dyDescent="0.25">
      <c r="A103" s="5" t="s">
        <v>246</v>
      </c>
      <c r="B103" s="6"/>
      <c r="C103" s="6" t="s">
        <v>580</v>
      </c>
      <c r="D103" s="5" t="s">
        <v>247</v>
      </c>
    </row>
    <row r="104" spans="1:4" x14ac:dyDescent="0.25">
      <c r="A104" s="5" t="s">
        <v>41</v>
      </c>
      <c r="B104" s="5" t="s">
        <v>218</v>
      </c>
      <c r="C104" s="6" t="s">
        <v>530</v>
      </c>
      <c r="D104" s="5" t="s">
        <v>248</v>
      </c>
    </row>
    <row r="105" spans="1:4" x14ac:dyDescent="0.25">
      <c r="A105" s="5" t="s">
        <v>249</v>
      </c>
      <c r="B105" s="5" t="s">
        <v>73</v>
      </c>
      <c r="C105" s="6" t="s">
        <v>565</v>
      </c>
      <c r="D105" s="5" t="s">
        <v>250</v>
      </c>
    </row>
    <row r="106" spans="1:4" x14ac:dyDescent="0.25">
      <c r="A106" s="5" t="s">
        <v>24</v>
      </c>
      <c r="B106" s="5" t="s">
        <v>77</v>
      </c>
      <c r="C106" s="6" t="s">
        <v>568</v>
      </c>
      <c r="D106" s="5" t="s">
        <v>251</v>
      </c>
    </row>
    <row r="107" spans="1:4" x14ac:dyDescent="0.25">
      <c r="A107" s="5" t="s">
        <v>59</v>
      </c>
      <c r="B107" s="5" t="s">
        <v>123</v>
      </c>
      <c r="C107" s="6" t="s">
        <v>596</v>
      </c>
      <c r="D107" s="5" t="s">
        <v>252</v>
      </c>
    </row>
    <row r="108" spans="1:4" x14ac:dyDescent="0.25">
      <c r="A108" s="5" t="s">
        <v>253</v>
      </c>
      <c r="B108" s="5" t="s">
        <v>254</v>
      </c>
      <c r="C108" s="6" t="s">
        <v>524</v>
      </c>
      <c r="D108" s="5" t="s">
        <v>255</v>
      </c>
    </row>
    <row r="109" spans="1:4" x14ac:dyDescent="0.25">
      <c r="A109" s="5" t="s">
        <v>145</v>
      </c>
      <c r="B109" s="5" t="s">
        <v>256</v>
      </c>
      <c r="C109" s="6" t="s">
        <v>566</v>
      </c>
      <c r="D109" s="5" t="s">
        <v>257</v>
      </c>
    </row>
    <row r="110" spans="1:4" x14ac:dyDescent="0.25">
      <c r="A110" s="5" t="s">
        <v>217</v>
      </c>
      <c r="B110" s="5" t="s">
        <v>258</v>
      </c>
      <c r="C110" s="6" t="s">
        <v>597</v>
      </c>
      <c r="D110" s="5" t="s">
        <v>259</v>
      </c>
    </row>
    <row r="111" spans="1:4" x14ac:dyDescent="0.25">
      <c r="A111" s="5" t="s">
        <v>57</v>
      </c>
      <c r="B111" s="5" t="s">
        <v>62</v>
      </c>
      <c r="C111" s="6" t="s">
        <v>534</v>
      </c>
      <c r="D111" s="5" t="s">
        <v>260</v>
      </c>
    </row>
    <row r="112" spans="1:4" x14ac:dyDescent="0.25">
      <c r="A112" s="5" t="s">
        <v>261</v>
      </c>
      <c r="B112" s="5" t="s">
        <v>262</v>
      </c>
      <c r="C112" s="6" t="s">
        <v>524</v>
      </c>
      <c r="D112" s="5" t="s">
        <v>263</v>
      </c>
    </row>
    <row r="113" spans="1:4" x14ac:dyDescent="0.25">
      <c r="A113" s="5" t="s">
        <v>211</v>
      </c>
      <c r="B113" s="5" t="s">
        <v>41</v>
      </c>
      <c r="C113" s="6" t="s">
        <v>598</v>
      </c>
      <c r="D113" s="5" t="s">
        <v>264</v>
      </c>
    </row>
    <row r="114" spans="1:4" x14ac:dyDescent="0.25">
      <c r="A114" s="5" t="s">
        <v>217</v>
      </c>
      <c r="B114" s="5" t="s">
        <v>258</v>
      </c>
      <c r="C114" s="6" t="s">
        <v>597</v>
      </c>
      <c r="D114" s="5" t="s">
        <v>265</v>
      </c>
    </row>
    <row r="115" spans="1:4" x14ac:dyDescent="0.25">
      <c r="A115" s="5" t="s">
        <v>266</v>
      </c>
      <c r="B115" s="5" t="s">
        <v>267</v>
      </c>
      <c r="C115" s="6" t="s">
        <v>599</v>
      </c>
      <c r="D115" s="5" t="s">
        <v>268</v>
      </c>
    </row>
    <row r="116" spans="1:4" x14ac:dyDescent="0.25">
      <c r="A116" s="5" t="s">
        <v>48</v>
      </c>
      <c r="B116" s="5" t="s">
        <v>7</v>
      </c>
      <c r="C116" s="6" t="s">
        <v>600</v>
      </c>
      <c r="D116" s="5" t="s">
        <v>269</v>
      </c>
    </row>
    <row r="117" spans="1:4" x14ac:dyDescent="0.25">
      <c r="A117" s="5" t="s">
        <v>241</v>
      </c>
      <c r="B117" s="5" t="s">
        <v>59</v>
      </c>
      <c r="C117" s="6" t="s">
        <v>601</v>
      </c>
      <c r="D117" s="5" t="s">
        <v>270</v>
      </c>
    </row>
    <row r="118" spans="1:4" x14ac:dyDescent="0.25">
      <c r="A118" s="5" t="s">
        <v>167</v>
      </c>
      <c r="B118" s="5" t="s">
        <v>168</v>
      </c>
      <c r="C118" s="6" t="s">
        <v>573</v>
      </c>
      <c r="D118" s="5" t="s">
        <v>271</v>
      </c>
    </row>
    <row r="119" spans="1:4" x14ac:dyDescent="0.25">
      <c r="A119" s="5" t="s">
        <v>67</v>
      </c>
      <c r="B119" s="5" t="s">
        <v>246</v>
      </c>
      <c r="C119" s="6" t="s">
        <v>525</v>
      </c>
      <c r="D119" s="5" t="s">
        <v>273</v>
      </c>
    </row>
    <row r="120" spans="1:4" x14ac:dyDescent="0.25">
      <c r="A120" s="5" t="s">
        <v>89</v>
      </c>
      <c r="B120" s="5" t="s">
        <v>275</v>
      </c>
      <c r="C120" s="6" t="s">
        <v>602</v>
      </c>
      <c r="D120" s="5" t="s">
        <v>276</v>
      </c>
    </row>
    <row r="121" spans="1:4" x14ac:dyDescent="0.25">
      <c r="A121" s="5" t="s">
        <v>89</v>
      </c>
      <c r="B121" s="5" t="s">
        <v>89</v>
      </c>
      <c r="C121" s="6" t="s">
        <v>603</v>
      </c>
      <c r="D121" s="5" t="s">
        <v>277</v>
      </c>
    </row>
    <row r="122" spans="1:4" x14ac:dyDescent="0.25">
      <c r="A122" s="5" t="s">
        <v>278</v>
      </c>
      <c r="B122" s="5" t="s">
        <v>217</v>
      </c>
      <c r="C122" s="6" t="s">
        <v>604</v>
      </c>
      <c r="D122" s="5" t="s">
        <v>279</v>
      </c>
    </row>
    <row r="123" spans="1:4" x14ac:dyDescent="0.25">
      <c r="A123" s="5" t="s">
        <v>280</v>
      </c>
      <c r="B123" s="5" t="s">
        <v>281</v>
      </c>
      <c r="C123" s="6" t="s">
        <v>605</v>
      </c>
      <c r="D123" s="5" t="s">
        <v>282</v>
      </c>
    </row>
    <row r="124" spans="1:4" x14ac:dyDescent="0.25">
      <c r="A124" s="5" t="s">
        <v>283</v>
      </c>
      <c r="B124" s="5" t="s">
        <v>168</v>
      </c>
      <c r="C124" s="6" t="s">
        <v>524</v>
      </c>
      <c r="D124" s="5" t="s">
        <v>284</v>
      </c>
    </row>
    <row r="125" spans="1:4" x14ac:dyDescent="0.25">
      <c r="A125" s="5" t="s">
        <v>112</v>
      </c>
      <c r="B125" s="5" t="s">
        <v>6</v>
      </c>
      <c r="C125" s="6" t="s">
        <v>521</v>
      </c>
      <c r="D125" s="5" t="s">
        <v>285</v>
      </c>
    </row>
    <row r="126" spans="1:4" x14ac:dyDescent="0.25">
      <c r="A126" s="5" t="s">
        <v>278</v>
      </c>
      <c r="B126" s="5" t="s">
        <v>217</v>
      </c>
      <c r="C126" s="6" t="s">
        <v>604</v>
      </c>
      <c r="D126" s="5" t="s">
        <v>286</v>
      </c>
    </row>
    <row r="127" spans="1:4" x14ac:dyDescent="0.25">
      <c r="A127" s="5" t="s">
        <v>112</v>
      </c>
      <c r="B127" s="5" t="s">
        <v>287</v>
      </c>
      <c r="C127" s="6" t="s">
        <v>584</v>
      </c>
      <c r="D127" s="5" t="s">
        <v>288</v>
      </c>
    </row>
    <row r="128" spans="1:4" x14ac:dyDescent="0.25">
      <c r="A128" s="5" t="s">
        <v>8</v>
      </c>
      <c r="B128" s="5" t="s">
        <v>290</v>
      </c>
      <c r="C128" s="6" t="s">
        <v>606</v>
      </c>
      <c r="D128" s="5" t="s">
        <v>291</v>
      </c>
    </row>
    <row r="129" spans="1:4" x14ac:dyDescent="0.25">
      <c r="A129" s="5" t="s">
        <v>103</v>
      </c>
      <c r="B129" s="5" t="s">
        <v>225</v>
      </c>
      <c r="C129" s="6" t="s">
        <v>590</v>
      </c>
      <c r="D129" s="5" t="s">
        <v>292</v>
      </c>
    </row>
    <row r="130" spans="1:4" x14ac:dyDescent="0.25">
      <c r="A130" s="5" t="s">
        <v>24</v>
      </c>
      <c r="B130" s="5" t="s">
        <v>293</v>
      </c>
      <c r="C130" s="6" t="s">
        <v>607</v>
      </c>
      <c r="D130" s="5" t="s">
        <v>294</v>
      </c>
    </row>
    <row r="131" spans="1:4" x14ac:dyDescent="0.25">
      <c r="A131" s="5" t="s">
        <v>192</v>
      </c>
      <c r="B131" s="5" t="s">
        <v>295</v>
      </c>
      <c r="C131" s="6" t="s">
        <v>608</v>
      </c>
      <c r="D131" s="5" t="s">
        <v>296</v>
      </c>
    </row>
    <row r="132" spans="1:4" x14ac:dyDescent="0.25">
      <c r="A132" s="5" t="s">
        <v>297</v>
      </c>
      <c r="B132" s="5" t="s">
        <v>13</v>
      </c>
      <c r="C132" s="6" t="s">
        <v>609</v>
      </c>
      <c r="D132" s="5" t="s">
        <v>298</v>
      </c>
    </row>
    <row r="133" spans="1:4" x14ac:dyDescent="0.25">
      <c r="A133" s="5" t="s">
        <v>299</v>
      </c>
      <c r="B133" s="5" t="s">
        <v>300</v>
      </c>
      <c r="C133" s="6" t="s">
        <v>610</v>
      </c>
      <c r="D133" s="5" t="s">
        <v>302</v>
      </c>
    </row>
    <row r="134" spans="1:4" x14ac:dyDescent="0.25">
      <c r="A134" s="5" t="s">
        <v>155</v>
      </c>
      <c r="B134" s="5" t="s">
        <v>73</v>
      </c>
      <c r="C134" s="6" t="s">
        <v>524</v>
      </c>
      <c r="D134" s="5" t="s">
        <v>303</v>
      </c>
    </row>
    <row r="135" spans="1:4" x14ac:dyDescent="0.25">
      <c r="A135" s="5" t="s">
        <v>73</v>
      </c>
      <c r="B135" s="5" t="s">
        <v>246</v>
      </c>
      <c r="C135" s="6" t="s">
        <v>611</v>
      </c>
      <c r="D135" s="5" t="s">
        <v>304</v>
      </c>
    </row>
    <row r="136" spans="1:4" x14ac:dyDescent="0.25">
      <c r="A136" s="5" t="s">
        <v>62</v>
      </c>
      <c r="B136" s="5" t="s">
        <v>98</v>
      </c>
      <c r="C136" s="6" t="s">
        <v>547</v>
      </c>
      <c r="D136" s="5" t="s">
        <v>305</v>
      </c>
    </row>
    <row r="137" spans="1:4" x14ac:dyDescent="0.25">
      <c r="A137" s="5" t="s">
        <v>7</v>
      </c>
      <c r="B137" s="5" t="s">
        <v>306</v>
      </c>
      <c r="C137" s="6" t="s">
        <v>612</v>
      </c>
      <c r="D137" s="5" t="s">
        <v>307</v>
      </c>
    </row>
    <row r="138" spans="1:4" x14ac:dyDescent="0.25">
      <c r="A138" s="5" t="s">
        <v>104</v>
      </c>
      <c r="B138" s="5" t="s">
        <v>217</v>
      </c>
      <c r="C138" s="6" t="s">
        <v>613</v>
      </c>
      <c r="D138" s="5" t="s">
        <v>308</v>
      </c>
    </row>
    <row r="139" spans="1:4" x14ac:dyDescent="0.25">
      <c r="A139" s="5" t="s">
        <v>309</v>
      </c>
      <c r="B139" s="5" t="s">
        <v>42</v>
      </c>
      <c r="C139" s="6" t="s">
        <v>525</v>
      </c>
      <c r="D139" s="5" t="s">
        <v>310</v>
      </c>
    </row>
    <row r="140" spans="1:4" x14ac:dyDescent="0.25">
      <c r="A140" s="5" t="s">
        <v>311</v>
      </c>
      <c r="B140" s="5" t="s">
        <v>222</v>
      </c>
      <c r="C140" s="6" t="s">
        <v>614</v>
      </c>
      <c r="D140" s="5" t="s">
        <v>312</v>
      </c>
    </row>
    <row r="141" spans="1:4" x14ac:dyDescent="0.25">
      <c r="A141" s="5" t="s">
        <v>314</v>
      </c>
      <c r="B141" s="5" t="s">
        <v>150</v>
      </c>
      <c r="C141" s="6" t="s">
        <v>583</v>
      </c>
      <c r="D141" s="5" t="s">
        <v>315</v>
      </c>
    </row>
    <row r="142" spans="1:4" x14ac:dyDescent="0.25">
      <c r="A142" s="5" t="s">
        <v>119</v>
      </c>
      <c r="B142" s="6"/>
      <c r="C142" s="6" t="s">
        <v>558</v>
      </c>
      <c r="D142" s="5" t="s">
        <v>316</v>
      </c>
    </row>
    <row r="143" spans="1:4" x14ac:dyDescent="0.25">
      <c r="A143" s="5" t="s">
        <v>317</v>
      </c>
      <c r="B143" s="5" t="s">
        <v>318</v>
      </c>
      <c r="C143" s="6" t="s">
        <v>575</v>
      </c>
      <c r="D143" s="5" t="s">
        <v>319</v>
      </c>
    </row>
    <row r="144" spans="1:4" x14ac:dyDescent="0.25">
      <c r="A144" s="5" t="s">
        <v>246</v>
      </c>
      <c r="B144" s="5" t="s">
        <v>244</v>
      </c>
      <c r="C144" s="6" t="s">
        <v>520</v>
      </c>
      <c r="D144" s="5" t="s">
        <v>320</v>
      </c>
    </row>
    <row r="145" spans="1:4" x14ac:dyDescent="0.25">
      <c r="A145" s="5" t="s">
        <v>167</v>
      </c>
      <c r="B145" s="5" t="s">
        <v>321</v>
      </c>
      <c r="C145" s="6" t="s">
        <v>615</v>
      </c>
      <c r="D145" s="5" t="s">
        <v>322</v>
      </c>
    </row>
    <row r="146" spans="1:4" x14ac:dyDescent="0.25">
      <c r="A146" s="5" t="s">
        <v>318</v>
      </c>
      <c r="B146" s="5" t="s">
        <v>74</v>
      </c>
      <c r="C146" s="6" t="s">
        <v>530</v>
      </c>
      <c r="D146" s="5" t="s">
        <v>323</v>
      </c>
    </row>
    <row r="147" spans="1:4" x14ac:dyDescent="0.25">
      <c r="A147" s="5" t="s">
        <v>324</v>
      </c>
      <c r="B147" s="5" t="s">
        <v>317</v>
      </c>
      <c r="C147" s="6" t="s">
        <v>616</v>
      </c>
      <c r="D147" s="5" t="s">
        <v>325</v>
      </c>
    </row>
    <row r="148" spans="1:4" x14ac:dyDescent="0.25">
      <c r="A148" s="5" t="s">
        <v>326</v>
      </c>
      <c r="B148" s="5" t="s">
        <v>327</v>
      </c>
      <c r="C148" s="6" t="s">
        <v>617</v>
      </c>
      <c r="D148" s="5" t="s">
        <v>328</v>
      </c>
    </row>
    <row r="149" spans="1:4" x14ac:dyDescent="0.25">
      <c r="A149" s="5" t="s">
        <v>329</v>
      </c>
      <c r="B149" s="5" t="s">
        <v>330</v>
      </c>
      <c r="C149" s="6" t="s">
        <v>618</v>
      </c>
      <c r="D149" s="5" t="s">
        <v>331</v>
      </c>
    </row>
    <row r="150" spans="1:4" x14ac:dyDescent="0.25">
      <c r="A150" s="5" t="s">
        <v>258</v>
      </c>
      <c r="B150" s="5" t="s">
        <v>48</v>
      </c>
      <c r="C150" s="6" t="s">
        <v>619</v>
      </c>
      <c r="D150" s="5" t="s">
        <v>332</v>
      </c>
    </row>
    <row r="151" spans="1:4" x14ac:dyDescent="0.25">
      <c r="A151" s="5" t="s">
        <v>222</v>
      </c>
      <c r="B151" s="5" t="s">
        <v>333</v>
      </c>
      <c r="C151" s="6" t="s">
        <v>539</v>
      </c>
      <c r="D151" s="5" t="s">
        <v>334</v>
      </c>
    </row>
    <row r="152" spans="1:4" x14ac:dyDescent="0.25">
      <c r="A152" s="5" t="s">
        <v>335</v>
      </c>
      <c r="B152" s="5" t="s">
        <v>336</v>
      </c>
      <c r="C152" s="6" t="s">
        <v>575</v>
      </c>
      <c r="D152" s="5" t="s">
        <v>337</v>
      </c>
    </row>
    <row r="153" spans="1:4" x14ac:dyDescent="0.25">
      <c r="A153" s="5" t="s">
        <v>8</v>
      </c>
      <c r="B153" s="5" t="s">
        <v>112</v>
      </c>
      <c r="C153" s="6" t="s">
        <v>548</v>
      </c>
      <c r="D153" s="5" t="s">
        <v>338</v>
      </c>
    </row>
    <row r="154" spans="1:4" x14ac:dyDescent="0.25">
      <c r="A154" s="5" t="s">
        <v>168</v>
      </c>
      <c r="B154" s="5" t="s">
        <v>168</v>
      </c>
      <c r="C154" s="6" t="s">
        <v>524</v>
      </c>
      <c r="D154" s="5" t="s">
        <v>339</v>
      </c>
    </row>
    <row r="155" spans="1:4" x14ac:dyDescent="0.25">
      <c r="A155" s="5" t="s">
        <v>74</v>
      </c>
      <c r="B155" s="5" t="s">
        <v>340</v>
      </c>
      <c r="C155" s="6" t="s">
        <v>620</v>
      </c>
      <c r="D155" s="5" t="s">
        <v>341</v>
      </c>
    </row>
    <row r="156" spans="1:4" x14ac:dyDescent="0.25">
      <c r="A156" s="5" t="s">
        <v>192</v>
      </c>
      <c r="B156" s="5" t="s">
        <v>342</v>
      </c>
      <c r="C156" s="6" t="s">
        <v>621</v>
      </c>
      <c r="D156" s="5" t="s">
        <v>343</v>
      </c>
    </row>
    <row r="157" spans="1:4" x14ac:dyDescent="0.25">
      <c r="A157" s="5" t="s">
        <v>344</v>
      </c>
      <c r="B157" s="5" t="s">
        <v>30</v>
      </c>
      <c r="C157" s="6" t="s">
        <v>622</v>
      </c>
      <c r="D157" s="5" t="s">
        <v>345</v>
      </c>
    </row>
    <row r="158" spans="1:4" x14ac:dyDescent="0.25">
      <c r="A158" s="5" t="s">
        <v>208</v>
      </c>
      <c r="B158" s="5" t="s">
        <v>346</v>
      </c>
      <c r="C158" s="6" t="s">
        <v>623</v>
      </c>
      <c r="D158" s="5" t="s">
        <v>347</v>
      </c>
    </row>
    <row r="159" spans="1:4" x14ac:dyDescent="0.25">
      <c r="A159" s="5" t="s">
        <v>10</v>
      </c>
      <c r="B159" s="5" t="s">
        <v>306</v>
      </c>
      <c r="C159" s="6" t="s">
        <v>624</v>
      </c>
      <c r="D159" s="5" t="s">
        <v>348</v>
      </c>
    </row>
    <row r="160" spans="1:4" x14ac:dyDescent="0.25">
      <c r="A160" s="5" t="s">
        <v>34</v>
      </c>
      <c r="B160" s="5" t="s">
        <v>349</v>
      </c>
      <c r="C160" s="6" t="s">
        <v>625</v>
      </c>
      <c r="D160" s="5" t="s">
        <v>348</v>
      </c>
    </row>
    <row r="161" spans="1:4" x14ac:dyDescent="0.25">
      <c r="A161" s="5" t="s">
        <v>261</v>
      </c>
      <c r="B161" s="5" t="s">
        <v>262</v>
      </c>
      <c r="C161" s="6" t="s">
        <v>524</v>
      </c>
      <c r="D161" s="5" t="s">
        <v>350</v>
      </c>
    </row>
    <row r="162" spans="1:4" x14ac:dyDescent="0.25">
      <c r="A162" s="5" t="s">
        <v>132</v>
      </c>
      <c r="B162" s="5" t="s">
        <v>300</v>
      </c>
      <c r="C162" s="6" t="s">
        <v>565</v>
      </c>
      <c r="D162" s="5" t="s">
        <v>351</v>
      </c>
    </row>
    <row r="163" spans="1:4" x14ac:dyDescent="0.25">
      <c r="A163" s="5" t="s">
        <v>14</v>
      </c>
      <c r="B163" s="5" t="s">
        <v>162</v>
      </c>
      <c r="C163" s="6" t="s">
        <v>599</v>
      </c>
      <c r="D163" s="5" t="s">
        <v>352</v>
      </c>
    </row>
    <row r="164" spans="1:4" x14ac:dyDescent="0.25">
      <c r="A164" s="5" t="s">
        <v>73</v>
      </c>
      <c r="B164" s="5" t="s">
        <v>74</v>
      </c>
      <c r="C164" s="6" t="s">
        <v>538</v>
      </c>
      <c r="D164" s="5" t="s">
        <v>353</v>
      </c>
    </row>
    <row r="165" spans="1:4" x14ac:dyDescent="0.25">
      <c r="A165" s="5" t="s">
        <v>246</v>
      </c>
      <c r="B165" s="5" t="s">
        <v>140</v>
      </c>
      <c r="C165" s="6" t="s">
        <v>626</v>
      </c>
      <c r="D165" s="5" t="s">
        <v>354</v>
      </c>
    </row>
    <row r="166" spans="1:4" x14ac:dyDescent="0.25">
      <c r="A166" s="5" t="s">
        <v>98</v>
      </c>
      <c r="B166" s="5" t="s">
        <v>98</v>
      </c>
      <c r="C166" s="6" t="s">
        <v>547</v>
      </c>
      <c r="D166" s="5" t="s">
        <v>355</v>
      </c>
    </row>
    <row r="167" spans="1:4" x14ac:dyDescent="0.25">
      <c r="A167" s="5" t="s">
        <v>356</v>
      </c>
      <c r="B167" s="5" t="s">
        <v>357</v>
      </c>
      <c r="C167" s="6" t="s">
        <v>533</v>
      </c>
      <c r="D167" s="5" t="s">
        <v>358</v>
      </c>
    </row>
    <row r="168" spans="1:4" x14ac:dyDescent="0.25">
      <c r="A168" s="5" t="s">
        <v>107</v>
      </c>
      <c r="B168" s="5" t="s">
        <v>108</v>
      </c>
      <c r="C168" s="6" t="s">
        <v>553</v>
      </c>
      <c r="D168" s="5" t="s">
        <v>359</v>
      </c>
    </row>
    <row r="169" spans="1:4" x14ac:dyDescent="0.25">
      <c r="A169" s="5" t="s">
        <v>4</v>
      </c>
      <c r="B169" s="5" t="s">
        <v>73</v>
      </c>
      <c r="C169" s="6" t="s">
        <v>554</v>
      </c>
      <c r="D169" s="5" t="s">
        <v>360</v>
      </c>
    </row>
    <row r="170" spans="1:4" x14ac:dyDescent="0.25">
      <c r="A170" s="5" t="s">
        <v>217</v>
      </c>
      <c r="B170" s="5" t="s">
        <v>361</v>
      </c>
      <c r="C170" s="6" t="s">
        <v>627</v>
      </c>
      <c r="D170" s="5" t="s">
        <v>362</v>
      </c>
    </row>
    <row r="171" spans="1:4" x14ac:dyDescent="0.25">
      <c r="A171" s="5" t="s">
        <v>98</v>
      </c>
      <c r="B171" s="5" t="s">
        <v>12</v>
      </c>
      <c r="C171" s="6" t="s">
        <v>530</v>
      </c>
      <c r="D171" s="5" t="s">
        <v>363</v>
      </c>
    </row>
    <row r="172" spans="1:4" x14ac:dyDescent="0.25">
      <c r="A172" s="5" t="s">
        <v>74</v>
      </c>
      <c r="B172" s="5" t="s">
        <v>140</v>
      </c>
      <c r="C172" s="6" t="s">
        <v>591</v>
      </c>
      <c r="D172" s="5" t="s">
        <v>364</v>
      </c>
    </row>
    <row r="173" spans="1:4" x14ac:dyDescent="0.25">
      <c r="A173" s="5" t="s">
        <v>365</v>
      </c>
      <c r="B173" s="5" t="s">
        <v>318</v>
      </c>
      <c r="C173" s="6" t="s">
        <v>628</v>
      </c>
      <c r="D173" s="5" t="s">
        <v>366</v>
      </c>
    </row>
    <row r="174" spans="1:4" x14ac:dyDescent="0.25">
      <c r="A174" s="5" t="s">
        <v>10</v>
      </c>
      <c r="B174" s="5" t="s">
        <v>367</v>
      </c>
      <c r="C174" s="6" t="s">
        <v>583</v>
      </c>
      <c r="D174" s="5" t="s">
        <v>368</v>
      </c>
    </row>
    <row r="175" spans="1:4" x14ac:dyDescent="0.25">
      <c r="A175" s="5" t="s">
        <v>369</v>
      </c>
      <c r="B175" s="5" t="s">
        <v>57</v>
      </c>
      <c r="C175" s="6" t="s">
        <v>591</v>
      </c>
      <c r="D175" s="5" t="s">
        <v>370</v>
      </c>
    </row>
    <row r="176" spans="1:4" x14ac:dyDescent="0.25">
      <c r="A176" s="5" t="s">
        <v>371</v>
      </c>
      <c r="B176" s="5" t="s">
        <v>41</v>
      </c>
      <c r="C176" s="6" t="s">
        <v>524</v>
      </c>
      <c r="D176" s="5" t="s">
        <v>372</v>
      </c>
    </row>
    <row r="177" spans="1:4" x14ac:dyDescent="0.25">
      <c r="A177" s="5" t="s">
        <v>89</v>
      </c>
      <c r="B177" s="5" t="s">
        <v>8</v>
      </c>
      <c r="C177" s="6" t="s">
        <v>544</v>
      </c>
      <c r="D177" s="5" t="s">
        <v>373</v>
      </c>
    </row>
    <row r="178" spans="1:4" x14ac:dyDescent="0.25">
      <c r="A178" s="5" t="s">
        <v>222</v>
      </c>
      <c r="B178" s="5" t="s">
        <v>333</v>
      </c>
      <c r="C178" s="6" t="s">
        <v>539</v>
      </c>
      <c r="D178" s="5" t="s">
        <v>374</v>
      </c>
    </row>
    <row r="179" spans="1:4" x14ac:dyDescent="0.25">
      <c r="A179" s="5" t="s">
        <v>375</v>
      </c>
      <c r="B179" s="5" t="s">
        <v>132</v>
      </c>
      <c r="C179" s="6" t="s">
        <v>575</v>
      </c>
      <c r="D179" s="5" t="s">
        <v>376</v>
      </c>
    </row>
    <row r="180" spans="1:4" x14ac:dyDescent="0.25">
      <c r="A180" s="5" t="s">
        <v>241</v>
      </c>
      <c r="B180" s="5" t="s">
        <v>59</v>
      </c>
      <c r="C180" s="6" t="s">
        <v>601</v>
      </c>
      <c r="D180" s="5" t="s">
        <v>376</v>
      </c>
    </row>
    <row r="181" spans="1:4" x14ac:dyDescent="0.25">
      <c r="A181" s="5" t="s">
        <v>24</v>
      </c>
      <c r="B181" s="5" t="s">
        <v>293</v>
      </c>
      <c r="C181" s="6" t="s">
        <v>520</v>
      </c>
      <c r="D181" s="5" t="s">
        <v>377</v>
      </c>
    </row>
    <row r="182" spans="1:4" x14ac:dyDescent="0.25">
      <c r="A182" s="5" t="s">
        <v>154</v>
      </c>
      <c r="B182" s="5" t="s">
        <v>155</v>
      </c>
      <c r="C182" s="6" t="s">
        <v>569</v>
      </c>
      <c r="D182" s="5" t="s">
        <v>378</v>
      </c>
    </row>
    <row r="183" spans="1:4" x14ac:dyDescent="0.25">
      <c r="A183" s="5" t="s">
        <v>208</v>
      </c>
      <c r="B183" s="5" t="s">
        <v>91</v>
      </c>
      <c r="C183" s="6" t="s">
        <v>629</v>
      </c>
      <c r="D183" s="5" t="s">
        <v>379</v>
      </c>
    </row>
    <row r="184" spans="1:4" x14ac:dyDescent="0.25">
      <c r="A184" s="5" t="s">
        <v>314</v>
      </c>
      <c r="B184" s="5" t="s">
        <v>300</v>
      </c>
      <c r="C184" s="6" t="s">
        <v>630</v>
      </c>
      <c r="D184" s="5" t="s">
        <v>380</v>
      </c>
    </row>
    <row r="185" spans="1:4" x14ac:dyDescent="0.25">
      <c r="A185" s="5" t="s">
        <v>381</v>
      </c>
      <c r="B185" s="5" t="s">
        <v>375</v>
      </c>
      <c r="C185" s="6" t="s">
        <v>631</v>
      </c>
      <c r="D185" s="5" t="s">
        <v>382</v>
      </c>
    </row>
    <row r="186" spans="1:4" x14ac:dyDescent="0.25">
      <c r="A186" s="5" t="s">
        <v>383</v>
      </c>
      <c r="B186" s="5" t="s">
        <v>384</v>
      </c>
      <c r="C186" s="6" t="s">
        <v>576</v>
      </c>
      <c r="D186" s="5" t="s">
        <v>385</v>
      </c>
    </row>
    <row r="187" spans="1:4" x14ac:dyDescent="0.25">
      <c r="A187" s="5" t="s">
        <v>38</v>
      </c>
      <c r="B187" s="5" t="s">
        <v>386</v>
      </c>
      <c r="C187" s="6" t="s">
        <v>632</v>
      </c>
      <c r="D187" s="5" t="s">
        <v>387</v>
      </c>
    </row>
    <row r="188" spans="1:4" x14ac:dyDescent="0.25">
      <c r="A188" s="5" t="s">
        <v>74</v>
      </c>
      <c r="B188" s="5" t="s">
        <v>388</v>
      </c>
      <c r="C188" s="6" t="s">
        <v>633</v>
      </c>
      <c r="D188" s="5" t="s">
        <v>389</v>
      </c>
    </row>
    <row r="189" spans="1:4" x14ac:dyDescent="0.25">
      <c r="A189" s="5" t="s">
        <v>390</v>
      </c>
      <c r="B189" s="5" t="s">
        <v>42</v>
      </c>
      <c r="C189" s="6" t="s">
        <v>549</v>
      </c>
      <c r="D189" s="5" t="s">
        <v>391</v>
      </c>
    </row>
    <row r="190" spans="1:4" x14ac:dyDescent="0.25">
      <c r="A190" s="5" t="s">
        <v>132</v>
      </c>
      <c r="B190" s="5" t="s">
        <v>392</v>
      </c>
      <c r="C190" s="6" t="s">
        <v>599</v>
      </c>
      <c r="D190" s="5" t="s">
        <v>393</v>
      </c>
    </row>
    <row r="191" spans="1:4" x14ac:dyDescent="0.25">
      <c r="A191" s="5" t="s">
        <v>12</v>
      </c>
      <c r="B191" s="5" t="s">
        <v>324</v>
      </c>
      <c r="C191" s="6" t="s">
        <v>634</v>
      </c>
      <c r="D191" s="5" t="s">
        <v>394</v>
      </c>
    </row>
    <row r="192" spans="1:4" x14ac:dyDescent="0.25">
      <c r="A192" s="5" t="s">
        <v>28</v>
      </c>
      <c r="B192" s="5" t="s">
        <v>74</v>
      </c>
      <c r="C192" s="6" t="s">
        <v>519</v>
      </c>
      <c r="D192" s="5" t="s">
        <v>394</v>
      </c>
    </row>
    <row r="193" spans="1:4" x14ac:dyDescent="0.25">
      <c r="A193" s="5" t="s">
        <v>130</v>
      </c>
      <c r="B193" s="5" t="s">
        <v>165</v>
      </c>
      <c r="C193" s="6" t="s">
        <v>547</v>
      </c>
      <c r="D193" s="5" t="s">
        <v>395</v>
      </c>
    </row>
    <row r="194" spans="1:4" x14ac:dyDescent="0.25">
      <c r="A194" s="5" t="s">
        <v>42</v>
      </c>
      <c r="B194" s="5" t="s">
        <v>396</v>
      </c>
      <c r="C194" s="6" t="s">
        <v>635</v>
      </c>
      <c r="D194" s="5" t="s">
        <v>397</v>
      </c>
    </row>
    <row r="195" spans="1:4" x14ac:dyDescent="0.25">
      <c r="A195" s="5" t="s">
        <v>318</v>
      </c>
      <c r="B195" s="5" t="s">
        <v>91</v>
      </c>
      <c r="C195" s="6" t="s">
        <v>584</v>
      </c>
      <c r="D195" s="5" t="s">
        <v>398</v>
      </c>
    </row>
    <row r="196" spans="1:4" x14ac:dyDescent="0.25">
      <c r="A196" s="5" t="s">
        <v>53</v>
      </c>
      <c r="B196" s="5" t="s">
        <v>54</v>
      </c>
      <c r="C196" s="6" t="s">
        <v>529</v>
      </c>
      <c r="D196" s="5" t="s">
        <v>399</v>
      </c>
    </row>
    <row r="197" spans="1:4" x14ac:dyDescent="0.25">
      <c r="A197" s="5" t="s">
        <v>67</v>
      </c>
      <c r="B197" s="5" t="s">
        <v>246</v>
      </c>
      <c r="C197" s="6" t="s">
        <v>525</v>
      </c>
      <c r="D197" s="5" t="s">
        <v>400</v>
      </c>
    </row>
    <row r="198" spans="1:4" x14ac:dyDescent="0.25">
      <c r="A198" s="5" t="s">
        <v>9</v>
      </c>
      <c r="B198" s="5" t="s">
        <v>7</v>
      </c>
      <c r="C198" s="6" t="s">
        <v>636</v>
      </c>
      <c r="D198" s="5" t="s">
        <v>401</v>
      </c>
    </row>
    <row r="199" spans="1:4" x14ac:dyDescent="0.25">
      <c r="A199" s="5" t="s">
        <v>217</v>
      </c>
      <c r="B199" s="5" t="s">
        <v>402</v>
      </c>
      <c r="C199" s="6" t="s">
        <v>555</v>
      </c>
      <c r="D199" s="5" t="s">
        <v>403</v>
      </c>
    </row>
    <row r="200" spans="1:4" x14ac:dyDescent="0.25">
      <c r="A200" s="5" t="s">
        <v>44</v>
      </c>
      <c r="B200" s="5" t="s">
        <v>404</v>
      </c>
      <c r="C200" s="6" t="s">
        <v>637</v>
      </c>
      <c r="D200" s="5" t="s">
        <v>405</v>
      </c>
    </row>
    <row r="201" spans="1:4" x14ac:dyDescent="0.25">
      <c r="A201" s="5" t="s">
        <v>329</v>
      </c>
      <c r="B201" s="5" t="s">
        <v>330</v>
      </c>
      <c r="C201" s="6" t="s">
        <v>618</v>
      </c>
      <c r="D201" s="5" t="s">
        <v>406</v>
      </c>
    </row>
    <row r="202" spans="1:4" x14ac:dyDescent="0.25">
      <c r="A202" s="5" t="s">
        <v>113</v>
      </c>
      <c r="B202" s="5" t="s">
        <v>123</v>
      </c>
      <c r="C202" s="6" t="s">
        <v>591</v>
      </c>
      <c r="D202" s="5" t="s">
        <v>407</v>
      </c>
    </row>
    <row r="203" spans="1:4" x14ac:dyDescent="0.25">
      <c r="A203" s="5" t="s">
        <v>98</v>
      </c>
      <c r="B203" s="5" t="s">
        <v>112</v>
      </c>
      <c r="C203" s="6" t="s">
        <v>560</v>
      </c>
      <c r="D203" s="5" t="s">
        <v>408</v>
      </c>
    </row>
    <row r="204" spans="1:4" x14ac:dyDescent="0.25">
      <c r="A204" s="5" t="s">
        <v>409</v>
      </c>
      <c r="B204" s="5" t="s">
        <v>410</v>
      </c>
      <c r="C204" s="6" t="s">
        <v>638</v>
      </c>
      <c r="D204" s="5" t="s">
        <v>411</v>
      </c>
    </row>
    <row r="205" spans="1:4" x14ac:dyDescent="0.25">
      <c r="A205" s="5" t="s">
        <v>412</v>
      </c>
      <c r="B205" s="5" t="s">
        <v>413</v>
      </c>
      <c r="C205" s="6" t="s">
        <v>639</v>
      </c>
      <c r="D205" s="5" t="s">
        <v>414</v>
      </c>
    </row>
    <row r="206" spans="1:4" x14ac:dyDescent="0.25">
      <c r="A206" s="5" t="s">
        <v>123</v>
      </c>
      <c r="B206" s="5" t="s">
        <v>189</v>
      </c>
      <c r="C206" s="6" t="s">
        <v>640</v>
      </c>
      <c r="D206" s="5" t="s">
        <v>415</v>
      </c>
    </row>
    <row r="207" spans="1:4" x14ac:dyDescent="0.25">
      <c r="A207" s="5" t="s">
        <v>104</v>
      </c>
      <c r="B207" s="5" t="s">
        <v>53</v>
      </c>
      <c r="C207" s="6" t="s">
        <v>576</v>
      </c>
      <c r="D207" s="5" t="s">
        <v>416</v>
      </c>
    </row>
    <row r="208" spans="1:4" x14ac:dyDescent="0.25">
      <c r="A208" s="5" t="s">
        <v>67</v>
      </c>
      <c r="B208" s="5" t="s">
        <v>246</v>
      </c>
      <c r="C208" s="6" t="s">
        <v>525</v>
      </c>
      <c r="D208" s="5" t="s">
        <v>417</v>
      </c>
    </row>
    <row r="209" spans="1:4" x14ac:dyDescent="0.25">
      <c r="A209" s="5" t="s">
        <v>150</v>
      </c>
      <c r="B209" s="5" t="s">
        <v>140</v>
      </c>
      <c r="C209" s="6" t="s">
        <v>641</v>
      </c>
      <c r="D209" s="5" t="s">
        <v>418</v>
      </c>
    </row>
    <row r="210" spans="1:4" x14ac:dyDescent="0.25">
      <c r="A210" s="5" t="s">
        <v>34</v>
      </c>
      <c r="B210" s="5" t="s">
        <v>419</v>
      </c>
      <c r="C210" s="6" t="s">
        <v>562</v>
      </c>
      <c r="D210" s="5" t="s">
        <v>420</v>
      </c>
    </row>
    <row r="211" spans="1:4" x14ac:dyDescent="0.25">
      <c r="A211" s="5" t="s">
        <v>421</v>
      </c>
      <c r="B211" s="5" t="s">
        <v>422</v>
      </c>
      <c r="C211" s="6" t="s">
        <v>527</v>
      </c>
      <c r="D211" s="5" t="s">
        <v>423</v>
      </c>
    </row>
    <row r="212" spans="1:4" x14ac:dyDescent="0.25">
      <c r="A212" s="5" t="s">
        <v>189</v>
      </c>
      <c r="B212" s="5" t="s">
        <v>287</v>
      </c>
      <c r="C212" s="6" t="s">
        <v>642</v>
      </c>
      <c r="D212" s="5" t="s">
        <v>424</v>
      </c>
    </row>
    <row r="213" spans="1:4" x14ac:dyDescent="0.25">
      <c r="A213" s="5" t="s">
        <v>59</v>
      </c>
      <c r="B213" s="5" t="s">
        <v>60</v>
      </c>
      <c r="C213" s="6" t="s">
        <v>532</v>
      </c>
      <c r="D213" s="5" t="s">
        <v>425</v>
      </c>
    </row>
    <row r="214" spans="1:4" x14ac:dyDescent="0.25">
      <c r="A214" s="5" t="s">
        <v>28</v>
      </c>
      <c r="B214" s="5" t="s">
        <v>197</v>
      </c>
      <c r="C214" s="6" t="s">
        <v>599</v>
      </c>
      <c r="D214" s="5" t="s">
        <v>426</v>
      </c>
    </row>
    <row r="215" spans="1:4" x14ac:dyDescent="0.25">
      <c r="A215" s="5" t="s">
        <v>371</v>
      </c>
      <c r="B215" s="5" t="s">
        <v>41</v>
      </c>
      <c r="C215" s="6" t="s">
        <v>524</v>
      </c>
      <c r="D215" s="5" t="s">
        <v>427</v>
      </c>
    </row>
    <row r="216" spans="1:4" x14ac:dyDescent="0.25">
      <c r="A216" s="5" t="s">
        <v>42</v>
      </c>
      <c r="B216" s="5" t="s">
        <v>43</v>
      </c>
      <c r="C216" s="6" t="s">
        <v>635</v>
      </c>
      <c r="D216" s="5" t="s">
        <v>428</v>
      </c>
    </row>
    <row r="217" spans="1:4" x14ac:dyDescent="0.25">
      <c r="A217" s="5" t="s">
        <v>74</v>
      </c>
      <c r="B217" s="5" t="s">
        <v>118</v>
      </c>
      <c r="C217" s="6" t="s">
        <v>591</v>
      </c>
      <c r="D217" s="5" t="s">
        <v>429</v>
      </c>
    </row>
    <row r="218" spans="1:4" x14ac:dyDescent="0.25">
      <c r="A218" s="5" t="s">
        <v>182</v>
      </c>
      <c r="B218" s="5" t="s">
        <v>99</v>
      </c>
      <c r="C218" s="6" t="s">
        <v>643</v>
      </c>
      <c r="D218" s="5" t="s">
        <v>430</v>
      </c>
    </row>
    <row r="219" spans="1:4" x14ac:dyDescent="0.25">
      <c r="A219" s="5" t="s">
        <v>53</v>
      </c>
      <c r="B219" s="5" t="s">
        <v>74</v>
      </c>
      <c r="C219" s="6" t="s">
        <v>572</v>
      </c>
      <c r="D219" s="5" t="s">
        <v>431</v>
      </c>
    </row>
    <row r="220" spans="1:4" x14ac:dyDescent="0.25">
      <c r="A220" s="5" t="s">
        <v>123</v>
      </c>
      <c r="B220" s="5" t="s">
        <v>432</v>
      </c>
      <c r="C220" s="6" t="s">
        <v>644</v>
      </c>
      <c r="D220" s="5" t="s">
        <v>433</v>
      </c>
    </row>
    <row r="221" spans="1:4" x14ac:dyDescent="0.25">
      <c r="A221" s="5" t="s">
        <v>83</v>
      </c>
      <c r="B221" s="5" t="s">
        <v>84</v>
      </c>
      <c r="C221" s="6" t="s">
        <v>552</v>
      </c>
      <c r="D221" s="5" t="s">
        <v>434</v>
      </c>
    </row>
    <row r="222" spans="1:4" x14ac:dyDescent="0.25">
      <c r="A222" s="5" t="s">
        <v>123</v>
      </c>
      <c r="B222" s="5" t="s">
        <v>287</v>
      </c>
      <c r="C222" s="6" t="s">
        <v>642</v>
      </c>
      <c r="D222" s="5" t="s">
        <v>435</v>
      </c>
    </row>
    <row r="223" spans="1:4" x14ac:dyDescent="0.25">
      <c r="A223" s="5" t="s">
        <v>119</v>
      </c>
      <c r="B223" s="5" t="s">
        <v>318</v>
      </c>
      <c r="C223" s="6" t="s">
        <v>645</v>
      </c>
      <c r="D223" s="5" t="s">
        <v>437</v>
      </c>
    </row>
    <row r="224" spans="1:4" x14ac:dyDescent="0.25">
      <c r="A224" s="5" t="s">
        <v>53</v>
      </c>
      <c r="B224" s="5" t="s">
        <v>54</v>
      </c>
      <c r="C224" s="6" t="s">
        <v>529</v>
      </c>
      <c r="D224" s="5" t="s">
        <v>438</v>
      </c>
    </row>
    <row r="225" spans="1:4" x14ac:dyDescent="0.25">
      <c r="A225" s="5" t="s">
        <v>439</v>
      </c>
      <c r="B225" s="5" t="s">
        <v>229</v>
      </c>
      <c r="C225" s="6" t="s">
        <v>528</v>
      </c>
      <c r="D225" s="5" t="s">
        <v>440</v>
      </c>
    </row>
    <row r="226" spans="1:4" x14ac:dyDescent="0.25">
      <c r="A226" s="5" t="s">
        <v>208</v>
      </c>
      <c r="B226" s="5" t="s">
        <v>441</v>
      </c>
      <c r="C226" s="6" t="s">
        <v>646</v>
      </c>
      <c r="D226" s="5" t="s">
        <v>442</v>
      </c>
    </row>
    <row r="227" spans="1:4" x14ac:dyDescent="0.25">
      <c r="A227" s="5" t="s">
        <v>329</v>
      </c>
      <c r="B227" s="5" t="s">
        <v>330</v>
      </c>
      <c r="C227" s="6" t="s">
        <v>618</v>
      </c>
      <c r="D227" s="5" t="s">
        <v>443</v>
      </c>
    </row>
    <row r="228" spans="1:4" x14ac:dyDescent="0.25">
      <c r="A228" s="5" t="s">
        <v>30</v>
      </c>
      <c r="B228" s="5" t="s">
        <v>318</v>
      </c>
      <c r="C228" s="6" t="s">
        <v>647</v>
      </c>
      <c r="D228" s="5" t="s">
        <v>444</v>
      </c>
    </row>
    <row r="229" spans="1:4" x14ac:dyDescent="0.25">
      <c r="A229" s="5" t="s">
        <v>208</v>
      </c>
      <c r="B229" s="5" t="s">
        <v>73</v>
      </c>
      <c r="C229" s="6" t="s">
        <v>648</v>
      </c>
      <c r="D229" s="5" t="s">
        <v>445</v>
      </c>
    </row>
    <row r="230" spans="1:4" x14ac:dyDescent="0.25">
      <c r="A230" s="5" t="s">
        <v>446</v>
      </c>
      <c r="B230" s="5" t="s">
        <v>447</v>
      </c>
      <c r="C230" s="6" t="s">
        <v>530</v>
      </c>
      <c r="D230" s="5" t="s">
        <v>448</v>
      </c>
    </row>
    <row r="231" spans="1:4" x14ac:dyDescent="0.25">
      <c r="A231" s="5" t="s">
        <v>324</v>
      </c>
      <c r="B231" s="5" t="s">
        <v>317</v>
      </c>
      <c r="C231" s="6" t="s">
        <v>616</v>
      </c>
      <c r="D231" s="5" t="s">
        <v>449</v>
      </c>
    </row>
    <row r="232" spans="1:4" x14ac:dyDescent="0.25">
      <c r="A232" s="5" t="s">
        <v>43</v>
      </c>
      <c r="B232" s="5" t="s">
        <v>59</v>
      </c>
      <c r="C232" s="6" t="s">
        <v>649</v>
      </c>
      <c r="D232" s="5" t="s">
        <v>450</v>
      </c>
    </row>
    <row r="233" spans="1:4" x14ac:dyDescent="0.25">
      <c r="A233" s="5" t="s">
        <v>451</v>
      </c>
      <c r="B233" s="5" t="s">
        <v>69</v>
      </c>
      <c r="C233" s="6" t="s">
        <v>650</v>
      </c>
      <c r="D233" s="5" t="s">
        <v>452</v>
      </c>
    </row>
    <row r="234" spans="1:4" x14ac:dyDescent="0.25">
      <c r="A234" s="5" t="s">
        <v>300</v>
      </c>
      <c r="B234" s="5" t="s">
        <v>453</v>
      </c>
      <c r="C234" s="6" t="s">
        <v>519</v>
      </c>
      <c r="D234" s="5" t="s">
        <v>454</v>
      </c>
    </row>
    <row r="235" spans="1:4" x14ac:dyDescent="0.25">
      <c r="A235" s="5" t="s">
        <v>132</v>
      </c>
      <c r="B235" s="5" t="s">
        <v>300</v>
      </c>
      <c r="C235" s="6" t="s">
        <v>565</v>
      </c>
      <c r="D235" s="5" t="s">
        <v>455</v>
      </c>
    </row>
    <row r="236" spans="1:4" x14ac:dyDescent="0.25">
      <c r="A236" s="5" t="s">
        <v>145</v>
      </c>
      <c r="B236" s="5" t="s">
        <v>300</v>
      </c>
      <c r="C236" s="6" t="s">
        <v>530</v>
      </c>
      <c r="D236" s="5" t="s">
        <v>456</v>
      </c>
    </row>
    <row r="237" spans="1:4" x14ac:dyDescent="0.25">
      <c r="A237" s="5" t="s">
        <v>91</v>
      </c>
      <c r="B237" s="5" t="s">
        <v>197</v>
      </c>
      <c r="C237" s="6" t="s">
        <v>651</v>
      </c>
      <c r="D237" s="5" t="s">
        <v>457</v>
      </c>
    </row>
    <row r="238" spans="1:4" x14ac:dyDescent="0.25">
      <c r="A238" s="5" t="s">
        <v>132</v>
      </c>
      <c r="B238" s="5" t="s">
        <v>361</v>
      </c>
      <c r="C238" s="6" t="s">
        <v>652</v>
      </c>
      <c r="D238" s="5" t="s">
        <v>458</v>
      </c>
    </row>
    <row r="239" spans="1:4" x14ac:dyDescent="0.25">
      <c r="A239" s="5" t="s">
        <v>76</v>
      </c>
      <c r="B239" s="5" t="s">
        <v>136</v>
      </c>
      <c r="C239" s="6" t="s">
        <v>539</v>
      </c>
      <c r="D239" s="5" t="s">
        <v>459</v>
      </c>
    </row>
    <row r="240" spans="1:4" x14ac:dyDescent="0.25">
      <c r="A240" s="5" t="s">
        <v>317</v>
      </c>
      <c r="B240" s="5" t="s">
        <v>161</v>
      </c>
      <c r="C240" s="6" t="s">
        <v>591</v>
      </c>
      <c r="D240" s="5" t="s">
        <v>460</v>
      </c>
    </row>
    <row r="241" spans="1:4" x14ac:dyDescent="0.25">
      <c r="A241" s="5" t="s">
        <v>44</v>
      </c>
      <c r="B241" s="5" t="s">
        <v>461</v>
      </c>
      <c r="C241" s="6" t="s">
        <v>653</v>
      </c>
      <c r="D241" s="5" t="s">
        <v>462</v>
      </c>
    </row>
    <row r="242" spans="1:4" x14ac:dyDescent="0.25">
      <c r="A242" s="5" t="s">
        <v>463</v>
      </c>
      <c r="B242" s="5" t="s">
        <v>43</v>
      </c>
      <c r="C242" s="6" t="s">
        <v>654</v>
      </c>
      <c r="D242" s="5" t="s">
        <v>464</v>
      </c>
    </row>
    <row r="243" spans="1:4" x14ac:dyDescent="0.25">
      <c r="A243" s="5" t="s">
        <v>342</v>
      </c>
      <c r="B243" s="5" t="s">
        <v>5</v>
      </c>
      <c r="C243" s="6" t="s">
        <v>655</v>
      </c>
      <c r="D243" s="5" t="s">
        <v>465</v>
      </c>
    </row>
    <row r="244" spans="1:4" x14ac:dyDescent="0.25">
      <c r="A244" s="5" t="s">
        <v>466</v>
      </c>
      <c r="B244" s="5" t="s">
        <v>306</v>
      </c>
      <c r="C244" s="6" t="s">
        <v>646</v>
      </c>
      <c r="D244" s="5" t="s">
        <v>467</v>
      </c>
    </row>
    <row r="245" spans="1:4" x14ac:dyDescent="0.25">
      <c r="A245" s="5" t="s">
        <v>468</v>
      </c>
      <c r="B245" s="5" t="s">
        <v>229</v>
      </c>
      <c r="C245" s="6" t="s">
        <v>587</v>
      </c>
      <c r="D245" s="5" t="s">
        <v>469</v>
      </c>
    </row>
    <row r="246" spans="1:4" x14ac:dyDescent="0.25">
      <c r="A246" s="5" t="s">
        <v>7</v>
      </c>
      <c r="B246" s="5" t="s">
        <v>34</v>
      </c>
      <c r="C246" s="6" t="s">
        <v>656</v>
      </c>
      <c r="D246" s="5" t="s">
        <v>470</v>
      </c>
    </row>
    <row r="247" spans="1:4" x14ac:dyDescent="0.25">
      <c r="A247" s="5" t="s">
        <v>471</v>
      </c>
      <c r="B247" s="5" t="s">
        <v>138</v>
      </c>
      <c r="C247" s="6" t="s">
        <v>657</v>
      </c>
      <c r="D247" s="5" t="s">
        <v>472</v>
      </c>
    </row>
    <row r="248" spans="1:4" x14ac:dyDescent="0.25">
      <c r="A248" s="5" t="s">
        <v>473</v>
      </c>
      <c r="B248" s="5" t="s">
        <v>306</v>
      </c>
      <c r="C248" s="6" t="s">
        <v>658</v>
      </c>
      <c r="D248" s="5" t="s">
        <v>474</v>
      </c>
    </row>
    <row r="249" spans="1:4" x14ac:dyDescent="0.25">
      <c r="A249" s="5" t="s">
        <v>62</v>
      </c>
      <c r="B249" s="5" t="s">
        <v>246</v>
      </c>
      <c r="C249" s="6" t="s">
        <v>576</v>
      </c>
      <c r="D249" s="5" t="s">
        <v>475</v>
      </c>
    </row>
    <row r="250" spans="1:4" x14ac:dyDescent="0.25">
      <c r="A250" s="5" t="s">
        <v>178</v>
      </c>
      <c r="B250" s="5" t="s">
        <v>476</v>
      </c>
      <c r="C250" s="6" t="s">
        <v>637</v>
      </c>
      <c r="D250" s="5" t="s">
        <v>477</v>
      </c>
    </row>
    <row r="251" spans="1:4" x14ac:dyDescent="0.25">
      <c r="A251" s="5" t="s">
        <v>91</v>
      </c>
      <c r="B251" s="5" t="s">
        <v>159</v>
      </c>
      <c r="C251" s="6" t="s">
        <v>562</v>
      </c>
      <c r="D251" s="5" t="s">
        <v>478</v>
      </c>
    </row>
    <row r="252" spans="1:4" x14ac:dyDescent="0.25">
      <c r="A252" s="5" t="s">
        <v>123</v>
      </c>
      <c r="B252" s="5" t="s">
        <v>479</v>
      </c>
      <c r="C252" s="6" t="s">
        <v>659</v>
      </c>
      <c r="D252" s="5" t="s">
        <v>480</v>
      </c>
    </row>
    <row r="253" spans="1:4" x14ac:dyDescent="0.25">
      <c r="A253" s="5" t="s">
        <v>132</v>
      </c>
      <c r="B253" s="5" t="s">
        <v>59</v>
      </c>
      <c r="C253" s="6" t="s">
        <v>562</v>
      </c>
      <c r="D253" s="5" t="s">
        <v>481</v>
      </c>
    </row>
    <row r="254" spans="1:4" x14ac:dyDescent="0.25">
      <c r="A254" s="5" t="s">
        <v>482</v>
      </c>
      <c r="B254" s="5" t="s">
        <v>483</v>
      </c>
      <c r="C254" s="6" t="s">
        <v>660</v>
      </c>
      <c r="D254" s="5" t="s">
        <v>484</v>
      </c>
    </row>
    <row r="255" spans="1:4" x14ac:dyDescent="0.25">
      <c r="A255" s="5" t="s">
        <v>329</v>
      </c>
      <c r="B255" s="5" t="s">
        <v>330</v>
      </c>
      <c r="C255" s="6" t="s">
        <v>618</v>
      </c>
      <c r="D255" s="5" t="s">
        <v>485</v>
      </c>
    </row>
    <row r="256" spans="1:4" x14ac:dyDescent="0.25">
      <c r="A256" s="5" t="s">
        <v>59</v>
      </c>
      <c r="B256" s="5" t="s">
        <v>486</v>
      </c>
      <c r="C256" s="6" t="s">
        <v>599</v>
      </c>
      <c r="D256" s="5" t="s">
        <v>487</v>
      </c>
    </row>
    <row r="257" spans="1:4" x14ac:dyDescent="0.25">
      <c r="A257" s="5" t="s">
        <v>167</v>
      </c>
      <c r="B257" s="5" t="s">
        <v>168</v>
      </c>
      <c r="C257" s="6" t="s">
        <v>573</v>
      </c>
      <c r="D257" s="5" t="s">
        <v>488</v>
      </c>
    </row>
    <row r="258" spans="1:4" x14ac:dyDescent="0.25">
      <c r="A258" s="5" t="s">
        <v>59</v>
      </c>
      <c r="B258" s="5" t="s">
        <v>192</v>
      </c>
      <c r="C258" s="6" t="s">
        <v>660</v>
      </c>
      <c r="D258" s="5" t="s">
        <v>489</v>
      </c>
    </row>
    <row r="259" spans="1:4" x14ac:dyDescent="0.25">
      <c r="A259" s="5" t="s">
        <v>490</v>
      </c>
      <c r="B259" s="5" t="s">
        <v>110</v>
      </c>
      <c r="C259" s="6" t="s">
        <v>661</v>
      </c>
      <c r="D259" s="5" t="s">
        <v>491</v>
      </c>
    </row>
    <row r="260" spans="1:4" x14ac:dyDescent="0.25">
      <c r="A260" s="5" t="s">
        <v>91</v>
      </c>
      <c r="B260" s="5" t="s">
        <v>492</v>
      </c>
      <c r="C260" s="6" t="s">
        <v>662</v>
      </c>
      <c r="D260" s="5" t="s">
        <v>493</v>
      </c>
    </row>
    <row r="261" spans="1:4" x14ac:dyDescent="0.25">
      <c r="A261" s="5" t="s">
        <v>112</v>
      </c>
      <c r="B261" s="5" t="s">
        <v>132</v>
      </c>
      <c r="C261" s="6" t="s">
        <v>663</v>
      </c>
      <c r="D261" s="5" t="s">
        <v>494</v>
      </c>
    </row>
    <row r="262" spans="1:4" ht="16.5" customHeight="1" x14ac:dyDescent="0.25">
      <c r="A262" s="5" t="s">
        <v>38</v>
      </c>
      <c r="B262" s="6"/>
      <c r="C262" s="6" t="s">
        <v>520</v>
      </c>
      <c r="D262" s="5" t="s">
        <v>495</v>
      </c>
    </row>
    <row r="263" spans="1:4" ht="16.5" customHeight="1" x14ac:dyDescent="0.25">
      <c r="A263" s="5" t="s">
        <v>11</v>
      </c>
      <c r="B263" s="5" t="s">
        <v>496</v>
      </c>
      <c r="C263" s="6" t="s">
        <v>664</v>
      </c>
      <c r="D263" s="5" t="s">
        <v>497</v>
      </c>
    </row>
    <row r="264" spans="1:4" x14ac:dyDescent="0.25">
      <c r="A264" s="5" t="s">
        <v>145</v>
      </c>
      <c r="B264" s="5" t="s">
        <v>256</v>
      </c>
      <c r="C264" s="6" t="s">
        <v>665</v>
      </c>
      <c r="D264" s="5" t="s">
        <v>498</v>
      </c>
    </row>
    <row r="265" spans="1:4" x14ac:dyDescent="0.25">
      <c r="A265" s="5" t="s">
        <v>74</v>
      </c>
      <c r="B265" s="5" t="s">
        <v>159</v>
      </c>
      <c r="C265" s="6" t="s">
        <v>591</v>
      </c>
      <c r="D265" s="5" t="s">
        <v>499</v>
      </c>
    </row>
    <row r="266" spans="1:4" x14ac:dyDescent="0.25">
      <c r="A266" s="5" t="s">
        <v>7</v>
      </c>
      <c r="B266" s="5" t="s">
        <v>34</v>
      </c>
      <c r="C266" s="6" t="s">
        <v>656</v>
      </c>
      <c r="D266" s="5" t="s">
        <v>500</v>
      </c>
    </row>
    <row r="267" spans="1:4" x14ac:dyDescent="0.25">
      <c r="A267" s="5" t="s">
        <v>300</v>
      </c>
      <c r="B267" s="5" t="s">
        <v>192</v>
      </c>
      <c r="C267" s="6" t="s">
        <v>660</v>
      </c>
      <c r="D267" s="5" t="s">
        <v>501</v>
      </c>
    </row>
    <row r="268" spans="1:4" x14ac:dyDescent="0.25">
      <c r="A268" s="5" t="s">
        <v>69</v>
      </c>
      <c r="B268" s="5" t="s">
        <v>502</v>
      </c>
      <c r="C268" s="6" t="s">
        <v>633</v>
      </c>
      <c r="D268" s="5" t="s">
        <v>503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Identificación</vt:lpstr>
      <vt:lpstr>Respuesta 1</vt:lpstr>
      <vt:lpstr>Respuesta 2</vt:lpstr>
      <vt:lpstr>Respuesta 4</vt:lpstr>
      <vt:lpstr>Respuesta 5</vt:lpstr>
      <vt:lpstr>Respuesta 3</vt:lpstr>
      <vt:lpstr>Citas_IPS_2</vt:lpstr>
      <vt:lpstr>Funciones (50%)</vt:lpstr>
      <vt:lpstr>Datos_paciente</vt:lpstr>
      <vt:lpstr>Tablas dinámicas (50%)</vt:lpstr>
    </vt:vector>
  </TitlesOfParts>
  <Company>Universidad de Antioquia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Facultad Nacional de Salud Pública</dc:creator>
  <cp:lastModifiedBy>m&amp;m</cp:lastModifiedBy>
  <dcterms:created xsi:type="dcterms:W3CDTF">2012-12-12T12:09:21Z</dcterms:created>
  <dcterms:modified xsi:type="dcterms:W3CDTF">2021-02-07T23:56:51Z</dcterms:modified>
</cp:coreProperties>
</file>